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9" i="14"/>
  <c r="D237" i="14"/>
  <c r="D230" i="14"/>
  <c r="D229" i="14"/>
  <c r="D226" i="14"/>
  <c r="D227" i="14"/>
  <c r="D223" i="14"/>
  <c r="D204" i="14"/>
  <c r="D269" i="14"/>
  <c r="D203" i="14"/>
  <c r="D267" i="14"/>
  <c r="D198" i="14"/>
  <c r="D290" i="14"/>
  <c r="D191" i="14"/>
  <c r="D264" i="14"/>
  <c r="D189" i="14"/>
  <c r="D262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5" i="14"/>
  <c r="D130" i="14"/>
  <c r="D129" i="14"/>
  <c r="D124" i="14"/>
  <c r="D123" i="14"/>
  <c r="D120" i="14"/>
  <c r="D110" i="14"/>
  <c r="D111" i="14"/>
  <c r="D109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8" i="14"/>
  <c r="D66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0" i="14"/>
  <c r="D31" i="14"/>
  <c r="D32" i="14"/>
  <c r="D29" i="14"/>
  <c r="D24" i="14"/>
  <c r="D23" i="14"/>
  <c r="D20" i="14"/>
  <c r="D21" i="14"/>
  <c r="D126" i="14"/>
  <c r="D127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C101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34" i="19"/>
  <c r="E28" i="19"/>
  <c r="D28" i="19"/>
  <c r="C28" i="19"/>
  <c r="E27" i="19"/>
  <c r="D27" i="19"/>
  <c r="C27" i="19"/>
  <c r="E23" i="19"/>
  <c r="E54" i="19"/>
  <c r="C23" i="19"/>
  <c r="C46" i="19"/>
  <c r="C22" i="19"/>
  <c r="C45" i="19"/>
  <c r="E21" i="19"/>
  <c r="D21" i="19"/>
  <c r="C21" i="19"/>
  <c r="E12" i="19"/>
  <c r="E33" i="19"/>
  <c r="D12" i="19"/>
  <c r="D33" i="19"/>
  <c r="C12" i="19"/>
  <c r="C34" i="19"/>
  <c r="C3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E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F24" i="17"/>
  <c r="E24" i="17"/>
  <c r="F23" i="17"/>
  <c r="E23" i="17"/>
  <c r="F22" i="17"/>
  <c r="E22" i="17"/>
  <c r="E25" i="17"/>
  <c r="D19" i="17"/>
  <c r="D20" i="17"/>
  <c r="E20" i="17"/>
  <c r="C19" i="17"/>
  <c r="C20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9" i="16"/>
  <c r="C48" i="16"/>
  <c r="C64" i="16"/>
  <c r="C36" i="16"/>
  <c r="C38" i="16"/>
  <c r="C127" i="16"/>
  <c r="C129" i="16"/>
  <c r="C133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C221" i="15"/>
  <c r="C245" i="15"/>
  <c r="D220" i="15"/>
  <c r="C220" i="15"/>
  <c r="C244" i="15"/>
  <c r="D219" i="15"/>
  <c r="D243" i="15"/>
  <c r="E243" i="15"/>
  <c r="C219" i="15"/>
  <c r="C243" i="15"/>
  <c r="D218" i="15"/>
  <c r="C218" i="15"/>
  <c r="C217" i="15"/>
  <c r="D216" i="15"/>
  <c r="D222" i="15"/>
  <c r="C216" i="15"/>
  <c r="C240" i="15"/>
  <c r="D215" i="15"/>
  <c r="E215" i="15"/>
  <c r="C215" i="15"/>
  <c r="C239" i="15"/>
  <c r="E209" i="15"/>
  <c r="E208" i="15"/>
  <c r="E207" i="15"/>
  <c r="E206" i="15"/>
  <c r="D205" i="15"/>
  <c r="C205" i="15"/>
  <c r="C210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E162" i="15"/>
  <c r="C162" i="15"/>
  <c r="D161" i="15"/>
  <c r="E161" i="15"/>
  <c r="C161" i="15"/>
  <c r="E155" i="15"/>
  <c r="E154" i="15"/>
  <c r="E153" i="15"/>
  <c r="E152" i="15"/>
  <c r="D151" i="15"/>
  <c r="D156" i="15"/>
  <c r="C151" i="15"/>
  <c r="C156" i="15"/>
  <c r="E150" i="15"/>
  <c r="E149" i="15"/>
  <c r="C144" i="15"/>
  <c r="C168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C38" i="15"/>
  <c r="D37" i="15"/>
  <c r="E37" i="15"/>
  <c r="C37" i="15"/>
  <c r="C43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2" i="15"/>
  <c r="D21" i="15"/>
  <c r="D283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F330" i="14"/>
  <c r="E330" i="14"/>
  <c r="F329" i="14"/>
  <c r="E329" i="14"/>
  <c r="E316" i="14"/>
  <c r="F316" i="14"/>
  <c r="C311" i="14"/>
  <c r="E311" i="14"/>
  <c r="F308" i="14"/>
  <c r="E308" i="14"/>
  <c r="C307" i="14"/>
  <c r="E307" i="14"/>
  <c r="F307" i="14"/>
  <c r="E299" i="14"/>
  <c r="C299" i="14"/>
  <c r="C298" i="14"/>
  <c r="E298" i="14"/>
  <c r="F298" i="14"/>
  <c r="C297" i="14"/>
  <c r="E297" i="14"/>
  <c r="F297" i="14"/>
  <c r="C296" i="14"/>
  <c r="E296" i="14"/>
  <c r="F296" i="14"/>
  <c r="C295" i="14"/>
  <c r="E295" i="14"/>
  <c r="C294" i="14"/>
  <c r="E294" i="14"/>
  <c r="F294" i="14"/>
  <c r="C280" i="14"/>
  <c r="C264" i="14"/>
  <c r="C250" i="14"/>
  <c r="E250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C237" i="14"/>
  <c r="E237" i="14"/>
  <c r="E234" i="14"/>
  <c r="F234" i="14"/>
  <c r="E233" i="14"/>
  <c r="F233" i="14"/>
  <c r="C230" i="14"/>
  <c r="E230" i="14"/>
  <c r="F230" i="14"/>
  <c r="C229" i="14"/>
  <c r="E229" i="14"/>
  <c r="E228" i="14"/>
  <c r="F228" i="14"/>
  <c r="C226" i="14"/>
  <c r="E225" i="14"/>
  <c r="F225" i="14"/>
  <c r="E224" i="14"/>
  <c r="F224" i="14"/>
  <c r="C223" i="14"/>
  <c r="E223" i="14"/>
  <c r="E222" i="14"/>
  <c r="F222" i="14"/>
  <c r="E221" i="14"/>
  <c r="F221" i="14"/>
  <c r="C204" i="14"/>
  <c r="C203" i="14"/>
  <c r="E203" i="14"/>
  <c r="C198" i="14"/>
  <c r="C199" i="14"/>
  <c r="C191" i="14"/>
  <c r="E191" i="14"/>
  <c r="F191" i="14"/>
  <c r="E189" i="14"/>
  <c r="C189" i="14"/>
  <c r="C278" i="14"/>
  <c r="C188" i="14"/>
  <c r="C206" i="14"/>
  <c r="C180" i="14"/>
  <c r="E180" i="14"/>
  <c r="C179" i="14"/>
  <c r="E179" i="14"/>
  <c r="C171" i="14"/>
  <c r="C172" i="14"/>
  <c r="E172" i="14"/>
  <c r="C170" i="14"/>
  <c r="E170" i="14"/>
  <c r="E169" i="14"/>
  <c r="F169" i="14"/>
  <c r="E168" i="14"/>
  <c r="F168" i="14"/>
  <c r="C165" i="14"/>
  <c r="E165" i="14"/>
  <c r="C164" i="14"/>
  <c r="E163" i="14"/>
  <c r="F163" i="14"/>
  <c r="C158" i="14"/>
  <c r="E158" i="14"/>
  <c r="E157" i="14"/>
  <c r="F157" i="14"/>
  <c r="E156" i="14"/>
  <c r="F156" i="14"/>
  <c r="E155" i="14"/>
  <c r="C155" i="14"/>
  <c r="F155" i="14"/>
  <c r="E154" i="14"/>
  <c r="F154" i="14"/>
  <c r="F153" i="14"/>
  <c r="E153" i="14"/>
  <c r="C145" i="14"/>
  <c r="C144" i="14"/>
  <c r="E144" i="14"/>
  <c r="C136" i="14"/>
  <c r="E136" i="14"/>
  <c r="C135" i="14"/>
  <c r="E135" i="14"/>
  <c r="E134" i="14"/>
  <c r="F134" i="14"/>
  <c r="E133" i="14"/>
  <c r="F133" i="14"/>
  <c r="C130" i="14"/>
  <c r="E130" i="14"/>
  <c r="F130" i="14"/>
  <c r="C129" i="14"/>
  <c r="E128" i="14"/>
  <c r="F128" i="14"/>
  <c r="C123" i="14"/>
  <c r="C124" i="14"/>
  <c r="E122" i="14"/>
  <c r="F122" i="14"/>
  <c r="E121" i="14"/>
  <c r="F121" i="14"/>
  <c r="C120" i="14"/>
  <c r="E120" i="14"/>
  <c r="F120" i="14"/>
  <c r="E119" i="14"/>
  <c r="F119" i="14"/>
  <c r="E118" i="14"/>
  <c r="F118" i="14"/>
  <c r="C110" i="14"/>
  <c r="C109" i="14"/>
  <c r="E109" i="14"/>
  <c r="C101" i="14"/>
  <c r="C100" i="14"/>
  <c r="E100" i="14"/>
  <c r="E99" i="14"/>
  <c r="F99" i="14"/>
  <c r="E98" i="14"/>
  <c r="F98" i="14"/>
  <c r="C95" i="14"/>
  <c r="E95" i="14"/>
  <c r="F95" i="14"/>
  <c r="E94" i="14"/>
  <c r="C94" i="14"/>
  <c r="F93" i="14"/>
  <c r="E93" i="14"/>
  <c r="C88" i="14"/>
  <c r="E88" i="14"/>
  <c r="E87" i="14"/>
  <c r="F87" i="14"/>
  <c r="E86" i="14"/>
  <c r="F86" i="14"/>
  <c r="C85" i="14"/>
  <c r="E84" i="14"/>
  <c r="F84" i="14"/>
  <c r="E83" i="14"/>
  <c r="F83" i="14"/>
  <c r="C76" i="14"/>
  <c r="E76" i="14"/>
  <c r="E74" i="14"/>
  <c r="F74" i="14"/>
  <c r="E73" i="14"/>
  <c r="F73" i="14"/>
  <c r="C67" i="14"/>
  <c r="E67" i="14"/>
  <c r="C66" i="14"/>
  <c r="E66" i="14"/>
  <c r="C59" i="14"/>
  <c r="C60" i="14"/>
  <c r="E60" i="14"/>
  <c r="C58" i="14"/>
  <c r="E58" i="14"/>
  <c r="F58" i="14"/>
  <c r="E57" i="14"/>
  <c r="F57" i="14"/>
  <c r="E56" i="14"/>
  <c r="F56" i="14"/>
  <c r="C53" i="14"/>
  <c r="E53" i="14"/>
  <c r="C52" i="14"/>
  <c r="E52" i="14"/>
  <c r="E51" i="14"/>
  <c r="F51" i="14"/>
  <c r="C47" i="14"/>
  <c r="C48" i="14"/>
  <c r="E46" i="14"/>
  <c r="F46" i="14"/>
  <c r="E45" i="14"/>
  <c r="F45" i="14"/>
  <c r="E44" i="14"/>
  <c r="C44" i="14"/>
  <c r="F43" i="14"/>
  <c r="E43" i="14"/>
  <c r="F42" i="14"/>
  <c r="E42" i="14"/>
  <c r="C36" i="14"/>
  <c r="E36" i="14"/>
  <c r="F36" i="14"/>
  <c r="C35" i="14"/>
  <c r="E35" i="14"/>
  <c r="F35" i="14"/>
  <c r="C30" i="14"/>
  <c r="C31" i="14"/>
  <c r="E31" i="14"/>
  <c r="C29" i="14"/>
  <c r="E29" i="14"/>
  <c r="F29" i="14"/>
  <c r="E28" i="14"/>
  <c r="F28" i="14"/>
  <c r="E27" i="14"/>
  <c r="F27" i="14"/>
  <c r="C24" i="14"/>
  <c r="E24" i="14"/>
  <c r="C23" i="14"/>
  <c r="E23" i="14"/>
  <c r="E22" i="14"/>
  <c r="F22" i="14"/>
  <c r="C20" i="14"/>
  <c r="E19" i="14"/>
  <c r="F19" i="14"/>
  <c r="E18" i="14"/>
  <c r="F18" i="14"/>
  <c r="C17" i="14"/>
  <c r="E16" i="14"/>
  <c r="F16" i="14"/>
  <c r="E15" i="14"/>
  <c r="F15" i="14"/>
  <c r="D23" i="13"/>
  <c r="C23" i="13"/>
  <c r="E22" i="13"/>
  <c r="F22" i="13"/>
  <c r="D19" i="13"/>
  <c r="C19" i="13"/>
  <c r="E18" i="13"/>
  <c r="F18" i="13"/>
  <c r="E17" i="13"/>
  <c r="F17" i="13"/>
  <c r="D14" i="13"/>
  <c r="C14" i="13"/>
  <c r="E13" i="13"/>
  <c r="F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E84" i="12"/>
  <c r="C84" i="12"/>
  <c r="F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E75" i="12"/>
  <c r="F75" i="12"/>
  <c r="D70" i="12"/>
  <c r="C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E45" i="12"/>
  <c r="C45" i="12"/>
  <c r="F45" i="12"/>
  <c r="F44" i="12"/>
  <c r="E44" i="12"/>
  <c r="F43" i="12"/>
  <c r="E43" i="12"/>
  <c r="D37" i="12"/>
  <c r="E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E22" i="12"/>
  <c r="F22" i="12"/>
  <c r="E21" i="12"/>
  <c r="F21" i="12"/>
  <c r="E20" i="12"/>
  <c r="F20" i="12"/>
  <c r="E19" i="12"/>
  <c r="F19" i="12"/>
  <c r="D16" i="12"/>
  <c r="C16" i="12"/>
  <c r="E15" i="12"/>
  <c r="F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/>
  <c r="D17" i="11"/>
  <c r="D33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D69" i="10"/>
  <c r="C73" i="10"/>
  <c r="C75" i="10"/>
  <c r="C69" i="10"/>
  <c r="E71" i="10"/>
  <c r="D71" i="10"/>
  <c r="C71" i="10"/>
  <c r="E66" i="10"/>
  <c r="E65" i="10"/>
  <c r="D66" i="10"/>
  <c r="C66" i="10"/>
  <c r="D65" i="10"/>
  <c r="C65" i="10"/>
  <c r="E60" i="10"/>
  <c r="D60" i="10"/>
  <c r="C60" i="10"/>
  <c r="E58" i="10"/>
  <c r="D58" i="10"/>
  <c r="C58" i="10"/>
  <c r="E55" i="10"/>
  <c r="E50" i="10"/>
  <c r="D55" i="10"/>
  <c r="C55" i="10"/>
  <c r="C50" i="10"/>
  <c r="E54" i="10"/>
  <c r="D54" i="10"/>
  <c r="C54" i="10"/>
  <c r="D50" i="10"/>
  <c r="E46" i="10"/>
  <c r="E59" i="10"/>
  <c r="E61" i="10"/>
  <c r="E57" i="10"/>
  <c r="D46" i="10"/>
  <c r="D59" i="10"/>
  <c r="D61" i="10"/>
  <c r="D57" i="10"/>
  <c r="C46" i="10"/>
  <c r="C48" i="10"/>
  <c r="C42" i="10"/>
  <c r="E45" i="10"/>
  <c r="D45" i="10"/>
  <c r="C45" i="10"/>
  <c r="E38" i="10"/>
  <c r="D38" i="10"/>
  <c r="C38" i="10"/>
  <c r="E34" i="10"/>
  <c r="D34" i="10"/>
  <c r="E33" i="10"/>
  <c r="D33" i="10"/>
  <c r="E26" i="10"/>
  <c r="D26" i="10"/>
  <c r="C26" i="10"/>
  <c r="E13" i="10"/>
  <c r="E25" i="10"/>
  <c r="E27" i="10"/>
  <c r="D13" i="10"/>
  <c r="C13" i="10"/>
  <c r="C15" i="10"/>
  <c r="F46" i="9"/>
  <c r="D46" i="9"/>
  <c r="E46" i="9"/>
  <c r="C46" i="9"/>
  <c r="F45" i="9"/>
  <c r="E45" i="9"/>
  <c r="F44" i="9"/>
  <c r="E44" i="9"/>
  <c r="F39" i="9"/>
  <c r="D39" i="9"/>
  <c r="E39" i="9"/>
  <c r="C39" i="9"/>
  <c r="F38" i="9"/>
  <c r="E38" i="9"/>
  <c r="F37" i="9"/>
  <c r="E37" i="9"/>
  <c r="F36" i="9"/>
  <c r="E36" i="9"/>
  <c r="D31" i="9"/>
  <c r="E31" i="9"/>
  <c r="C31" i="9"/>
  <c r="F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E16" i="9"/>
  <c r="C16" i="9"/>
  <c r="F15" i="9"/>
  <c r="E15" i="9"/>
  <c r="F14" i="9"/>
  <c r="E14" i="9"/>
  <c r="F13" i="9"/>
  <c r="E13" i="9"/>
  <c r="F12" i="9"/>
  <c r="E12" i="9"/>
  <c r="D73" i="8"/>
  <c r="E73" i="8"/>
  <c r="C73" i="8"/>
  <c r="F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E61" i="8"/>
  <c r="C61" i="8"/>
  <c r="F61" i="8"/>
  <c r="C65" i="8"/>
  <c r="F65" i="8"/>
  <c r="F60" i="8"/>
  <c r="E60" i="8"/>
  <c r="F59" i="8"/>
  <c r="E59" i="8"/>
  <c r="F56" i="8"/>
  <c r="D56" i="8"/>
  <c r="E56" i="8"/>
  <c r="C56" i="8"/>
  <c r="C75" i="8"/>
  <c r="F75" i="8"/>
  <c r="F55" i="8"/>
  <c r="E55" i="8"/>
  <c r="F54" i="8"/>
  <c r="E54" i="8"/>
  <c r="F53" i="8"/>
  <c r="E53" i="8"/>
  <c r="F52" i="8"/>
  <c r="E52" i="8"/>
  <c r="F51" i="8"/>
  <c r="E51" i="8"/>
  <c r="F50" i="8"/>
  <c r="E50" i="8"/>
  <c r="A50" i="8"/>
  <c r="A51" i="8"/>
  <c r="A52" i="8"/>
  <c r="A53" i="8"/>
  <c r="A54" i="8"/>
  <c r="A55" i="8"/>
  <c r="F49" i="8"/>
  <c r="E49" i="8"/>
  <c r="F40" i="8"/>
  <c r="E40" i="8"/>
  <c r="D38" i="8"/>
  <c r="E38" i="8"/>
  <c r="C38" i="8"/>
  <c r="F38" i="8"/>
  <c r="F37" i="8"/>
  <c r="E37" i="8"/>
  <c r="F36" i="8"/>
  <c r="E36" i="8"/>
  <c r="F33" i="8"/>
  <c r="E33" i="8"/>
  <c r="F32" i="8"/>
  <c r="E32" i="8"/>
  <c r="F31" i="8"/>
  <c r="E31" i="8"/>
  <c r="F29" i="8"/>
  <c r="D29" i="8"/>
  <c r="E29" i="8"/>
  <c r="C29" i="8"/>
  <c r="F28" i="8"/>
  <c r="E28" i="8"/>
  <c r="F27" i="8"/>
  <c r="E27" i="8"/>
  <c r="F26" i="8"/>
  <c r="E26" i="8"/>
  <c r="F25" i="8"/>
  <c r="E25" i="8"/>
  <c r="F22" i="8"/>
  <c r="D22" i="8"/>
  <c r="E22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C120" i="7"/>
  <c r="D119" i="7"/>
  <c r="E119" i="7"/>
  <c r="C119" i="7"/>
  <c r="F119" i="7"/>
  <c r="D118" i="7"/>
  <c r="E118" i="7"/>
  <c r="C118" i="7"/>
  <c r="F118" i="7"/>
  <c r="D117" i="7"/>
  <c r="C117" i="7"/>
  <c r="D116" i="7"/>
  <c r="E116" i="7"/>
  <c r="C116" i="7"/>
  <c r="F116" i="7"/>
  <c r="D115" i="7"/>
  <c r="C115" i="7"/>
  <c r="D114" i="7"/>
  <c r="E114" i="7"/>
  <c r="C114" i="7"/>
  <c r="F114" i="7"/>
  <c r="D113" i="7"/>
  <c r="C113" i="7"/>
  <c r="D112" i="7"/>
  <c r="E112" i="7"/>
  <c r="F112" i="7"/>
  <c r="C112" i="7"/>
  <c r="C121" i="7"/>
  <c r="D108" i="7"/>
  <c r="C108" i="7"/>
  <c r="D107" i="7"/>
  <c r="E107" i="7"/>
  <c r="C107" i="7"/>
  <c r="F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D95" i="7"/>
  <c r="E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E59" i="7"/>
  <c r="C59" i="7"/>
  <c r="F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C48" i="7"/>
  <c r="D47" i="7"/>
  <c r="E47" i="7"/>
  <c r="C47" i="7"/>
  <c r="F46" i="7"/>
  <c r="E46" i="7"/>
  <c r="F45" i="7"/>
  <c r="E45" i="7"/>
  <c r="E44" i="7"/>
  <c r="F44" i="7"/>
  <c r="F43" i="7"/>
  <c r="E43" i="7"/>
  <c r="F42" i="7"/>
  <c r="E42" i="7"/>
  <c r="E41" i="7"/>
  <c r="F41" i="7"/>
  <c r="E40" i="7"/>
  <c r="F40" i="7"/>
  <c r="F39" i="7"/>
  <c r="E39" i="7"/>
  <c r="F38" i="7"/>
  <c r="E38" i="7"/>
  <c r="D36" i="7"/>
  <c r="C36" i="7"/>
  <c r="D35" i="7"/>
  <c r="E35" i="7"/>
  <c r="C35" i="7"/>
  <c r="F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D23" i="7"/>
  <c r="E23" i="7"/>
  <c r="C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E206" i="6"/>
  <c r="F206" i="6"/>
  <c r="C206" i="6"/>
  <c r="D205" i="6"/>
  <c r="C205" i="6"/>
  <c r="D204" i="6"/>
  <c r="E204" i="6"/>
  <c r="C204" i="6"/>
  <c r="F204" i="6"/>
  <c r="D203" i="6"/>
  <c r="E203" i="6"/>
  <c r="C203" i="6"/>
  <c r="F203" i="6"/>
  <c r="D202" i="6"/>
  <c r="C202" i="6"/>
  <c r="E202" i="6"/>
  <c r="D201" i="6"/>
  <c r="E201" i="6"/>
  <c r="C201" i="6"/>
  <c r="F201" i="6"/>
  <c r="D200" i="6"/>
  <c r="C200" i="6"/>
  <c r="E200" i="6"/>
  <c r="D199" i="6"/>
  <c r="D208" i="6"/>
  <c r="C199" i="6"/>
  <c r="D198" i="6"/>
  <c r="E198" i="6"/>
  <c r="F198" i="6"/>
  <c r="C198" i="6"/>
  <c r="C207" i="6"/>
  <c r="D193" i="6"/>
  <c r="E193" i="6"/>
  <c r="C193" i="6"/>
  <c r="D192" i="6"/>
  <c r="C192" i="6"/>
  <c r="E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C153" i="6"/>
  <c r="E153" i="6"/>
  <c r="F152" i="6"/>
  <c r="E152" i="6"/>
  <c r="E151" i="6"/>
  <c r="F151" i="6"/>
  <c r="E150" i="6"/>
  <c r="F150" i="6"/>
  <c r="F149" i="6"/>
  <c r="E149" i="6"/>
  <c r="F148" i="6"/>
  <c r="E148" i="6"/>
  <c r="E147" i="6"/>
  <c r="F147" i="6"/>
  <c r="E146" i="6"/>
  <c r="F146" i="6"/>
  <c r="F145" i="6"/>
  <c r="E145" i="6"/>
  <c r="F144" i="6"/>
  <c r="E144" i="6"/>
  <c r="D141" i="6"/>
  <c r="C141" i="6"/>
  <c r="D140" i="6"/>
  <c r="E140" i="6"/>
  <c r="C140" i="6"/>
  <c r="F139" i="6"/>
  <c r="E139" i="6"/>
  <c r="E138" i="6"/>
  <c r="F138" i="6"/>
  <c r="E137" i="6"/>
  <c r="F137" i="6"/>
  <c r="F136" i="6"/>
  <c r="E136" i="6"/>
  <c r="F135" i="6"/>
  <c r="E135" i="6"/>
  <c r="E134" i="6"/>
  <c r="F134" i="6"/>
  <c r="E133" i="6"/>
  <c r="F133" i="6"/>
  <c r="F132" i="6"/>
  <c r="E132" i="6"/>
  <c r="F131" i="6"/>
  <c r="E131" i="6"/>
  <c r="D128" i="6"/>
  <c r="E128" i="6"/>
  <c r="C128" i="6"/>
  <c r="D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F115" i="6"/>
  <c r="D114" i="6"/>
  <c r="C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F89" i="6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C76" i="6"/>
  <c r="D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F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D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C36" i="6"/>
  <c r="E35" i="6"/>
  <c r="F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E24" i="6"/>
  <c r="C24" i="6"/>
  <c r="D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E162" i="5"/>
  <c r="D162" i="5"/>
  <c r="C162" i="5"/>
  <c r="E161" i="5"/>
  <c r="D161" i="5"/>
  <c r="C161" i="5"/>
  <c r="C160" i="5"/>
  <c r="C166" i="5"/>
  <c r="E147" i="5"/>
  <c r="D147" i="5"/>
  <c r="D143" i="5"/>
  <c r="D149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C98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E75" i="5"/>
  <c r="E77" i="5"/>
  <c r="E71" i="5"/>
  <c r="D75" i="5"/>
  <c r="C75" i="5"/>
  <c r="C88" i="5"/>
  <c r="C90" i="5"/>
  <c r="C86" i="5"/>
  <c r="E74" i="5"/>
  <c r="D74" i="5"/>
  <c r="C74" i="5"/>
  <c r="E67" i="5"/>
  <c r="D67" i="5"/>
  <c r="C67" i="5"/>
  <c r="E38" i="5"/>
  <c r="D38" i="5"/>
  <c r="D49" i="5"/>
  <c r="C38" i="5"/>
  <c r="E33" i="5"/>
  <c r="E34" i="5"/>
  <c r="D33" i="5"/>
  <c r="D34" i="5"/>
  <c r="E26" i="5"/>
  <c r="D26" i="5"/>
  <c r="C26" i="5"/>
  <c r="E25" i="5"/>
  <c r="E27" i="5"/>
  <c r="E21" i="5"/>
  <c r="C15" i="5"/>
  <c r="E13" i="5"/>
  <c r="E15" i="5"/>
  <c r="D13" i="5"/>
  <c r="C13" i="5"/>
  <c r="C25" i="5"/>
  <c r="C27" i="5"/>
  <c r="F174" i="4"/>
  <c r="E174" i="4"/>
  <c r="D171" i="4"/>
  <c r="E171" i="4"/>
  <c r="F171" i="4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E155" i="4"/>
  <c r="F155" i="4"/>
  <c r="C155" i="4"/>
  <c r="E154" i="4"/>
  <c r="F154" i="4"/>
  <c r="F153" i="4"/>
  <c r="E153" i="4"/>
  <c r="E152" i="4"/>
  <c r="F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E145" i="4"/>
  <c r="F145" i="4"/>
  <c r="E144" i="4"/>
  <c r="F144" i="4"/>
  <c r="E143" i="4"/>
  <c r="F143" i="4"/>
  <c r="E142" i="4"/>
  <c r="F142" i="4"/>
  <c r="F141" i="4"/>
  <c r="E141" i="4"/>
  <c r="E140" i="4"/>
  <c r="F140" i="4"/>
  <c r="E139" i="4"/>
  <c r="F139" i="4"/>
  <c r="E138" i="4"/>
  <c r="F138" i="4"/>
  <c r="F137" i="4"/>
  <c r="E137" i="4"/>
  <c r="F136" i="4"/>
  <c r="E136" i="4"/>
  <c r="F135" i="4"/>
  <c r="E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E128" i="4"/>
  <c r="F128" i="4"/>
  <c r="F127" i="4"/>
  <c r="E127" i="4"/>
  <c r="E126" i="4"/>
  <c r="F126" i="4"/>
  <c r="E125" i="4"/>
  <c r="F125" i="4"/>
  <c r="F124" i="4"/>
  <c r="E124" i="4"/>
  <c r="E123" i="4"/>
  <c r="F123" i="4"/>
  <c r="E122" i="4"/>
  <c r="F122" i="4"/>
  <c r="E121" i="4"/>
  <c r="F121" i="4"/>
  <c r="D118" i="4"/>
  <c r="C118" i="4"/>
  <c r="F117" i="4"/>
  <c r="E117" i="4"/>
  <c r="E116" i="4"/>
  <c r="F116" i="4"/>
  <c r="E115" i="4"/>
  <c r="F115" i="4"/>
  <c r="E114" i="4"/>
  <c r="F114" i="4"/>
  <c r="F113" i="4"/>
  <c r="E113" i="4"/>
  <c r="E112" i="4"/>
  <c r="F112" i="4"/>
  <c r="D109" i="4"/>
  <c r="E109" i="4"/>
  <c r="C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C78" i="4"/>
  <c r="E77" i="4"/>
  <c r="F77" i="4"/>
  <c r="E76" i="4"/>
  <c r="F76" i="4"/>
  <c r="E75" i="4"/>
  <c r="F75" i="4"/>
  <c r="E74" i="4"/>
  <c r="F74" i="4"/>
  <c r="E73" i="4"/>
  <c r="F73" i="4"/>
  <c r="F72" i="4"/>
  <c r="E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F63" i="4"/>
  <c r="E63" i="4"/>
  <c r="E62" i="4"/>
  <c r="F62" i="4"/>
  <c r="D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C83" i="4"/>
  <c r="F40" i="4"/>
  <c r="E40" i="4"/>
  <c r="E39" i="4"/>
  <c r="F39" i="4"/>
  <c r="F38" i="4"/>
  <c r="E38" i="4"/>
  <c r="D35" i="4"/>
  <c r="E35" i="4"/>
  <c r="C35" i="4"/>
  <c r="F35" i="4"/>
  <c r="E34" i="4"/>
  <c r="F34" i="4"/>
  <c r="F33" i="4"/>
  <c r="E33" i="4"/>
  <c r="D30" i="4"/>
  <c r="E30" i="4"/>
  <c r="C30" i="4"/>
  <c r="E29" i="4"/>
  <c r="F29" i="4"/>
  <c r="F28" i="4"/>
  <c r="E28" i="4"/>
  <c r="E27" i="4"/>
  <c r="F27" i="4"/>
  <c r="D24" i="4"/>
  <c r="E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C179" i="3"/>
  <c r="F178" i="3"/>
  <c r="E178" i="3"/>
  <c r="E177" i="3"/>
  <c r="F177" i="3"/>
  <c r="F176" i="3"/>
  <c r="E176" i="3"/>
  <c r="E175" i="3"/>
  <c r="F175" i="3"/>
  <c r="F174" i="3"/>
  <c r="E174" i="3"/>
  <c r="E173" i="3"/>
  <c r="F173" i="3"/>
  <c r="F172" i="3"/>
  <c r="E172" i="3"/>
  <c r="E171" i="3"/>
  <c r="F171" i="3"/>
  <c r="F170" i="3"/>
  <c r="E170" i="3"/>
  <c r="E169" i="3"/>
  <c r="F169" i="3"/>
  <c r="F168" i="3"/>
  <c r="E168" i="3"/>
  <c r="D166" i="3"/>
  <c r="E166" i="3"/>
  <c r="C166" i="3"/>
  <c r="F166" i="3"/>
  <c r="F165" i="3"/>
  <c r="E165" i="3"/>
  <c r="F164" i="3"/>
  <c r="E164" i="3"/>
  <c r="E163" i="3"/>
  <c r="F163" i="3"/>
  <c r="F162" i="3"/>
  <c r="E162" i="3"/>
  <c r="E161" i="3"/>
  <c r="F161" i="3"/>
  <c r="F160" i="3"/>
  <c r="E160" i="3"/>
  <c r="E159" i="3"/>
  <c r="F159" i="3"/>
  <c r="F158" i="3"/>
  <c r="E158" i="3"/>
  <c r="E157" i="3"/>
  <c r="F157" i="3"/>
  <c r="F156" i="3"/>
  <c r="E156" i="3"/>
  <c r="E155" i="3"/>
  <c r="F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C124" i="3"/>
  <c r="F123" i="3"/>
  <c r="E123" i="3"/>
  <c r="E122" i="3"/>
  <c r="F122" i="3"/>
  <c r="F121" i="3"/>
  <c r="E121" i="3"/>
  <c r="E120" i="3"/>
  <c r="F120" i="3"/>
  <c r="F119" i="3"/>
  <c r="E119" i="3"/>
  <c r="E118" i="3"/>
  <c r="F118" i="3"/>
  <c r="F117" i="3"/>
  <c r="E117" i="3"/>
  <c r="E116" i="3"/>
  <c r="F116" i="3"/>
  <c r="F115" i="3"/>
  <c r="E115" i="3"/>
  <c r="E114" i="3"/>
  <c r="F114" i="3"/>
  <c r="F113" i="3"/>
  <c r="E113" i="3"/>
  <c r="D111" i="3"/>
  <c r="E111" i="3"/>
  <c r="C111" i="3"/>
  <c r="F111" i="3"/>
  <c r="F110" i="3"/>
  <c r="E110" i="3"/>
  <c r="F109" i="3"/>
  <c r="E109" i="3"/>
  <c r="E108" i="3"/>
  <c r="F108" i="3"/>
  <c r="F107" i="3"/>
  <c r="E107" i="3"/>
  <c r="E106" i="3"/>
  <c r="F106" i="3"/>
  <c r="F105" i="3"/>
  <c r="E105" i="3"/>
  <c r="E104" i="3"/>
  <c r="F104" i="3"/>
  <c r="F103" i="3"/>
  <c r="E103" i="3"/>
  <c r="E102" i="3"/>
  <c r="F102" i="3"/>
  <c r="F101" i="3"/>
  <c r="E101" i="3"/>
  <c r="E100" i="3"/>
  <c r="F100" i="3"/>
  <c r="D94" i="3"/>
  <c r="C94" i="3"/>
  <c r="F94" i="3"/>
  <c r="D93" i="3"/>
  <c r="C93" i="3"/>
  <c r="D92" i="3"/>
  <c r="C92" i="3"/>
  <c r="D91" i="3"/>
  <c r="E91" i="3"/>
  <c r="C91" i="3"/>
  <c r="F91" i="3"/>
  <c r="D90" i="3"/>
  <c r="C90" i="3"/>
  <c r="D89" i="3"/>
  <c r="C89" i="3"/>
  <c r="D88" i="3"/>
  <c r="C88" i="3"/>
  <c r="D87" i="3"/>
  <c r="E87" i="3"/>
  <c r="C87" i="3"/>
  <c r="F87" i="3"/>
  <c r="D86" i="3"/>
  <c r="C86" i="3"/>
  <c r="D85" i="3"/>
  <c r="C85" i="3"/>
  <c r="D84" i="3"/>
  <c r="C84" i="3"/>
  <c r="C95" i="3"/>
  <c r="D81" i="3"/>
  <c r="E81" i="3"/>
  <c r="C81" i="3"/>
  <c r="F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/>
  <c r="F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1" i="3"/>
  <c r="D51" i="3"/>
  <c r="E51" i="3"/>
  <c r="C51" i="3"/>
  <c r="D50" i="3"/>
  <c r="C50" i="3"/>
  <c r="D49" i="3"/>
  <c r="E49" i="3"/>
  <c r="C49" i="3"/>
  <c r="F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D52" i="3"/>
  <c r="C41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/>
  <c r="F25" i="3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D46" i="2"/>
  <c r="E46" i="2"/>
  <c r="F46" i="2"/>
  <c r="C46" i="2"/>
  <c r="F45" i="2"/>
  <c r="E45" i="2"/>
  <c r="F44" i="2"/>
  <c r="E44" i="2"/>
  <c r="D39" i="2"/>
  <c r="E39" i="2"/>
  <c r="F39" i="2"/>
  <c r="C39" i="2"/>
  <c r="F38" i="2"/>
  <c r="E38" i="2"/>
  <c r="F37" i="2"/>
  <c r="E37" i="2"/>
  <c r="F36" i="2"/>
  <c r="E36" i="2"/>
  <c r="D31" i="2"/>
  <c r="E31" i="2"/>
  <c r="F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E16" i="2"/>
  <c r="F16" i="2"/>
  <c r="C16" i="2"/>
  <c r="C19" i="2"/>
  <c r="F15" i="2"/>
  <c r="E15" i="2"/>
  <c r="E14" i="2"/>
  <c r="F14" i="2"/>
  <c r="E13" i="2"/>
  <c r="F13" i="2"/>
  <c r="E12" i="2"/>
  <c r="F12" i="2"/>
  <c r="D73" i="1"/>
  <c r="C73" i="1"/>
  <c r="E72" i="1"/>
  <c r="F72" i="1"/>
  <c r="F71" i="1"/>
  <c r="E71" i="1"/>
  <c r="E70" i="1"/>
  <c r="F70" i="1"/>
  <c r="F67" i="1"/>
  <c r="E67" i="1"/>
  <c r="E64" i="1"/>
  <c r="F64" i="1"/>
  <c r="E63" i="1"/>
  <c r="F63" i="1"/>
  <c r="D61" i="1"/>
  <c r="C61" i="1"/>
  <c r="F60" i="1"/>
  <c r="E60" i="1"/>
  <c r="F59" i="1"/>
  <c r="E59" i="1"/>
  <c r="D56" i="1"/>
  <c r="E56" i="1"/>
  <c r="F56" i="1"/>
  <c r="C56" i="1"/>
  <c r="E55" i="1"/>
  <c r="F55" i="1"/>
  <c r="E54" i="1"/>
  <c r="F54" i="1"/>
  <c r="F53" i="1"/>
  <c r="E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F40" i="1"/>
  <c r="E40" i="1"/>
  <c r="D38" i="1"/>
  <c r="D41" i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C29" i="1"/>
  <c r="E28" i="1"/>
  <c r="F28" i="1"/>
  <c r="F27" i="1"/>
  <c r="E27" i="1"/>
  <c r="F26" i="1"/>
  <c r="E26" i="1"/>
  <c r="E25" i="1"/>
  <c r="F25" i="1"/>
  <c r="D22" i="1"/>
  <c r="E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37" i="14"/>
  <c r="D270" i="14"/>
  <c r="D283" i="14"/>
  <c r="D200" i="14"/>
  <c r="D278" i="14"/>
  <c r="F24" i="14"/>
  <c r="F44" i="14"/>
  <c r="F67" i="14"/>
  <c r="F223" i="14"/>
  <c r="F238" i="14"/>
  <c r="D146" i="14"/>
  <c r="E278" i="14"/>
  <c r="E41" i="1"/>
  <c r="F41" i="1"/>
  <c r="C33" i="2"/>
  <c r="E43" i="5"/>
  <c r="E53" i="5"/>
  <c r="D25" i="5"/>
  <c r="D27" i="5"/>
  <c r="D15" i="5"/>
  <c r="E21" i="10"/>
  <c r="D43" i="1"/>
  <c r="D65" i="1"/>
  <c r="D19" i="2"/>
  <c r="D176" i="4"/>
  <c r="E49" i="5"/>
  <c r="E38" i="1"/>
  <c r="F38" i="1"/>
  <c r="E41" i="3"/>
  <c r="F41" i="3"/>
  <c r="E86" i="3"/>
  <c r="F86" i="3"/>
  <c r="E90" i="3"/>
  <c r="F90" i="3"/>
  <c r="E94" i="3"/>
  <c r="E179" i="3"/>
  <c r="F179" i="3"/>
  <c r="E57" i="5"/>
  <c r="E62" i="5"/>
  <c r="D122" i="7"/>
  <c r="C53" i="5"/>
  <c r="C43" i="5"/>
  <c r="C24" i="10"/>
  <c r="C17" i="10"/>
  <c r="C28" i="10"/>
  <c r="C70" i="10"/>
  <c r="C72" i="10"/>
  <c r="D95" i="3"/>
  <c r="D207" i="6"/>
  <c r="E207" i="6"/>
  <c r="F207" i="6"/>
  <c r="D19" i="9"/>
  <c r="C24" i="5"/>
  <c r="C17" i="5"/>
  <c r="D88" i="5"/>
  <c r="D90" i="5"/>
  <c r="D86" i="5"/>
  <c r="D77" i="5"/>
  <c r="D71" i="5"/>
  <c r="D36" i="11"/>
  <c r="D38" i="11"/>
  <c r="D40" i="11"/>
  <c r="C125" i="14"/>
  <c r="E48" i="14"/>
  <c r="F48" i="14"/>
  <c r="D83" i="4"/>
  <c r="C49" i="5"/>
  <c r="C57" i="5"/>
  <c r="C62" i="5"/>
  <c r="E50" i="3"/>
  <c r="F50" i="3"/>
  <c r="E84" i="3"/>
  <c r="F84" i="3"/>
  <c r="E88" i="3"/>
  <c r="F88" i="3"/>
  <c r="E92" i="3"/>
  <c r="F92" i="3"/>
  <c r="E124" i="3"/>
  <c r="F124" i="3"/>
  <c r="E41" i="4"/>
  <c r="F41" i="4"/>
  <c r="C79" i="5"/>
  <c r="D139" i="5"/>
  <c r="D121" i="7"/>
  <c r="E121" i="7"/>
  <c r="F121" i="7"/>
  <c r="D15" i="10"/>
  <c r="D24" i="10"/>
  <c r="D25" i="10"/>
  <c r="D27" i="10"/>
  <c r="D21" i="10"/>
  <c r="D41" i="8"/>
  <c r="D65" i="8"/>
  <c r="E65" i="8"/>
  <c r="C215" i="14"/>
  <c r="C216" i="14"/>
  <c r="F189" i="14"/>
  <c r="C267" i="14"/>
  <c r="E267" i="14"/>
  <c r="F267" i="14"/>
  <c r="C283" i="14"/>
  <c r="C205" i="14"/>
  <c r="F203" i="14"/>
  <c r="C283" i="15"/>
  <c r="E283" i="15"/>
  <c r="C22" i="15"/>
  <c r="C284" i="15"/>
  <c r="D33" i="15"/>
  <c r="D294" i="15"/>
  <c r="E32" i="15"/>
  <c r="C234" i="15"/>
  <c r="C211" i="15"/>
  <c r="C235" i="15"/>
  <c r="E220" i="15"/>
  <c r="D244" i="15"/>
  <c r="E244" i="15"/>
  <c r="C41" i="17"/>
  <c r="D109" i="19"/>
  <c r="D108" i="19"/>
  <c r="D48" i="10"/>
  <c r="D42" i="10"/>
  <c r="D31" i="11"/>
  <c r="F31" i="11"/>
  <c r="C21" i="14"/>
  <c r="C161" i="14"/>
  <c r="C32" i="14"/>
  <c r="E47" i="14"/>
  <c r="F47" i="14"/>
  <c r="C61" i="14"/>
  <c r="C62" i="14"/>
  <c r="C77" i="14"/>
  <c r="E77" i="14"/>
  <c r="C89" i="14"/>
  <c r="F94" i="14"/>
  <c r="F135" i="14"/>
  <c r="F158" i="14"/>
  <c r="F165" i="14"/>
  <c r="E171" i="14"/>
  <c r="C173" i="14"/>
  <c r="E173" i="14"/>
  <c r="C192" i="14"/>
  <c r="F229" i="14"/>
  <c r="C262" i="14"/>
  <c r="F295" i="14"/>
  <c r="F299" i="14"/>
  <c r="F311" i="14"/>
  <c r="C163" i="15"/>
  <c r="E163" i="15"/>
  <c r="D223" i="15"/>
  <c r="D247" i="15"/>
  <c r="C252" i="15"/>
  <c r="C253" i="15"/>
  <c r="C254" i="15"/>
  <c r="F20" i="17"/>
  <c r="F40" i="17"/>
  <c r="E226" i="14"/>
  <c r="F226" i="14"/>
  <c r="C227" i="14"/>
  <c r="F227" i="14"/>
  <c r="D55" i="15"/>
  <c r="E55" i="15"/>
  <c r="E54" i="15"/>
  <c r="D189" i="15"/>
  <c r="D261" i="15"/>
  <c r="E261" i="15"/>
  <c r="E188" i="15"/>
  <c r="E205" i="15"/>
  <c r="D210" i="15"/>
  <c r="D180" i="15"/>
  <c r="E180" i="15"/>
  <c r="E216" i="15"/>
  <c r="D240" i="15"/>
  <c r="E240" i="15"/>
  <c r="D242" i="15"/>
  <c r="E242" i="15"/>
  <c r="E218" i="15"/>
  <c r="D217" i="15"/>
  <c r="C108" i="19"/>
  <c r="C110" i="19"/>
  <c r="C109" i="19"/>
  <c r="D104" i="14"/>
  <c r="D174" i="14"/>
  <c r="D254" i="14"/>
  <c r="F23" i="14"/>
  <c r="F31" i="14"/>
  <c r="C304" i="14"/>
  <c r="F52" i="14"/>
  <c r="F60" i="14"/>
  <c r="F66" i="14"/>
  <c r="C68" i="14"/>
  <c r="E68" i="14"/>
  <c r="F68" i="14"/>
  <c r="F76" i="14"/>
  <c r="F88" i="14"/>
  <c r="F109" i="14"/>
  <c r="C111" i="14"/>
  <c r="E111" i="14"/>
  <c r="F111" i="14"/>
  <c r="C137" i="14"/>
  <c r="F172" i="14"/>
  <c r="F180" i="14"/>
  <c r="C282" i="14"/>
  <c r="C281" i="14"/>
  <c r="C290" i="14"/>
  <c r="E290" i="14"/>
  <c r="F290" i="14"/>
  <c r="C44" i="15"/>
  <c r="E69" i="15"/>
  <c r="C157" i="15"/>
  <c r="E221" i="15"/>
  <c r="C277" i="14"/>
  <c r="C261" i="14"/>
  <c r="C271" i="14"/>
  <c r="C254" i="14"/>
  <c r="E188" i="14"/>
  <c r="F188" i="14"/>
  <c r="C285" i="14"/>
  <c r="E285" i="14"/>
  <c r="E204" i="14"/>
  <c r="F204" i="14"/>
  <c r="C269" i="14"/>
  <c r="C180" i="15"/>
  <c r="C145" i="15"/>
  <c r="E156" i="15"/>
  <c r="D157" i="15"/>
  <c r="E157" i="15"/>
  <c r="D175" i="14"/>
  <c r="D62" i="14"/>
  <c r="D63" i="14"/>
  <c r="D105" i="14"/>
  <c r="G17" i="11"/>
  <c r="E20" i="14"/>
  <c r="F20" i="14"/>
  <c r="C102" i="14"/>
  <c r="F102" i="14"/>
  <c r="F179" i="14"/>
  <c r="C190" i="14"/>
  <c r="F190" i="14"/>
  <c r="C193" i="14"/>
  <c r="C266" i="14"/>
  <c r="C265" i="14"/>
  <c r="E198" i="14"/>
  <c r="F198" i="14"/>
  <c r="C200" i="14"/>
  <c r="E200" i="14"/>
  <c r="F200" i="14"/>
  <c r="C214" i="14"/>
  <c r="E214" i="14"/>
  <c r="F214" i="14"/>
  <c r="F237" i="14"/>
  <c r="C255" i="14"/>
  <c r="C274" i="14"/>
  <c r="C300" i="14"/>
  <c r="F278" i="14"/>
  <c r="E21" i="15"/>
  <c r="D44" i="15"/>
  <c r="D95" i="15"/>
  <c r="C222" i="15"/>
  <c r="E219" i="15"/>
  <c r="D41" i="17"/>
  <c r="D272" i="14"/>
  <c r="E272" i="14"/>
  <c r="F272" i="14"/>
  <c r="D43" i="15"/>
  <c r="E38" i="15"/>
  <c r="D71" i="15"/>
  <c r="D76" i="15"/>
  <c r="D65" i="15"/>
  <c r="D289" i="15"/>
  <c r="E289" i="15"/>
  <c r="E60" i="15"/>
  <c r="D144" i="15"/>
  <c r="D175" i="15"/>
  <c r="E175" i="15"/>
  <c r="E139" i="15"/>
  <c r="D320" i="15"/>
  <c r="E320" i="15"/>
  <c r="E316" i="15"/>
  <c r="D330" i="15"/>
  <c r="E330" i="15"/>
  <c r="E326" i="15"/>
  <c r="E109" i="19"/>
  <c r="E108" i="19"/>
  <c r="E264" i="14"/>
  <c r="F264" i="14"/>
  <c r="F17" i="11"/>
  <c r="F136" i="14"/>
  <c r="C159" i="14"/>
  <c r="C160" i="14"/>
  <c r="F170" i="14"/>
  <c r="F171" i="14"/>
  <c r="C181" i="14"/>
  <c r="C239" i="14"/>
  <c r="F239" i="14"/>
  <c r="E151" i="15"/>
  <c r="C223" i="15"/>
  <c r="D229" i="15"/>
  <c r="F250" i="14"/>
  <c r="E233" i="15"/>
  <c r="D239" i="15"/>
  <c r="E239" i="15"/>
  <c r="C242" i="15"/>
  <c r="E251" i="15"/>
  <c r="C22" i="16"/>
  <c r="E22" i="19"/>
  <c r="D34" i="19"/>
  <c r="C53" i="19"/>
  <c r="D102" i="19"/>
  <c r="D103" i="19"/>
  <c r="E111" i="19"/>
  <c r="D125" i="14"/>
  <c r="D138" i="14"/>
  <c r="D139" i="14"/>
  <c r="D161" i="14"/>
  <c r="D277" i="14"/>
  <c r="D287" i="14"/>
  <c r="D285" i="14"/>
  <c r="E314" i="15"/>
  <c r="D22" i="19"/>
  <c r="D53" i="19"/>
  <c r="E30" i="19"/>
  <c r="E36" i="19"/>
  <c r="E40" i="19"/>
  <c r="E46" i="19"/>
  <c r="C54" i="19"/>
  <c r="D160" i="14"/>
  <c r="E160" i="14"/>
  <c r="F160" i="14"/>
  <c r="D192" i="14"/>
  <c r="E192" i="14"/>
  <c r="D206" i="14"/>
  <c r="E206" i="14"/>
  <c r="F206" i="14"/>
  <c r="D274" i="14"/>
  <c r="E274" i="14"/>
  <c r="F274" i="14"/>
  <c r="D280" i="14"/>
  <c r="E231" i="15"/>
  <c r="E260" i="15"/>
  <c r="E324" i="15"/>
  <c r="E19" i="17"/>
  <c r="F19" i="17"/>
  <c r="E39" i="17"/>
  <c r="E41" i="17"/>
  <c r="E43" i="17"/>
  <c r="D23" i="19"/>
  <c r="D46" i="19"/>
  <c r="C29" i="19"/>
  <c r="C35" i="19"/>
  <c r="C39" i="19"/>
  <c r="E101" i="19"/>
  <c r="E103" i="19"/>
  <c r="C111" i="19"/>
  <c r="D49" i="14"/>
  <c r="D91" i="14"/>
  <c r="D92" i="14"/>
  <c r="D199" i="14"/>
  <c r="E199" i="14"/>
  <c r="F199" i="14"/>
  <c r="D205" i="14"/>
  <c r="E205" i="14"/>
  <c r="D215" i="14"/>
  <c r="D216" i="14"/>
  <c r="E216" i="14"/>
  <c r="D261" i="14"/>
  <c r="D268" i="14"/>
  <c r="E268" i="14"/>
  <c r="F268" i="14"/>
  <c r="C30" i="19"/>
  <c r="C36" i="19"/>
  <c r="C40" i="19"/>
  <c r="D190" i="14"/>
  <c r="E190" i="14"/>
  <c r="F43" i="17"/>
  <c r="D288" i="14"/>
  <c r="D99" i="15"/>
  <c r="D88" i="15"/>
  <c r="E44" i="15"/>
  <c r="D101" i="15"/>
  <c r="E101" i="15"/>
  <c r="D97" i="15"/>
  <c r="D83" i="15"/>
  <c r="D98" i="15"/>
  <c r="D96" i="15"/>
  <c r="E96" i="15"/>
  <c r="E227" i="14"/>
  <c r="D21" i="5"/>
  <c r="D271" i="14"/>
  <c r="D304" i="14"/>
  <c r="E261" i="14"/>
  <c r="D40" i="19"/>
  <c r="D30" i="19"/>
  <c r="D56" i="19"/>
  <c r="D54" i="19"/>
  <c r="D162" i="14"/>
  <c r="D168" i="15"/>
  <c r="E168" i="15"/>
  <c r="E144" i="15"/>
  <c r="D145" i="15"/>
  <c r="D169" i="15"/>
  <c r="E169" i="15"/>
  <c r="C169" i="15"/>
  <c r="C181" i="15"/>
  <c r="C287" i="14"/>
  <c r="C279" i="14"/>
  <c r="C284" i="14"/>
  <c r="C258" i="15"/>
  <c r="C98" i="15"/>
  <c r="C87" i="15"/>
  <c r="C83" i="15"/>
  <c r="C100" i="15"/>
  <c r="C96" i="15"/>
  <c r="C102" i="15"/>
  <c r="C89" i="15"/>
  <c r="C85" i="15"/>
  <c r="C97" i="15"/>
  <c r="C86" i="15"/>
  <c r="C95" i="15"/>
  <c r="C103" i="15"/>
  <c r="C84" i="15"/>
  <c r="C101" i="15"/>
  <c r="C99" i="15"/>
  <c r="C88" i="15"/>
  <c r="D211" i="15"/>
  <c r="E89" i="14"/>
  <c r="F89" i="14"/>
  <c r="E32" i="14"/>
  <c r="F32" i="14"/>
  <c r="C175" i="14"/>
  <c r="E175" i="14"/>
  <c r="C270" i="14"/>
  <c r="F270" i="14"/>
  <c r="D24" i="5"/>
  <c r="D20" i="5"/>
  <c r="D17" i="5"/>
  <c r="D140" i="14"/>
  <c r="E22" i="15"/>
  <c r="F192" i="14"/>
  <c r="D75" i="1"/>
  <c r="D255" i="14"/>
  <c r="E255" i="14"/>
  <c r="F255" i="14"/>
  <c r="E215" i="14"/>
  <c r="E48" i="19"/>
  <c r="E38" i="19"/>
  <c r="E113" i="19"/>
  <c r="E56" i="19"/>
  <c r="D176" i="14"/>
  <c r="D22" i="10"/>
  <c r="D20" i="10"/>
  <c r="C56" i="19"/>
  <c r="C48" i="19"/>
  <c r="C38" i="19"/>
  <c r="C113" i="19"/>
  <c r="C112" i="19"/>
  <c r="C55" i="19"/>
  <c r="C47" i="19"/>
  <c r="C37" i="19"/>
  <c r="E280" i="14"/>
  <c r="F280" i="14"/>
  <c r="E110" i="19"/>
  <c r="E53" i="19"/>
  <c r="E45" i="19"/>
  <c r="E39" i="19"/>
  <c r="E35" i="19"/>
  <c r="E29" i="19"/>
  <c r="E47" i="19"/>
  <c r="E181" i="14"/>
  <c r="F181" i="14"/>
  <c r="D66" i="15"/>
  <c r="C194" i="14"/>
  <c r="C195" i="14"/>
  <c r="C263" i="14"/>
  <c r="C268" i="14"/>
  <c r="C207" i="14"/>
  <c r="C138" i="14"/>
  <c r="C140" i="14"/>
  <c r="F137" i="14"/>
  <c r="E137" i="14"/>
  <c r="E254" i="14"/>
  <c r="D241" i="15"/>
  <c r="E217" i="15"/>
  <c r="E223" i="15"/>
  <c r="E283" i="14"/>
  <c r="F283" i="14"/>
  <c r="E19" i="2"/>
  <c r="F19" i="2"/>
  <c r="D33" i="2"/>
  <c r="D193" i="14"/>
  <c r="D266" i="14"/>
  <c r="D300" i="14"/>
  <c r="E300" i="14"/>
  <c r="D284" i="15"/>
  <c r="E284" i="15"/>
  <c r="D286" i="14"/>
  <c r="F39" i="17"/>
  <c r="D75" i="8"/>
  <c r="E75" i="8"/>
  <c r="C90" i="14"/>
  <c r="F90" i="14"/>
  <c r="D43" i="8"/>
  <c r="D246" i="15"/>
  <c r="D106" i="14"/>
  <c r="C196" i="14"/>
  <c r="F196" i="14"/>
  <c r="C49" i="14"/>
  <c r="F49" i="14"/>
  <c r="D50" i="14"/>
  <c r="D45" i="19"/>
  <c r="D35" i="19"/>
  <c r="D110" i="19"/>
  <c r="D279" i="14"/>
  <c r="E279" i="14"/>
  <c r="D284" i="14"/>
  <c r="E284" i="14"/>
  <c r="F284" i="14"/>
  <c r="E277" i="14"/>
  <c r="F277" i="14"/>
  <c r="E239" i="14"/>
  <c r="E159" i="14"/>
  <c r="F159" i="14"/>
  <c r="E43" i="15"/>
  <c r="E102" i="14"/>
  <c r="C103" i="14"/>
  <c r="E103" i="14"/>
  <c r="F103" i="14"/>
  <c r="E269" i="14"/>
  <c r="F269" i="14"/>
  <c r="F254" i="14"/>
  <c r="E262" i="14"/>
  <c r="F262" i="14"/>
  <c r="C272" i="14"/>
  <c r="C104" i="14"/>
  <c r="C174" i="14"/>
  <c r="E174" i="14"/>
  <c r="F174" i="14"/>
  <c r="D295" i="15"/>
  <c r="E33" i="15"/>
  <c r="D17" i="10"/>
  <c r="D28" i="10"/>
  <c r="D70" i="10"/>
  <c r="D72" i="10"/>
  <c r="C28" i="5"/>
  <c r="C99" i="5"/>
  <c r="C101" i="5"/>
  <c r="C112" i="5"/>
  <c r="C111" i="5"/>
  <c r="D33" i="9"/>
  <c r="C41" i="2"/>
  <c r="E138" i="14"/>
  <c r="E125" i="14"/>
  <c r="F125" i="14"/>
  <c r="F41" i="17"/>
  <c r="F215" i="14"/>
  <c r="E222" i="15"/>
  <c r="D41" i="9"/>
  <c r="D48" i="9"/>
  <c r="C22" i="5"/>
  <c r="C50" i="14"/>
  <c r="E33" i="2"/>
  <c r="F33" i="2"/>
  <c r="D41" i="2"/>
  <c r="C208" i="14"/>
  <c r="D235" i="15"/>
  <c r="E235" i="15"/>
  <c r="E211" i="15"/>
  <c r="D183" i="14"/>
  <c r="D323" i="14"/>
  <c r="E83" i="15"/>
  <c r="E49" i="14"/>
  <c r="C176" i="14"/>
  <c r="E176" i="14"/>
  <c r="F176" i="14"/>
  <c r="D181" i="15"/>
  <c r="E181" i="15"/>
  <c r="E145" i="15"/>
  <c r="D273" i="14"/>
  <c r="D141" i="14"/>
  <c r="D322" i="14"/>
  <c r="D112" i="5"/>
  <c r="D111" i="5"/>
  <c r="D28" i="5"/>
  <c r="E88" i="15"/>
  <c r="C90" i="15"/>
  <c r="C91" i="15"/>
  <c r="C105" i="15"/>
  <c r="E97" i="15"/>
  <c r="C48" i="2"/>
  <c r="E90" i="14"/>
  <c r="D194" i="14"/>
  <c r="D195" i="14"/>
  <c r="E193" i="14"/>
  <c r="F193" i="14"/>
  <c r="D282" i="14"/>
  <c r="E282" i="14"/>
  <c r="F282" i="14"/>
  <c r="E37" i="19"/>
  <c r="E55" i="19"/>
  <c r="E270" i="14"/>
  <c r="D113" i="19"/>
  <c r="D48" i="19"/>
  <c r="F138" i="14"/>
  <c r="C105" i="14"/>
  <c r="C106" i="14"/>
  <c r="E98" i="15"/>
  <c r="E99" i="15"/>
  <c r="E105" i="14"/>
  <c r="E41" i="2"/>
  <c r="F41" i="2"/>
  <c r="D48" i="2"/>
  <c r="E48" i="2"/>
  <c r="F48" i="2"/>
  <c r="E194" i="14"/>
  <c r="D196" i="14"/>
  <c r="D99" i="5"/>
  <c r="D101" i="5"/>
  <c r="D98" i="5"/>
  <c r="D22" i="5"/>
  <c r="C210" i="14"/>
  <c r="D197" i="14"/>
  <c r="E196" i="14"/>
  <c r="E106" i="14"/>
  <c r="F106" i="14"/>
  <c r="C141" i="14"/>
  <c r="E140" i="14"/>
  <c r="F140" i="14"/>
  <c r="F195" i="14"/>
  <c r="E304" i="14"/>
  <c r="F304" i="14"/>
  <c r="D113" i="14"/>
  <c r="D324" i="14"/>
  <c r="E95" i="15"/>
  <c r="C63" i="14"/>
  <c r="E62" i="14"/>
  <c r="F62" i="14"/>
  <c r="E195" i="14"/>
  <c r="D70" i="14"/>
  <c r="E266" i="14"/>
  <c r="F266" i="14"/>
  <c r="D265" i="14"/>
  <c r="E265" i="14"/>
  <c r="F265" i="14"/>
  <c r="F279" i="14"/>
  <c r="D289" i="14"/>
  <c r="D291" i="14"/>
  <c r="E287" i="14"/>
  <c r="F287" i="14"/>
  <c r="D77" i="15"/>
  <c r="D259" i="15"/>
  <c r="F300" i="14"/>
  <c r="C273" i="14"/>
  <c r="E271" i="14"/>
  <c r="F271" i="14"/>
  <c r="E161" i="14"/>
  <c r="F161" i="14"/>
  <c r="C162" i="14"/>
  <c r="F205" i="14"/>
  <c r="F216" i="14"/>
  <c r="E104" i="14"/>
  <c r="F104" i="14"/>
  <c r="E146" i="14"/>
  <c r="F95" i="3"/>
  <c r="E95" i="3"/>
  <c r="F85" i="3"/>
  <c r="F93" i="3"/>
  <c r="F78" i="4"/>
  <c r="C21" i="5"/>
  <c r="C20" i="5"/>
  <c r="E17" i="5"/>
  <c r="E24" i="5"/>
  <c r="E20" i="5"/>
  <c r="C139" i="5"/>
  <c r="C137" i="5"/>
  <c r="C138" i="5"/>
  <c r="C135" i="5"/>
  <c r="C140" i="5"/>
  <c r="C136" i="5"/>
  <c r="C209" i="14"/>
  <c r="D281" i="14"/>
  <c r="E281" i="14"/>
  <c r="F281" i="14"/>
  <c r="E50" i="14"/>
  <c r="F50" i="14"/>
  <c r="D148" i="14"/>
  <c r="F194" i="14"/>
  <c r="F105" i="14"/>
  <c r="D38" i="19"/>
  <c r="E112" i="19"/>
  <c r="F175" i="14"/>
  <c r="F61" i="14"/>
  <c r="E61" i="14"/>
  <c r="D29" i="19"/>
  <c r="D39" i="19"/>
  <c r="C126" i="14"/>
  <c r="E21" i="14"/>
  <c r="F21" i="14"/>
  <c r="C91" i="14"/>
  <c r="F173" i="14"/>
  <c r="C286" i="14"/>
  <c r="C139" i="14"/>
  <c r="F261" i="14"/>
  <c r="C288" i="14"/>
  <c r="F285" i="14"/>
  <c r="D252" i="15"/>
  <c r="E210" i="15"/>
  <c r="D234" i="15"/>
  <c r="E234" i="15"/>
  <c r="D111" i="19"/>
  <c r="D36" i="19"/>
  <c r="D263" i="14"/>
  <c r="E263" i="14"/>
  <c r="F263" i="14"/>
  <c r="D85" i="15"/>
  <c r="E85" i="15"/>
  <c r="D87" i="15"/>
  <c r="E87" i="15"/>
  <c r="D89" i="15"/>
  <c r="E89" i="15"/>
  <c r="D100" i="15"/>
  <c r="D86" i="15"/>
  <c r="E86" i="15"/>
  <c r="D258" i="15"/>
  <c r="D84" i="15"/>
  <c r="D253" i="15"/>
  <c r="E253" i="15"/>
  <c r="E65" i="1"/>
  <c r="F22" i="1"/>
  <c r="F29" i="1"/>
  <c r="F24" i="4"/>
  <c r="F30" i="4"/>
  <c r="F83" i="4"/>
  <c r="E83" i="4"/>
  <c r="F109" i="4"/>
  <c r="E137" i="5"/>
  <c r="E135" i="5"/>
  <c r="E136" i="5"/>
  <c r="E139" i="5"/>
  <c r="E138" i="5"/>
  <c r="E140" i="5"/>
  <c r="D135" i="5"/>
  <c r="D137" i="5"/>
  <c r="D136" i="5"/>
  <c r="D138" i="5"/>
  <c r="D140" i="5"/>
  <c r="C152" i="5"/>
  <c r="C157" i="5"/>
  <c r="C153" i="5"/>
  <c r="C156" i="5"/>
  <c r="C154" i="5"/>
  <c r="C155" i="5"/>
  <c r="D156" i="5"/>
  <c r="D157" i="5"/>
  <c r="D154" i="5"/>
  <c r="D152" i="5"/>
  <c r="D153" i="5"/>
  <c r="D155" i="5"/>
  <c r="E153" i="5"/>
  <c r="E154" i="5"/>
  <c r="E152" i="5"/>
  <c r="E157" i="5"/>
  <c r="E156" i="5"/>
  <c r="E155" i="5"/>
  <c r="F24" i="6"/>
  <c r="F50" i="6"/>
  <c r="F76" i="6"/>
  <c r="E29" i="1"/>
  <c r="E61" i="1"/>
  <c r="F61" i="1"/>
  <c r="E73" i="1"/>
  <c r="F73" i="1"/>
  <c r="C52" i="3"/>
  <c r="E85" i="3"/>
  <c r="E89" i="3"/>
  <c r="F89" i="3"/>
  <c r="E93" i="3"/>
  <c r="E59" i="4"/>
  <c r="F59" i="4"/>
  <c r="E78" i="4"/>
  <c r="E118" i="4"/>
  <c r="F118" i="4"/>
  <c r="C176" i="4"/>
  <c r="D43" i="5"/>
  <c r="D53" i="5"/>
  <c r="E88" i="5"/>
  <c r="E90" i="5"/>
  <c r="E86" i="5"/>
  <c r="E23" i="6"/>
  <c r="F23" i="6"/>
  <c r="E36" i="6"/>
  <c r="F36" i="6"/>
  <c r="E49" i="6"/>
  <c r="F49" i="6"/>
  <c r="E62" i="6"/>
  <c r="F62" i="6"/>
  <c r="E75" i="6"/>
  <c r="F75" i="6"/>
  <c r="E114" i="6"/>
  <c r="F114" i="6"/>
  <c r="F141" i="6"/>
  <c r="F205" i="6"/>
  <c r="F60" i="7"/>
  <c r="F120" i="7"/>
  <c r="C43" i="1"/>
  <c r="C65" i="1"/>
  <c r="D57" i="5"/>
  <c r="D62" i="5"/>
  <c r="C77" i="5"/>
  <c r="C71" i="5"/>
  <c r="E127" i="6"/>
  <c r="F127" i="6"/>
  <c r="F128" i="6"/>
  <c r="F140" i="6"/>
  <c r="E141" i="6"/>
  <c r="F193" i="6"/>
  <c r="F23" i="7"/>
  <c r="F47" i="7"/>
  <c r="F95" i="7"/>
  <c r="F153" i="6"/>
  <c r="F192" i="6"/>
  <c r="C208" i="6"/>
  <c r="E199" i="6"/>
  <c r="F199" i="6"/>
  <c r="F200" i="6"/>
  <c r="F202" i="6"/>
  <c r="E205" i="6"/>
  <c r="E24" i="7"/>
  <c r="F24" i="7"/>
  <c r="E36" i="7"/>
  <c r="F36" i="7"/>
  <c r="E48" i="7"/>
  <c r="F48" i="7"/>
  <c r="E60" i="7"/>
  <c r="E96" i="7"/>
  <c r="F96" i="7"/>
  <c r="E108" i="7"/>
  <c r="F108" i="7"/>
  <c r="E113" i="7"/>
  <c r="F113" i="7"/>
  <c r="E115" i="7"/>
  <c r="F115" i="7"/>
  <c r="E117" i="7"/>
  <c r="F117" i="7"/>
  <c r="C41" i="8"/>
  <c r="F16" i="9"/>
  <c r="C19" i="9"/>
  <c r="F99" i="12"/>
  <c r="F19" i="13"/>
  <c r="F129" i="14"/>
  <c r="C122" i="7"/>
  <c r="G31" i="11"/>
  <c r="F85" i="14"/>
  <c r="F124" i="14"/>
  <c r="E124" i="14"/>
  <c r="E15" i="10"/>
  <c r="C25" i="10"/>
  <c r="C27" i="10"/>
  <c r="C59" i="10"/>
  <c r="C61" i="10"/>
  <c r="C57" i="10"/>
  <c r="C33" i="11"/>
  <c r="E16" i="12"/>
  <c r="F16" i="12"/>
  <c r="E23" i="12"/>
  <c r="F23" i="12"/>
  <c r="E65" i="12"/>
  <c r="F65" i="12"/>
  <c r="E70" i="12"/>
  <c r="F70" i="12"/>
  <c r="E92" i="12"/>
  <c r="F92" i="12"/>
  <c r="E99" i="12"/>
  <c r="E14" i="13"/>
  <c r="F14" i="13"/>
  <c r="E19" i="13"/>
  <c r="E23" i="13"/>
  <c r="F23" i="13"/>
  <c r="E17" i="14"/>
  <c r="F17" i="14"/>
  <c r="C37" i="14"/>
  <c r="E85" i="14"/>
  <c r="F100" i="14"/>
  <c r="E110" i="14"/>
  <c r="F110" i="14"/>
  <c r="E123" i="14"/>
  <c r="F123" i="14"/>
  <c r="E129" i="14"/>
  <c r="F144" i="14"/>
  <c r="C146" i="14"/>
  <c r="E164" i="14"/>
  <c r="F164" i="14"/>
  <c r="C71" i="15"/>
  <c r="C241" i="15"/>
  <c r="E241" i="15"/>
  <c r="C65" i="16"/>
  <c r="C114" i="16"/>
  <c r="C116" i="16"/>
  <c r="C119" i="16"/>
  <c r="C123" i="16"/>
  <c r="D207" i="14"/>
  <c r="E48" i="10"/>
  <c r="E42" i="10"/>
  <c r="E33" i="11"/>
  <c r="F73" i="12"/>
  <c r="E30" i="14"/>
  <c r="F30" i="14"/>
  <c r="F53" i="14"/>
  <c r="E59" i="14"/>
  <c r="F59" i="14"/>
  <c r="E101" i="14"/>
  <c r="F101" i="14"/>
  <c r="E145" i="14"/>
  <c r="F145" i="14"/>
  <c r="C306" i="14"/>
  <c r="C65" i="15"/>
  <c r="E245" i="15"/>
  <c r="C103" i="19"/>
  <c r="E195" i="15"/>
  <c r="C229" i="15"/>
  <c r="E229" i="15"/>
  <c r="E16" i="17"/>
  <c r="F16" i="17"/>
  <c r="E44" i="17"/>
  <c r="E45" i="17"/>
  <c r="F45" i="17"/>
  <c r="C189" i="15"/>
  <c r="E189" i="15"/>
  <c r="D302" i="15"/>
  <c r="F25" i="17"/>
  <c r="E36" i="17"/>
  <c r="F36" i="17"/>
  <c r="E302" i="15"/>
  <c r="D303" i="15"/>
  <c r="C66" i="15"/>
  <c r="C294" i="15"/>
  <c r="E294" i="15"/>
  <c r="E65" i="15"/>
  <c r="C246" i="15"/>
  <c r="E246" i="15"/>
  <c r="C76" i="15"/>
  <c r="E71" i="15"/>
  <c r="E24" i="10"/>
  <c r="E20" i="10"/>
  <c r="E17" i="10"/>
  <c r="E28" i="10"/>
  <c r="F43" i="1"/>
  <c r="E43" i="1"/>
  <c r="D158" i="5"/>
  <c r="D141" i="5"/>
  <c r="E258" i="15"/>
  <c r="E100" i="15"/>
  <c r="D102" i="15"/>
  <c r="F286" i="14"/>
  <c r="E286" i="14"/>
  <c r="C92" i="14"/>
  <c r="E126" i="14"/>
  <c r="C127" i="14"/>
  <c r="F126" i="14"/>
  <c r="D37" i="19"/>
  <c r="D55" i="19"/>
  <c r="D47" i="19"/>
  <c r="D112" i="19"/>
  <c r="C141" i="5"/>
  <c r="D263" i="15"/>
  <c r="E273" i="14"/>
  <c r="F273" i="14"/>
  <c r="C322" i="14"/>
  <c r="E141" i="14"/>
  <c r="F141" i="14"/>
  <c r="C211" i="14"/>
  <c r="E46" i="17"/>
  <c r="F46" i="17"/>
  <c r="E306" i="14"/>
  <c r="G33" i="11"/>
  <c r="G36" i="11"/>
  <c r="G38" i="11"/>
  <c r="G40" i="11"/>
  <c r="E36" i="11"/>
  <c r="E38" i="11"/>
  <c r="E40" i="11"/>
  <c r="D208" i="14"/>
  <c r="E207" i="14"/>
  <c r="F207" i="14"/>
  <c r="F44" i="17"/>
  <c r="F146" i="14"/>
  <c r="C36" i="11"/>
  <c r="C38" i="11"/>
  <c r="C40" i="11"/>
  <c r="F33" i="11"/>
  <c r="F36" i="11"/>
  <c r="F38" i="11"/>
  <c r="F40" i="11"/>
  <c r="C21" i="10"/>
  <c r="C22" i="10"/>
  <c r="C20" i="10"/>
  <c r="F122" i="7"/>
  <c r="E122" i="7"/>
  <c r="C33" i="9"/>
  <c r="F19" i="9"/>
  <c r="E19" i="9"/>
  <c r="F41" i="8"/>
  <c r="C43" i="8"/>
  <c r="E41" i="8"/>
  <c r="E208" i="6"/>
  <c r="F208" i="6"/>
  <c r="C75" i="1"/>
  <c r="F65" i="1"/>
  <c r="F176" i="4"/>
  <c r="E158" i="5"/>
  <c r="C158" i="5"/>
  <c r="E141" i="5"/>
  <c r="E52" i="3"/>
  <c r="F52" i="3"/>
  <c r="E176" i="4"/>
  <c r="D90" i="15"/>
  <c r="E84" i="15"/>
  <c r="E252" i="15"/>
  <c r="D254" i="15"/>
  <c r="E254" i="15"/>
  <c r="F288" i="14"/>
  <c r="C289" i="14"/>
  <c r="E289" i="14"/>
  <c r="C291" i="14"/>
  <c r="E288" i="14"/>
  <c r="E91" i="14"/>
  <c r="F91" i="14"/>
  <c r="E112" i="5"/>
  <c r="E111" i="5"/>
  <c r="E28" i="5"/>
  <c r="E37" i="14"/>
  <c r="F37" i="14"/>
  <c r="E162" i="14"/>
  <c r="F162" i="14"/>
  <c r="C183" i="14"/>
  <c r="C323" i="14"/>
  <c r="D126" i="15"/>
  <c r="D122" i="15"/>
  <c r="D125" i="15"/>
  <c r="D114" i="15"/>
  <c r="D123" i="15"/>
  <c r="D112" i="15"/>
  <c r="D121" i="15"/>
  <c r="D127" i="15"/>
  <c r="D115" i="15"/>
  <c r="D111" i="15"/>
  <c r="D124" i="15"/>
  <c r="D113" i="15"/>
  <c r="D109" i="15"/>
  <c r="D110" i="15"/>
  <c r="E139" i="14"/>
  <c r="F139" i="14"/>
  <c r="D305" i="14"/>
  <c r="E291" i="14"/>
  <c r="C70" i="14"/>
  <c r="E63" i="14"/>
  <c r="F63" i="14"/>
  <c r="D325" i="14"/>
  <c r="D309" i="14"/>
  <c r="F323" i="14"/>
  <c r="E323" i="14"/>
  <c r="E99" i="5"/>
  <c r="E101" i="5"/>
  <c r="E98" i="5"/>
  <c r="E22" i="5"/>
  <c r="C305" i="14"/>
  <c r="F291" i="14"/>
  <c r="E90" i="15"/>
  <c r="D91" i="15"/>
  <c r="F75" i="1"/>
  <c r="E75" i="1"/>
  <c r="F43" i="8"/>
  <c r="E43" i="8"/>
  <c r="C41" i="9"/>
  <c r="F33" i="9"/>
  <c r="E33" i="9"/>
  <c r="E322" i="14"/>
  <c r="F322" i="14"/>
  <c r="F92" i="14"/>
  <c r="C113" i="14"/>
  <c r="C324" i="14"/>
  <c r="E92" i="14"/>
  <c r="D264" i="15"/>
  <c r="D306" i="15"/>
  <c r="E303" i="15"/>
  <c r="D116" i="15"/>
  <c r="D117" i="15"/>
  <c r="D128" i="15"/>
  <c r="F183" i="14"/>
  <c r="E183" i="14"/>
  <c r="F289" i="14"/>
  <c r="D209" i="14"/>
  <c r="E209" i="14"/>
  <c r="F209" i="14"/>
  <c r="D210" i="14"/>
  <c r="E208" i="14"/>
  <c r="F208" i="14"/>
  <c r="E70" i="14"/>
  <c r="F70" i="14"/>
  <c r="C197" i="14"/>
  <c r="C148" i="14"/>
  <c r="E127" i="14"/>
  <c r="F127" i="14"/>
  <c r="E102" i="15"/>
  <c r="D103" i="15"/>
  <c r="E103" i="15"/>
  <c r="E70" i="10"/>
  <c r="E72" i="10"/>
  <c r="E69" i="10"/>
  <c r="E22" i="10"/>
  <c r="C77" i="15"/>
  <c r="E76" i="15"/>
  <c r="C259" i="15"/>
  <c r="C247" i="15"/>
  <c r="E247" i="15"/>
  <c r="C295" i="15"/>
  <c r="E295" i="15"/>
  <c r="E66" i="15"/>
  <c r="C263" i="15"/>
  <c r="E259" i="15"/>
  <c r="C121" i="15"/>
  <c r="C110" i="15"/>
  <c r="C127" i="15"/>
  <c r="E127" i="15"/>
  <c r="C112" i="15"/>
  <c r="E112" i="15"/>
  <c r="C115" i="15"/>
  <c r="E115" i="15"/>
  <c r="C113" i="15"/>
  <c r="E113" i="15"/>
  <c r="C125" i="15"/>
  <c r="E125" i="15"/>
  <c r="C114" i="15"/>
  <c r="E114" i="15"/>
  <c r="C123" i="15"/>
  <c r="E123" i="15"/>
  <c r="C109" i="15"/>
  <c r="C126" i="15"/>
  <c r="E126" i="15"/>
  <c r="C124" i="15"/>
  <c r="E124" i="15"/>
  <c r="C122" i="15"/>
  <c r="C111" i="15"/>
  <c r="E111" i="15"/>
  <c r="E77" i="15"/>
  <c r="D211" i="14"/>
  <c r="E211" i="14"/>
  <c r="F211" i="14"/>
  <c r="E210" i="14"/>
  <c r="F210" i="14"/>
  <c r="D266" i="15"/>
  <c r="C325" i="14"/>
  <c r="E324" i="14"/>
  <c r="F324" i="14"/>
  <c r="C48" i="9"/>
  <c r="F41" i="9"/>
  <c r="E41" i="9"/>
  <c r="C309" i="14"/>
  <c r="E309" i="14"/>
  <c r="D129" i="15"/>
  <c r="D310" i="14"/>
  <c r="E148" i="14"/>
  <c r="F148" i="14"/>
  <c r="E197" i="14"/>
  <c r="F197" i="14"/>
  <c r="D310" i="15"/>
  <c r="E310" i="15"/>
  <c r="E306" i="15"/>
  <c r="F113" i="14"/>
  <c r="E113" i="14"/>
  <c r="D105" i="15"/>
  <c r="E105" i="15"/>
  <c r="E91" i="15"/>
  <c r="E305" i="14"/>
  <c r="F305" i="14"/>
  <c r="F48" i="9"/>
  <c r="E48" i="9"/>
  <c r="F325" i="14"/>
  <c r="E325" i="14"/>
  <c r="D267" i="15"/>
  <c r="E109" i="15"/>
  <c r="C116" i="15"/>
  <c r="E116" i="15"/>
  <c r="E110" i="15"/>
  <c r="D312" i="14"/>
  <c r="F309" i="14"/>
  <c r="C310" i="14"/>
  <c r="E310" i="14"/>
  <c r="D131" i="15"/>
  <c r="C128" i="15"/>
  <c r="E128" i="15"/>
  <c r="E122" i="15"/>
  <c r="E121" i="15"/>
  <c r="C264" i="15"/>
  <c r="E263" i="15"/>
  <c r="D269" i="15"/>
  <c r="D268" i="15"/>
  <c r="C266" i="15"/>
  <c r="E264" i="15"/>
  <c r="C129" i="15"/>
  <c r="E129" i="15"/>
  <c r="F310" i="14"/>
  <c r="C312" i="14"/>
  <c r="E312" i="14"/>
  <c r="D313" i="14"/>
  <c r="C117" i="15"/>
  <c r="C131" i="15"/>
  <c r="E131" i="15"/>
  <c r="E117" i="15"/>
  <c r="D251" i="14"/>
  <c r="D315" i="14"/>
  <c r="D314" i="14"/>
  <c r="D256" i="14"/>
  <c r="F312" i="14"/>
  <c r="C313" i="14"/>
  <c r="C267" i="15"/>
  <c r="E266" i="15"/>
  <c r="D271" i="15"/>
  <c r="C251" i="14"/>
  <c r="C315" i="14"/>
  <c r="F313" i="14"/>
  <c r="C256" i="14"/>
  <c r="C314" i="14"/>
  <c r="D257" i="14"/>
  <c r="E256" i="14"/>
  <c r="E315" i="14"/>
  <c r="E251" i="14"/>
  <c r="C269" i="15"/>
  <c r="E269" i="15"/>
  <c r="C268" i="15"/>
  <c r="E267" i="15"/>
  <c r="D318" i="14"/>
  <c r="E314" i="14"/>
  <c r="E313" i="14"/>
  <c r="C318" i="14"/>
  <c r="F314" i="14"/>
  <c r="F251" i="14"/>
  <c r="C271" i="15"/>
  <c r="E271" i="15"/>
  <c r="E268" i="15"/>
  <c r="E257" i="14"/>
  <c r="C257" i="14"/>
  <c r="F256" i="14"/>
  <c r="F315" i="14"/>
  <c r="F257" i="14"/>
  <c r="E318" i="14"/>
  <c r="F318" i="14"/>
</calcChain>
</file>

<file path=xl/sharedStrings.xml><?xml version="1.0" encoding="utf-8"?>
<sst xmlns="http://schemas.openxmlformats.org/spreadsheetml/2006/main" count="2302" uniqueCount="980">
  <si>
    <t>JOHNSON MEMORIAL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</si>
  <si>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</si>
  <si>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</si>
  <si>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</si>
  <si>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</si>
  <si>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</si>
  <si>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</si>
  <si>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</si>
  <si>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</si>
  <si>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</si>
  <si>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</si>
  <si>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</si>
  <si>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</si>
  <si>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</si>
  <si>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</si>
  <si>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</si>
  <si>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</si>
  <si>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</si>
  <si>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</si>
  <si>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</si>
  <si>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</si>
  <si>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</si>
  <si>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</si>
  <si>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</si>
  <si>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</si>
  <si>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</si>
  <si>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</si>
  <si>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</si>
  <si>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</si>
  <si>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</si>
  <si>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</si>
  <si>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</si>
  <si>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</si>
  <si>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</si>
  <si>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</si>
  <si>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</si>
  <si>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</si>
  <si>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</si>
  <si>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</si>
  <si>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</si>
  <si>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</si>
  <si>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</si>
  <si>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</si>
  <si>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</si>
  <si>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</si>
  <si>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</si>
  <si>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</si>
  <si>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</si>
  <si>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</si>
  <si>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</si>
  <si>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</si>
  <si>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</si>
  <si>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</si>
  <si>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</si>
  <si>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</si>
  <si>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</si>
  <si>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</si>
  <si>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</si>
  <si>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</si>
  <si>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</si>
  <si>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</si>
  <si>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</si>
  <si>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</si>
  <si>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</si>
  <si>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</si>
  <si>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</si>
  <si>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</si>
  <si>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</si>
  <si>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</si>
  <si>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</si>
  <si>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</si>
  <si>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</si>
  <si>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</si>
  <si>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</si>
  <si>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</si>
  <si>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</si>
  <si>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</si>
  <si>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</si>
  <si>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</si>
  <si>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</si>
  <si>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</si>
  <si>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</si>
  <si>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</si>
  <si>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</si>
  <si>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</si>
  <si>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</si>
  <si>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</si>
  <si>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</si>
  <si>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</si>
  <si>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</si>
  <si>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</si>
  <si>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</si>
  <si>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</si>
  <si>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</si>
  <si>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</si>
  <si>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</si>
  <si>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</si>
  <si>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</si>
  <si>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</si>
  <si>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</si>
  <si>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</si>
  <si>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</si>
  <si>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</si>
  <si>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</si>
  <si>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</si>
  <si>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</si>
  <si>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</si>
  <si>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</si>
  <si>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</si>
  <si>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</si>
  <si>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</si>
  <si>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</si>
  <si>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</si>
  <si>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</si>
  <si>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</si>
  <si>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</si>
  <si>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</si>
  <si>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</si>
  <si>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</si>
  <si>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</si>
  <si>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</si>
  <si>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</si>
  <si>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</si>
  <si>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</si>
  <si>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</si>
  <si>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</si>
  <si>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</si>
  <si>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</si>
  <si>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</si>
  <si>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</si>
  <si>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</si>
  <si>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</si>
  <si>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</si>
  <si>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</si>
  <si>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</si>
  <si>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</si>
  <si>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</si>
  <si>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</si>
  <si>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</si>
  <si>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</si>
  <si>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</si>
  <si>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</si>
  <si>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</si>
  <si>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</si>
  <si>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</si>
  <si>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</si>
  <si>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</si>
  <si>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</si>
  <si>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</si>
  <si>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</si>
  <si>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</si>
  <si>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</si>
  <si>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</si>
  <si>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</si>
  <si>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</si>
  <si>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</si>
  <si>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</si>
  <si>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</si>
  <si>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</si>
  <si>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</si>
  <si>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</si>
  <si>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</si>
  <si>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</si>
  <si>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</si>
  <si>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</si>
  <si>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</si>
  <si>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</si>
  <si>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</si>
  <si>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</si>
  <si>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</si>
  <si>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</si>
  <si>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</si>
  <si>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</si>
  <si>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</si>
  <si>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</si>
  <si>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</si>
  <si>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</si>
  <si>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</si>
  <si>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</si>
  <si>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</si>
  <si>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</si>
  <si>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</si>
  <si>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</si>
  <si>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</si>
  <si>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</si>
  <si>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</si>
  <si>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</si>
  <si>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</si>
  <si>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</si>
  <si>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</si>
  <si>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</si>
  <si>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</si>
  <si>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</si>
  <si>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</si>
  <si>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</si>
  <si>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</si>
  <si>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</si>
  <si>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</si>
  <si>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</si>
  <si>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</si>
  <si>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</si>
  <si>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</si>
  <si>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</si>
  <si>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</si>
  <si>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</si>
  <si>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</si>
  <si>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</si>
  <si>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</si>
  <si>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</si>
  <si>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</si>
  <si>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</si>
  <si>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</si>
  <si>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</si>
  <si>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</si>
  <si>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</si>
  <si>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</si>
  <si>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</si>
  <si>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</si>
  <si>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</si>
  <si>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</si>
  <si>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</si>
  <si>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</si>
  <si>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</si>
  <si>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</si>
  <si>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</si>
  <si>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</si>
  <si>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</si>
  <si>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</si>
  <si>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</si>
  <si>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</si>
  <si>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</si>
  <si>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</si>
  <si>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</si>
  <si>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</si>
  <si>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</si>
  <si>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</si>
  <si>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</si>
  <si>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</si>
  <si>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</si>
  <si>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</si>
  <si>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</si>
  <si>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</si>
  <si>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</si>
  <si>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</si>
  <si>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</si>
  <si>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</si>
  <si>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</si>
  <si>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</si>
  <si>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</si>
  <si>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</si>
  <si>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</si>
  <si>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</si>
  <si>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</si>
  <si>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</si>
  <si>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</si>
  <si>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</si>
  <si>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</si>
  <si>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</si>
  <si>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</si>
  <si>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</si>
  <si>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</si>
  <si>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</si>
  <si>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</si>
  <si>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</si>
  <si>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</si>
  <si>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</si>
  <si>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</si>
  <si>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</si>
  <si>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</si>
  <si>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</si>
  <si>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</si>
  <si>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</si>
  <si>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</si>
  <si>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</si>
  <si>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</si>
  <si>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</si>
  <si>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</si>
  <si>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</si>
  <si>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</si>
  <si>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</si>
  <si>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</si>
  <si>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</si>
  <si>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</si>
  <si>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</si>
  <si>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</si>
  <si>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</si>
  <si>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</si>
  <si>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</si>
  <si>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</si>
  <si>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</si>
  <si>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</si>
  <si>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</si>
  <si>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</si>
  <si>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</si>
  <si>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</si>
  <si>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</si>
  <si>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</si>
  <si>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</si>
  <si>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</si>
  <si>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</si>
  <si>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</si>
  <si>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</si>
  <si>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</si>
  <si>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</si>
  <si>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</si>
  <si>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</si>
  <si>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</si>
  <si>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</si>
  <si>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</si>
  <si>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</si>
  <si>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</si>
  <si>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</si>
  <si>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</si>
  <si>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</si>
  <si>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</si>
  <si>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</si>
  <si>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</si>
  <si>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</si>
  <si>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</si>
  <si>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</si>
  <si>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</si>
  <si>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</si>
  <si>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</si>
  <si>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</si>
  <si>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</si>
  <si>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</si>
  <si>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</si>
  <si>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</si>
  <si>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</si>
  <si>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</si>
  <si>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</si>
  <si>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</si>
  <si>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</si>
  <si>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</si>
  <si>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</si>
  <si>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</si>
  <si>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</si>
  <si>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</si>
  <si>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</si>
  <si>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</si>
  <si>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</si>
  <si>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</si>
  <si>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</si>
  <si>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</si>
  <si>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</si>
  <si>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</si>
  <si>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</si>
  <si>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</si>
  <si>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</si>
  <si>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</si>
  <si>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</si>
  <si>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</si>
  <si>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</si>
  <si>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</si>
  <si>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</si>
  <si>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</si>
  <si>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</si>
  <si>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</si>
  <si>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</si>
  <si>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</si>
  <si>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</si>
  <si>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</si>
  <si>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</si>
  <si>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</si>
  <si>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</si>
  <si>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</si>
  <si>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</si>
  <si>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</si>
  <si>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</si>
  <si>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</si>
  <si>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</si>
  <si>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</si>
  <si>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</si>
  <si>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</si>
  <si>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</si>
  <si>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</si>
  <si>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</si>
  <si>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</si>
  <si>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</si>
  <si>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</si>
  <si>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</si>
  <si>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</si>
  <si>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</si>
  <si>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</si>
  <si>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</si>
  <si>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</si>
  <si>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</si>
  <si>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</si>
  <si>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</si>
  <si>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</si>
  <si>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</si>
  <si>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</si>
  <si>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</si>
  <si>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</si>
  <si>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</si>
  <si>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</si>
  <si>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</si>
  <si>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</si>
  <si>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</si>
  <si>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</si>
  <si>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</si>
  <si>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</si>
  <si>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</si>
  <si>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</si>
  <si>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</si>
  <si>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</si>
  <si>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</si>
  <si>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</si>
  <si>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</si>
  <si>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</si>
  <si>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</si>
  <si>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</si>
  <si>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</si>
  <si>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</si>
  <si>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</si>
  <si>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</si>
  <si>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</si>
  <si>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</si>
  <si>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</si>
  <si>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</si>
  <si>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</si>
  <si>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</si>
  <si>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</si>
  <si>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</si>
  <si>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</si>
  <si>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</si>
  <si>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</si>
  <si>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</si>
  <si>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</si>
  <si>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</si>
  <si>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</si>
  <si>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</si>
  <si>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</si>
  <si>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</si>
  <si>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</si>
  <si>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</si>
  <si>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</si>
  <si>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</si>
  <si>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</si>
  <si>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</si>
  <si>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</si>
  <si>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</si>
  <si>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</si>
  <si>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</si>
  <si>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</si>
  <si>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</si>
  <si>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</si>
  <si>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</si>
  <si>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</si>
  <si>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</si>
  <si>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</si>
  <si>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</si>
  <si>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</si>
  <si>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</si>
  <si>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</si>
  <si>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</si>
  <si>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</si>
  <si>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</si>
  <si>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</si>
  <si>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</si>
  <si>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</si>
  <si>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</si>
  <si>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</si>
  <si>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</si>
  <si>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</si>
  <si>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</si>
  <si>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</si>
  <si>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</si>
  <si>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</si>
  <si>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</si>
  <si>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</si>
  <si>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</si>
  <si>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</si>
  <si>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</si>
  <si>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</si>
  <si>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</si>
  <si>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</si>
  <si>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</si>
  <si>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</si>
  <si>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JOHNSON MEMORIAL MEDICAL CENTER,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</si>
  <si>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</si>
  <si>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</si>
  <si>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</si>
  <si>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</si>
  <si>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</si>
  <si>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</si>
  <si>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</si>
  <si>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</si>
  <si>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</si>
  <si>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</si>
  <si>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</si>
  <si>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</si>
  <si>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</si>
  <si>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</si>
  <si>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</si>
  <si>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</si>
  <si>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</si>
  <si>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</si>
  <si>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</si>
  <si>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</si>
  <si>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</si>
  <si>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</si>
  <si>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</si>
  <si>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</si>
  <si>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</si>
  <si>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</si>
  <si>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</si>
  <si>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</si>
  <si>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</si>
  <si>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</si>
  <si>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</si>
  <si>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</si>
  <si>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</si>
  <si>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</si>
  <si>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</si>
  <si>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</si>
  <si>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</si>
  <si>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</si>
  <si>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</si>
  <si>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</si>
  <si>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</si>
  <si>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</si>
  <si>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</si>
  <si>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</si>
  <si>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</si>
  <si>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</si>
  <si>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</si>
  <si>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</si>
  <si>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</si>
  <si>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</si>
  <si>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</si>
  <si>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</si>
  <si>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</si>
  <si>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</si>
  <si>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</si>
  <si>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</si>
  <si>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</si>
  <si>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</si>
  <si>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</si>
  <si>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</si>
  <si>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</si>
  <si>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</si>
  <si>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</si>
  <si>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</si>
  <si>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</si>
  <si>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</si>
  <si>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</si>
  <si>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</si>
  <si>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</si>
  <si>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</si>
  <si>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</si>
  <si>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</si>
  <si>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</si>
  <si>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</si>
  <si>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</si>
  <si>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</si>
  <si>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</si>
  <si>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</si>
  <si>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</si>
  <si>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</si>
  <si>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</si>
  <si>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</si>
  <si>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</si>
  <si>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</si>
  <si>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</si>
  <si>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</si>
  <si>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</si>
  <si>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</si>
  <si>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</si>
  <si>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</si>
  <si>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</si>
  <si>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</si>
  <si>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</si>
  <si>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</si>
  <si>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</si>
  <si>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</si>
  <si>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</si>
  <si>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</si>
  <si>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</si>
  <si>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</si>
  <si>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</si>
  <si>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</si>
  <si>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</si>
  <si>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Johnson Memorial Hospital</t>
  </si>
  <si>
    <t>Offsite Surgery Department - Enfield, CT</t>
  </si>
  <si>
    <t xml:space="preserve">      Total Outpatient Surgical Procedures(A)     </t>
  </si>
  <si>
    <t>Offsite Surgical Department - Enfield, CT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</si>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</sst>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3033010</v>
      </c>
      <c r="D13" s="23">
        <v>4142244</v>
      </c>
      <c r="E13" s="23">
        <f t="shared" ref="E13:E22" si="0">D13-C13</f>
        <v>1109234</v>
      </c>
      <c r="F13" s="24">
        <f t="shared" ref="F13:F22" si="1">IF(C13=0,0,E13/C13)</f>
        <v>0.36572052185782439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9.25" customHeight="1" x14ac:dyDescent="0.2">
      <c r="A15" s="21">
        <v>3</v>
      </c>
      <c r="B15" s="22" t="s">
        <v>18</v>
      </c>
      <c r="C15" s="23">
        <v>8626274</v>
      </c>
      <c r="D15" s="23">
        <v>7869668</v>
      </c>
      <c r="E15" s="23">
        <f t="shared" si="0"/>
        <v>-756606</v>
      </c>
      <c r="F15" s="24">
        <f t="shared" si="1"/>
        <v>-8.7709479202724136E-2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1163240</v>
      </c>
      <c r="D19" s="23">
        <v>1154583</v>
      </c>
      <c r="E19" s="23">
        <f t="shared" si="0"/>
        <v>-8657</v>
      </c>
      <c r="F19" s="24">
        <f t="shared" si="1"/>
        <v>-7.4421443554210653E-3</v>
      </c>
    </row>
    <row r="20" spans="1:11" ht="24" customHeight="1" x14ac:dyDescent="0.2">
      <c r="A20" s="21">
        <v>8</v>
      </c>
      <c r="B20" s="22" t="s">
        <v>23</v>
      </c>
      <c r="C20" s="23">
        <v>1256714</v>
      </c>
      <c r="D20" s="23">
        <v>1147109</v>
      </c>
      <c r="E20" s="23">
        <f t="shared" si="0"/>
        <v>-109605</v>
      </c>
      <c r="F20" s="24">
        <f t="shared" si="1"/>
        <v>-8.7215547849391353E-2</v>
      </c>
    </row>
    <row r="21" spans="1:11" ht="24" customHeight="1" x14ac:dyDescent="0.2">
      <c r="A21" s="21">
        <v>9</v>
      </c>
      <c r="B21" s="22" t="s">
        <v>24</v>
      </c>
      <c r="C21" s="23">
        <v>307377</v>
      </c>
      <c r="D21" s="23">
        <v>307732</v>
      </c>
      <c r="E21" s="23">
        <f t="shared" si="0"/>
        <v>355</v>
      </c>
      <c r="F21" s="24">
        <f t="shared" si="1"/>
        <v>1.1549335181226961E-3</v>
      </c>
    </row>
    <row r="22" spans="1:11" ht="24" customHeight="1" x14ac:dyDescent="0.25">
      <c r="A22" s="25"/>
      <c r="B22" s="26" t="s">
        <v>25</v>
      </c>
      <c r="C22" s="27">
        <f>SUM(C13:C21)</f>
        <v>14386615</v>
      </c>
      <c r="D22" s="27">
        <f>SUM(D13:D21)</f>
        <v>14621336</v>
      </c>
      <c r="E22" s="27">
        <f t="shared" si="0"/>
        <v>234721</v>
      </c>
      <c r="F22" s="28">
        <f t="shared" si="1"/>
        <v>1.6315234681681549E-2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3164546</v>
      </c>
      <c r="D25" s="23">
        <v>3283243</v>
      </c>
      <c r="E25" s="23">
        <f>D25-C25</f>
        <v>118697</v>
      </c>
      <c r="F25" s="24">
        <f>IF(C25=0,0,E25/C25)</f>
        <v>3.7508381929035002E-2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1818781</v>
      </c>
      <c r="D28" s="23">
        <v>1806257</v>
      </c>
      <c r="E28" s="23">
        <f>D28-C28</f>
        <v>-12524</v>
      </c>
      <c r="F28" s="24">
        <f>IF(C28=0,0,E28/C28)</f>
        <v>-6.8859307415241305E-3</v>
      </c>
    </row>
    <row r="29" spans="1:11" ht="24" customHeight="1" x14ac:dyDescent="0.25">
      <c r="A29" s="25"/>
      <c r="B29" s="26" t="s">
        <v>32</v>
      </c>
      <c r="C29" s="27">
        <f>SUM(C25:C28)</f>
        <v>4983327</v>
      </c>
      <c r="D29" s="27">
        <f>SUM(D25:D28)</f>
        <v>5089500</v>
      </c>
      <c r="E29" s="27">
        <f>D29-C29</f>
        <v>106173</v>
      </c>
      <c r="F29" s="28">
        <f>IF(C29=0,0,E29/C29)</f>
        <v>2.1305645806506377E-2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2523346</v>
      </c>
      <c r="D32" s="23">
        <v>2868975</v>
      </c>
      <c r="E32" s="23">
        <f>D32-C32</f>
        <v>345629</v>
      </c>
      <c r="F32" s="24">
        <f>IF(C32=0,0,E32/C32)</f>
        <v>0.1369724960429525</v>
      </c>
    </row>
    <row r="33" spans="1:8" ht="24" customHeight="1" x14ac:dyDescent="0.2">
      <c r="A33" s="21">
        <v>7</v>
      </c>
      <c r="B33" s="22" t="s">
        <v>35</v>
      </c>
      <c r="C33" s="23">
        <v>1120122</v>
      </c>
      <c r="D33" s="23">
        <v>724807</v>
      </c>
      <c r="E33" s="23">
        <f>D33-C33</f>
        <v>-395315</v>
      </c>
      <c r="F33" s="24">
        <f>IF(C33=0,0,E33/C33)</f>
        <v>-0.35292137820701674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55001245</v>
      </c>
      <c r="D36" s="23">
        <v>57976953</v>
      </c>
      <c r="E36" s="23">
        <f>D36-C36</f>
        <v>2975708</v>
      </c>
      <c r="F36" s="24">
        <f>IF(C36=0,0,E36/C36)</f>
        <v>5.4102557133024899E-2</v>
      </c>
    </row>
    <row r="37" spans="1:8" ht="24" customHeight="1" x14ac:dyDescent="0.2">
      <c r="A37" s="21">
        <v>2</v>
      </c>
      <c r="B37" s="22" t="s">
        <v>39</v>
      </c>
      <c r="C37" s="23">
        <v>31022924</v>
      </c>
      <c r="D37" s="23">
        <v>34378475</v>
      </c>
      <c r="E37" s="23">
        <f>D37-C37</f>
        <v>3355551</v>
      </c>
      <c r="F37" s="24">
        <f>IF(C37=0,0,E37/C37)</f>
        <v>0.10816359541092903</v>
      </c>
    </row>
    <row r="38" spans="1:8" ht="24" customHeight="1" x14ac:dyDescent="0.25">
      <c r="A38" s="25"/>
      <c r="B38" s="26" t="s">
        <v>40</v>
      </c>
      <c r="C38" s="27">
        <f>C36-C37</f>
        <v>23978321</v>
      </c>
      <c r="D38" s="27">
        <f>D36-D37</f>
        <v>23598478</v>
      </c>
      <c r="E38" s="27">
        <f>D38-C38</f>
        <v>-379843</v>
      </c>
      <c r="F38" s="28">
        <f>IF(C38=0,0,E38/C38)</f>
        <v>-1.5841100801011046E-2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23978321</v>
      </c>
      <c r="D41" s="27">
        <f>+D38+D40</f>
        <v>23598478</v>
      </c>
      <c r="E41" s="27">
        <f>D41-C41</f>
        <v>-379843</v>
      </c>
      <c r="F41" s="28">
        <f>IF(C41=0,0,E41/C41)</f>
        <v>-1.5841100801011046E-2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46991731</v>
      </c>
      <c r="D43" s="27">
        <f>D22+D29+D31+D32+D33+D41</f>
        <v>46903096</v>
      </c>
      <c r="E43" s="27">
        <f>D43-C43</f>
        <v>-88635</v>
      </c>
      <c r="F43" s="28">
        <f>IF(C43=0,0,E43/C43)</f>
        <v>-1.8861829116275798E-3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2939193</v>
      </c>
      <c r="D49" s="23">
        <v>5340005</v>
      </c>
      <c r="E49" s="23">
        <f t="shared" ref="E49:E56" si="2">D49-C49</f>
        <v>2400812</v>
      </c>
      <c r="F49" s="24">
        <f t="shared" ref="F49:F56" si="3">IF(C49=0,0,E49/C49)</f>
        <v>0.816826931746231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2911626</v>
      </c>
      <c r="D50" s="23">
        <v>2629814</v>
      </c>
      <c r="E50" s="23">
        <f t="shared" si="2"/>
        <v>-281812</v>
      </c>
      <c r="F50" s="24">
        <f t="shared" si="3"/>
        <v>-9.6788529845522747E-2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1278325</v>
      </c>
      <c r="D51" s="23">
        <v>1071475</v>
      </c>
      <c r="E51" s="23">
        <f t="shared" si="2"/>
        <v>-206850</v>
      </c>
      <c r="F51" s="24">
        <f t="shared" si="3"/>
        <v>-0.16181331038663876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342500</v>
      </c>
      <c r="D54" s="23">
        <v>342500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28396</v>
      </c>
      <c r="D55" s="23">
        <v>7017456</v>
      </c>
      <c r="E55" s="23">
        <f t="shared" si="2"/>
        <v>6989060</v>
      </c>
      <c r="F55" s="24">
        <f t="shared" si="3"/>
        <v>246.12832793351177</v>
      </c>
    </row>
    <row r="56" spans="1:6" ht="24" customHeight="1" x14ac:dyDescent="0.25">
      <c r="A56" s="25"/>
      <c r="B56" s="26" t="s">
        <v>54</v>
      </c>
      <c r="C56" s="27">
        <f>SUM(C49:C55)</f>
        <v>7500040</v>
      </c>
      <c r="D56" s="27">
        <f>SUM(D49:D55)</f>
        <v>16401250</v>
      </c>
      <c r="E56" s="27">
        <f t="shared" si="2"/>
        <v>8901210</v>
      </c>
      <c r="F56" s="28">
        <f t="shared" si="3"/>
        <v>1.1868216702844252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12843750</v>
      </c>
      <c r="D60" s="23">
        <v>12501250</v>
      </c>
      <c r="E60" s="23">
        <f>D60-C60</f>
        <v>-342500</v>
      </c>
      <c r="F60" s="24">
        <f>IF(C60=0,0,E60/C60)</f>
        <v>-2.6666666666666668E-2</v>
      </c>
    </row>
    <row r="61" spans="1:6" ht="24" customHeight="1" x14ac:dyDescent="0.25">
      <c r="A61" s="25"/>
      <c r="B61" s="26" t="s">
        <v>58</v>
      </c>
      <c r="C61" s="27">
        <f>SUM(C59:C60)</f>
        <v>12843750</v>
      </c>
      <c r="D61" s="27">
        <f>SUM(D59:D60)</f>
        <v>12501250</v>
      </c>
      <c r="E61" s="27">
        <f>D61-C61</f>
        <v>-342500</v>
      </c>
      <c r="F61" s="28">
        <f>IF(C61=0,0,E61/C61)</f>
        <v>-2.6666666666666668E-2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22989424</v>
      </c>
      <c r="D63" s="23">
        <v>0</v>
      </c>
      <c r="E63" s="23">
        <f>D63-C63</f>
        <v>-22989424</v>
      </c>
      <c r="F63" s="24">
        <f>IF(C63=0,0,E63/C63)</f>
        <v>-1</v>
      </c>
    </row>
    <row r="64" spans="1:6" ht="24" customHeight="1" x14ac:dyDescent="0.2">
      <c r="A64" s="21">
        <v>4</v>
      </c>
      <c r="B64" s="22" t="s">
        <v>60</v>
      </c>
      <c r="C64" s="23">
        <v>20369283</v>
      </c>
      <c r="D64" s="23">
        <v>9266631</v>
      </c>
      <c r="E64" s="23">
        <f>D64-C64</f>
        <v>-11102652</v>
      </c>
      <c r="F64" s="24">
        <f>IF(C64=0,0,E64/C64)</f>
        <v>-0.54506837574989753</v>
      </c>
    </row>
    <row r="65" spans="1:6" ht="24" customHeight="1" x14ac:dyDescent="0.25">
      <c r="A65" s="25"/>
      <c r="B65" s="26" t="s">
        <v>61</v>
      </c>
      <c r="C65" s="27">
        <f>SUM(C61:C64)</f>
        <v>56202457</v>
      </c>
      <c r="D65" s="27">
        <f>SUM(D61:D64)</f>
        <v>21767881</v>
      </c>
      <c r="E65" s="27">
        <f>D65-C65</f>
        <v>-34434576</v>
      </c>
      <c r="F65" s="28">
        <f>IF(C65=0,0,E65/C65)</f>
        <v>-0.61268808941929354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-20718900</v>
      </c>
      <c r="D70" s="23">
        <v>4607135</v>
      </c>
      <c r="E70" s="23">
        <f>D70-C70</f>
        <v>25326035</v>
      </c>
      <c r="F70" s="24">
        <f>IF(C70=0,0,E70/C70)</f>
        <v>-1.2223638803218317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0</v>
      </c>
      <c r="E71" s="23">
        <f>D71-C71</f>
        <v>0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4008134</v>
      </c>
      <c r="D72" s="23">
        <v>4126830</v>
      </c>
      <c r="E72" s="23">
        <f>D72-C72</f>
        <v>118696</v>
      </c>
      <c r="F72" s="24">
        <f>IF(C72=0,0,E72/C72)</f>
        <v>2.9613780377602147E-2</v>
      </c>
    </row>
    <row r="73" spans="1:6" ht="24" customHeight="1" x14ac:dyDescent="0.25">
      <c r="A73" s="21"/>
      <c r="B73" s="26" t="s">
        <v>67</v>
      </c>
      <c r="C73" s="27">
        <f>SUM(C70:C72)</f>
        <v>-16710766</v>
      </c>
      <c r="D73" s="27">
        <f>SUM(D70:D72)</f>
        <v>8733965</v>
      </c>
      <c r="E73" s="27">
        <f>D73-C73</f>
        <v>25444731</v>
      </c>
      <c r="F73" s="28">
        <f>IF(C73=0,0,E73/C73)</f>
        <v>-1.522654975840126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46991731</v>
      </c>
      <c r="D75" s="27">
        <f>D56+D65+D67+D73</f>
        <v>46903096</v>
      </c>
      <c r="E75" s="27">
        <f>D75-C75</f>
        <v>-88635</v>
      </c>
      <c r="F75" s="28">
        <f>IF(C75=0,0,E75/C75)</f>
        <v>-1.8861829116275798E-3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0</v>
      </c>
      <c r="D11" s="51">
        <v>0</v>
      </c>
      <c r="E11" s="51">
        <v>88931269</v>
      </c>
      <c r="F11" s="28"/>
    </row>
    <row r="12" spans="1:6" ht="24" customHeight="1" x14ac:dyDescent="0.25">
      <c r="A12" s="44">
        <v>2</v>
      </c>
      <c r="B12" s="48" t="s">
        <v>76</v>
      </c>
      <c r="C12" s="49">
        <v>0</v>
      </c>
      <c r="D12" s="49">
        <v>0</v>
      </c>
      <c r="E12" s="49">
        <v>3721409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0</v>
      </c>
      <c r="D13" s="51">
        <f>+D11+D12</f>
        <v>0</v>
      </c>
      <c r="E13" s="51">
        <f>+E11+E12</f>
        <v>92652678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0</v>
      </c>
      <c r="D14" s="49">
        <v>0</v>
      </c>
      <c r="E14" s="49">
        <v>104243234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0</v>
      </c>
      <c r="D15" s="51">
        <f>+D13-D14</f>
        <v>0</v>
      </c>
      <c r="E15" s="51">
        <f>+E13-E14</f>
        <v>-11590556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0</v>
      </c>
      <c r="D16" s="49">
        <v>0</v>
      </c>
      <c r="E16" s="49">
        <v>36119171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0</v>
      </c>
      <c r="D17" s="51">
        <f>D15+D16</f>
        <v>0</v>
      </c>
      <c r="E17" s="51">
        <f>E15+E16</f>
        <v>24528615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0</v>
      </c>
      <c r="D20" s="169">
        <f>IF(+D27=0,0,+D24/+D27)</f>
        <v>0</v>
      </c>
      <c r="E20" s="169">
        <f>IF(+E27=0,0,+E24/+E27)</f>
        <v>-9.0008461399043824E-2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0</v>
      </c>
      <c r="D21" s="169">
        <f>IF(+D27=0,0,+D26/+D27)</f>
        <v>0</v>
      </c>
      <c r="E21" s="169">
        <f>IF(+E27=0,0,+E26/+E27)</f>
        <v>0.28048965111932189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0</v>
      </c>
      <c r="D22" s="169">
        <f>IF(+D27=0,0,+D28/+D27)</f>
        <v>0</v>
      </c>
      <c r="E22" s="169">
        <f>IF(+E27=0,0,+E28/+E27)</f>
        <v>0.19048118972027808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0</v>
      </c>
      <c r="D24" s="51">
        <f>+D15</f>
        <v>0</v>
      </c>
      <c r="E24" s="51">
        <f>+E15</f>
        <v>-11590556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0</v>
      </c>
      <c r="D25" s="51">
        <f>+D13</f>
        <v>0</v>
      </c>
      <c r="E25" s="51">
        <f>+E13</f>
        <v>92652678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36119171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0</v>
      </c>
      <c r="D27" s="51">
        <f>SUM(D25:D26)</f>
        <v>0</v>
      </c>
      <c r="E27" s="51">
        <f>SUM(E25:E26)</f>
        <v>128771849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0</v>
      </c>
      <c r="D28" s="51">
        <f>+D17</f>
        <v>0</v>
      </c>
      <c r="E28" s="51">
        <f>+E17</f>
        <v>24528615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0</v>
      </c>
      <c r="D31" s="51">
        <v>0</v>
      </c>
      <c r="E31" s="52">
        <v>-5507538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0</v>
      </c>
      <c r="D32" s="51">
        <v>0</v>
      </c>
      <c r="E32" s="51">
        <v>-1169494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0</v>
      </c>
      <c r="D33" s="51">
        <f>+D32-C32</f>
        <v>0</v>
      </c>
      <c r="E33" s="51">
        <f>+E32-D32</f>
        <v>-1169494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</v>
      </c>
      <c r="D34" s="171">
        <f>IF(C32=0,0,+D33/C32)</f>
        <v>0</v>
      </c>
      <c r="E34" s="171">
        <f>IF(D32=0,0,+E33/D32)</f>
        <v>0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0</v>
      </c>
      <c r="D38" s="269">
        <f>IF(+D40=0,0,+D39/+D40)</f>
        <v>0</v>
      </c>
      <c r="E38" s="269">
        <f>IF(+E40=0,0,+E39/+E40)</f>
        <v>0.97900363508566979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0</v>
      </c>
      <c r="D39" s="270">
        <v>0</v>
      </c>
      <c r="E39" s="270">
        <v>20703217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0</v>
      </c>
      <c r="D40" s="270">
        <v>0</v>
      </c>
      <c r="E40" s="270">
        <v>21147232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0</v>
      </c>
      <c r="D42" s="271">
        <f>IF((D48/365)=0,0,+D45/(D48/365))</f>
        <v>0</v>
      </c>
      <c r="E42" s="271">
        <f>IF((E48/365)=0,0,+E45/(E48/365))</f>
        <v>21.669534452706046</v>
      </c>
    </row>
    <row r="43" spans="1:14" ht="24" customHeight="1" x14ac:dyDescent="0.2">
      <c r="A43" s="17">
        <v>5</v>
      </c>
      <c r="B43" s="188" t="s">
        <v>16</v>
      </c>
      <c r="C43" s="272">
        <v>0</v>
      </c>
      <c r="D43" s="272">
        <v>0</v>
      </c>
      <c r="E43" s="272">
        <v>5924225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0</v>
      </c>
      <c r="D45" s="270">
        <f>+D43+D44</f>
        <v>0</v>
      </c>
      <c r="E45" s="270">
        <f>+E43+E44</f>
        <v>5924225</v>
      </c>
    </row>
    <row r="46" spans="1:14" ht="24" customHeight="1" x14ac:dyDescent="0.2">
      <c r="A46" s="17">
        <v>8</v>
      </c>
      <c r="B46" s="45" t="s">
        <v>324</v>
      </c>
      <c r="C46" s="270">
        <f>+C14</f>
        <v>0</v>
      </c>
      <c r="D46" s="270">
        <f>+D14</f>
        <v>0</v>
      </c>
      <c r="E46" s="270">
        <f>+E14</f>
        <v>104243234</v>
      </c>
    </row>
    <row r="47" spans="1:14" ht="24" customHeight="1" x14ac:dyDescent="0.2">
      <c r="A47" s="17">
        <v>9</v>
      </c>
      <c r="B47" s="45" t="s">
        <v>347</v>
      </c>
      <c r="C47" s="270">
        <v>0</v>
      </c>
      <c r="D47" s="270">
        <v>0</v>
      </c>
      <c r="E47" s="270">
        <v>4456036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0</v>
      </c>
      <c r="D48" s="270">
        <f>+D46-D47</f>
        <v>0</v>
      </c>
      <c r="E48" s="270">
        <f>+E46-E47</f>
        <v>99787198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0</v>
      </c>
      <c r="D50" s="278">
        <f>IF((D55/365)=0,0,+D54/(D55/365))</f>
        <v>0</v>
      </c>
      <c r="E50" s="278">
        <f>IF((E55/365)=0,0,+E54/(E55/365))</f>
        <v>43.303395794340908</v>
      </c>
    </row>
    <row r="51" spans="1:5" ht="24" customHeight="1" x14ac:dyDescent="0.2">
      <c r="A51" s="17">
        <v>12</v>
      </c>
      <c r="B51" s="188" t="s">
        <v>350</v>
      </c>
      <c r="C51" s="279">
        <v>0</v>
      </c>
      <c r="D51" s="279">
        <v>0</v>
      </c>
      <c r="E51" s="279">
        <v>11276872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726116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0</v>
      </c>
      <c r="D54" s="280">
        <f>+D51+D52-D53</f>
        <v>0</v>
      </c>
      <c r="E54" s="280">
        <f>+E51+E52-E53</f>
        <v>10550756</v>
      </c>
    </row>
    <row r="55" spans="1:5" ht="24" customHeight="1" x14ac:dyDescent="0.2">
      <c r="A55" s="17">
        <v>16</v>
      </c>
      <c r="B55" s="45" t="s">
        <v>75</v>
      </c>
      <c r="C55" s="270">
        <f>+C11</f>
        <v>0</v>
      </c>
      <c r="D55" s="270">
        <f>+D11</f>
        <v>0</v>
      </c>
      <c r="E55" s="270">
        <f>+E11</f>
        <v>88931269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0</v>
      </c>
      <c r="D57" s="283">
        <f>IF((D61/365)=0,0,+D58/(D61/365))</f>
        <v>0</v>
      </c>
      <c r="E57" s="283">
        <f>IF((E61/365)=0,0,+E58/(E61/365))</f>
        <v>77.352003410297172</v>
      </c>
    </row>
    <row r="58" spans="1:5" ht="24" customHeight="1" x14ac:dyDescent="0.2">
      <c r="A58" s="17">
        <v>18</v>
      </c>
      <c r="B58" s="45" t="s">
        <v>54</v>
      </c>
      <c r="C58" s="281">
        <f>+C40</f>
        <v>0</v>
      </c>
      <c r="D58" s="281">
        <f>+D40</f>
        <v>0</v>
      </c>
      <c r="E58" s="281">
        <f>+E40</f>
        <v>21147232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0</v>
      </c>
      <c r="D59" s="281">
        <f t="shared" si="0"/>
        <v>0</v>
      </c>
      <c r="E59" s="281">
        <f t="shared" si="0"/>
        <v>104243234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0</v>
      </c>
      <c r="D60" s="176">
        <f t="shared" si="0"/>
        <v>0</v>
      </c>
      <c r="E60" s="176">
        <f t="shared" si="0"/>
        <v>4456036</v>
      </c>
    </row>
    <row r="61" spans="1:5" ht="24" customHeight="1" x14ac:dyDescent="0.2">
      <c r="A61" s="17">
        <v>21</v>
      </c>
      <c r="B61" s="45" t="s">
        <v>353</v>
      </c>
      <c r="C61" s="281">
        <f>+C59-C60</f>
        <v>0</v>
      </c>
      <c r="D61" s="281">
        <f>+D59-D60</f>
        <v>0</v>
      </c>
      <c r="E61" s="281">
        <f>+E59-E60</f>
        <v>99787198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0</v>
      </c>
      <c r="D65" s="284">
        <f>IF(D67=0,0,(D66/D67)*100)</f>
        <v>0</v>
      </c>
      <c r="E65" s="284">
        <f>IF(E67=0,0,(E66/E67)*100)</f>
        <v>-1.6993049930428397</v>
      </c>
    </row>
    <row r="66" spans="1:5" ht="24" customHeight="1" x14ac:dyDescent="0.2">
      <c r="A66" s="17">
        <v>2</v>
      </c>
      <c r="B66" s="45" t="s">
        <v>67</v>
      </c>
      <c r="C66" s="281">
        <f>+C32</f>
        <v>0</v>
      </c>
      <c r="D66" s="281">
        <f>+D32</f>
        <v>0</v>
      </c>
      <c r="E66" s="281">
        <f>+E32</f>
        <v>-1169494</v>
      </c>
    </row>
    <row r="67" spans="1:5" ht="24" customHeight="1" x14ac:dyDescent="0.2">
      <c r="A67" s="17">
        <v>3</v>
      </c>
      <c r="B67" s="45" t="s">
        <v>43</v>
      </c>
      <c r="C67" s="281">
        <v>0</v>
      </c>
      <c r="D67" s="281">
        <v>0</v>
      </c>
      <c r="E67" s="281">
        <v>68821901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0</v>
      </c>
      <c r="D69" s="284">
        <f>IF(D75=0,0,(D72/D75)*100)</f>
        <v>0</v>
      </c>
      <c r="E69" s="284">
        <f>IF(E75=0,0,(E72/E75)*100)</f>
        <v>55.092407340430817</v>
      </c>
    </row>
    <row r="70" spans="1:5" ht="24" customHeight="1" x14ac:dyDescent="0.2">
      <c r="A70" s="17">
        <v>5</v>
      </c>
      <c r="B70" s="45" t="s">
        <v>358</v>
      </c>
      <c r="C70" s="281">
        <f>+C28</f>
        <v>0</v>
      </c>
      <c r="D70" s="281">
        <f>+D28</f>
        <v>0</v>
      </c>
      <c r="E70" s="281">
        <f>+E28</f>
        <v>24528615</v>
      </c>
    </row>
    <row r="71" spans="1:5" ht="24" customHeight="1" x14ac:dyDescent="0.2">
      <c r="A71" s="17">
        <v>6</v>
      </c>
      <c r="B71" s="45" t="s">
        <v>347</v>
      </c>
      <c r="C71" s="176">
        <f>+C47</f>
        <v>0</v>
      </c>
      <c r="D71" s="176">
        <f>+D47</f>
        <v>0</v>
      </c>
      <c r="E71" s="176">
        <f>+E47</f>
        <v>4456036</v>
      </c>
    </row>
    <row r="72" spans="1:5" ht="24" customHeight="1" x14ac:dyDescent="0.2">
      <c r="A72" s="17">
        <v>7</v>
      </c>
      <c r="B72" s="45" t="s">
        <v>359</v>
      </c>
      <c r="C72" s="281">
        <f>+C70+C71</f>
        <v>0</v>
      </c>
      <c r="D72" s="281">
        <f>+D70+D71</f>
        <v>0</v>
      </c>
      <c r="E72" s="281">
        <f>+E70+E71</f>
        <v>28984651</v>
      </c>
    </row>
    <row r="73" spans="1:5" ht="24" customHeight="1" x14ac:dyDescent="0.2">
      <c r="A73" s="17">
        <v>8</v>
      </c>
      <c r="B73" s="45" t="s">
        <v>54</v>
      </c>
      <c r="C73" s="270">
        <f>+C40</f>
        <v>0</v>
      </c>
      <c r="D73" s="270">
        <f>+D40</f>
        <v>0</v>
      </c>
      <c r="E73" s="270">
        <f>+E40</f>
        <v>21147232</v>
      </c>
    </row>
    <row r="74" spans="1:5" ht="24" customHeight="1" x14ac:dyDescent="0.2">
      <c r="A74" s="17">
        <v>9</v>
      </c>
      <c r="B74" s="45" t="s">
        <v>58</v>
      </c>
      <c r="C74" s="281">
        <v>0</v>
      </c>
      <c r="D74" s="281">
        <v>0</v>
      </c>
      <c r="E74" s="281">
        <v>31463740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0</v>
      </c>
      <c r="D75" s="270">
        <f>+D73+D74</f>
        <v>0</v>
      </c>
      <c r="E75" s="270">
        <f>+E73+E74</f>
        <v>52610972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0</v>
      </c>
      <c r="D77" s="286">
        <f>IF(D80=0,0,(D78/D80)*100)</f>
        <v>0</v>
      </c>
      <c r="E77" s="286">
        <f>IF(E80=0,0,(E78/E80)*100)</f>
        <v>103.86044927475666</v>
      </c>
    </row>
    <row r="78" spans="1:5" ht="24" customHeight="1" x14ac:dyDescent="0.2">
      <c r="A78" s="17">
        <v>12</v>
      </c>
      <c r="B78" s="45" t="s">
        <v>58</v>
      </c>
      <c r="C78" s="270">
        <f>+C74</f>
        <v>0</v>
      </c>
      <c r="D78" s="270">
        <f>+D74</f>
        <v>0</v>
      </c>
      <c r="E78" s="270">
        <f>+E74</f>
        <v>31463740</v>
      </c>
    </row>
    <row r="79" spans="1:5" ht="24" customHeight="1" x14ac:dyDescent="0.2">
      <c r="A79" s="17">
        <v>13</v>
      </c>
      <c r="B79" s="45" t="s">
        <v>67</v>
      </c>
      <c r="C79" s="270">
        <f>+C32</f>
        <v>0</v>
      </c>
      <c r="D79" s="270">
        <f>+D32</f>
        <v>0</v>
      </c>
      <c r="E79" s="270">
        <f>+E32</f>
        <v>-1169494</v>
      </c>
    </row>
    <row r="80" spans="1:5" ht="24" customHeight="1" x14ac:dyDescent="0.2">
      <c r="A80" s="17">
        <v>14</v>
      </c>
      <c r="B80" s="45" t="s">
        <v>362</v>
      </c>
      <c r="C80" s="270">
        <f>+C78+C79</f>
        <v>0</v>
      </c>
      <c r="D80" s="270">
        <f>+D78+D79</f>
        <v>0</v>
      </c>
      <c r="E80" s="270">
        <f>+E78+E79</f>
        <v>30294246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FILING&amp;R&amp;8JOHNSON MEMORIAL MEDICAL CENTER,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11451</v>
      </c>
      <c r="D11" s="297">
        <v>42</v>
      </c>
      <c r="E11" s="297">
        <v>56</v>
      </c>
      <c r="F11" s="298">
        <f>IF(D11=0,0,$C11/(D11*365))</f>
        <v>0.7469667318982387</v>
      </c>
      <c r="G11" s="298">
        <f>IF(E11=0,0,$C11/(E11*365))</f>
        <v>0.56022504892367908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1529</v>
      </c>
      <c r="D13" s="297">
        <v>5</v>
      </c>
      <c r="E13" s="297">
        <v>7</v>
      </c>
      <c r="F13" s="298">
        <f>IF(D13=0,0,$C13/(D13*365))</f>
        <v>0.83780821917808224</v>
      </c>
      <c r="G13" s="298">
        <f>IF(E13=0,0,$C13/(E13*365))</f>
        <v>0.59843444227005871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3429</v>
      </c>
      <c r="D16" s="297">
        <v>17</v>
      </c>
      <c r="E16" s="297">
        <v>20</v>
      </c>
      <c r="F16" s="298">
        <f t="shared" si="0"/>
        <v>0.55261885576148273</v>
      </c>
      <c r="G16" s="298">
        <f t="shared" si="0"/>
        <v>0.46972602739726027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3429</v>
      </c>
      <c r="D17" s="300">
        <f>SUM(D15:D16)</f>
        <v>17</v>
      </c>
      <c r="E17" s="300">
        <f>SUM(E15:E16)</f>
        <v>20</v>
      </c>
      <c r="F17" s="301">
        <f t="shared" si="0"/>
        <v>0.55261885576148273</v>
      </c>
      <c r="G17" s="301">
        <f t="shared" si="0"/>
        <v>0.46972602739726027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721</v>
      </c>
      <c r="D21" s="297">
        <v>4</v>
      </c>
      <c r="E21" s="297">
        <v>6</v>
      </c>
      <c r="F21" s="298">
        <f>IF(D21=0,0,$C21/(D21*365))</f>
        <v>0.49383561643835616</v>
      </c>
      <c r="G21" s="298">
        <f>IF(E21=0,0,$C21/(E21*365))</f>
        <v>0.32922374429223744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607</v>
      </c>
      <c r="D23" s="297">
        <v>4</v>
      </c>
      <c r="E23" s="297">
        <v>6</v>
      </c>
      <c r="F23" s="298">
        <f>IF(D23=0,0,$C23/(D23*365))</f>
        <v>0.41575342465753423</v>
      </c>
      <c r="G23" s="298">
        <f>IF(E23=0,0,$C23/(E23*365))</f>
        <v>0.27716894977168949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17130</v>
      </c>
      <c r="D31" s="300">
        <f>SUM(D10:D29)-D17-D23</f>
        <v>68</v>
      </c>
      <c r="E31" s="300">
        <f>SUM(E10:E29)-E17-E23</f>
        <v>89</v>
      </c>
      <c r="F31" s="301">
        <f>IF(D31=0,0,$C31/(D31*365))</f>
        <v>0.6901692183722804</v>
      </c>
      <c r="G31" s="301">
        <f>IF(E31=0,0,$C31/(E31*365))</f>
        <v>0.52732030167769739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17737</v>
      </c>
      <c r="D33" s="300">
        <f>SUM(D10:D29)-D17</f>
        <v>72</v>
      </c>
      <c r="E33" s="300">
        <f>SUM(E10:E29)-E17</f>
        <v>95</v>
      </c>
      <c r="F33" s="301">
        <f>IF(D33=0,0,$C33/(D33*365))</f>
        <v>0.67492389649923901</v>
      </c>
      <c r="G33" s="301">
        <f>IF(E33=0,0,$C33/(E33*365))</f>
        <v>0.51152126892573901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17737</v>
      </c>
      <c r="D36" s="300">
        <f>+D33</f>
        <v>72</v>
      </c>
      <c r="E36" s="300">
        <f>+E33</f>
        <v>95</v>
      </c>
      <c r="F36" s="301">
        <f>+F33</f>
        <v>0.67492389649923901</v>
      </c>
      <c r="G36" s="301">
        <f>+G33</f>
        <v>0.51152126892573901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17998</v>
      </c>
      <c r="D37" s="302">
        <v>72</v>
      </c>
      <c r="E37" s="302">
        <v>95</v>
      </c>
      <c r="F37" s="301">
        <f>IF(D37=0,0,$C37/(D37*365))</f>
        <v>0.68485540334855399</v>
      </c>
      <c r="G37" s="301">
        <f>IF(E37=0,0,$C37/(E37*365))</f>
        <v>0.51904830569574623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-261</v>
      </c>
      <c r="D38" s="300">
        <f>+D36-D37</f>
        <v>0</v>
      </c>
      <c r="E38" s="300">
        <f>+E36-E37</f>
        <v>0</v>
      </c>
      <c r="F38" s="301">
        <f>+F36-F37</f>
        <v>-9.9315068493149861E-3</v>
      </c>
      <c r="G38" s="301">
        <f>+G36-G37</f>
        <v>-7.5270367700072116E-3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-1.450161129014335E-2</v>
      </c>
      <c r="D40" s="148">
        <f>IF(D37=0,0,D38/D37)</f>
        <v>0</v>
      </c>
      <c r="E40" s="148">
        <f>IF(E37=0,0,E38/E37)</f>
        <v>0</v>
      </c>
      <c r="F40" s="148">
        <f>IF(F37=0,0,F38/F37)</f>
        <v>-1.450161129014323E-2</v>
      </c>
      <c r="G40" s="148">
        <f>IF(G37=0,0,G38/G37)</f>
        <v>-1.4501611290143353E-2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101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FILING&amp;RJOHNSON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3673</v>
      </c>
      <c r="D12" s="296">
        <v>2274</v>
      </c>
      <c r="E12" s="296">
        <f>+D12-C12</f>
        <v>-1399</v>
      </c>
      <c r="F12" s="316">
        <f>IF(C12=0,0,+E12/C12)</f>
        <v>-0.38088755785461476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1719</v>
      </c>
      <c r="D13" s="296">
        <v>2187</v>
      </c>
      <c r="E13" s="296">
        <f>+D13-C13</f>
        <v>468</v>
      </c>
      <c r="F13" s="316">
        <f>IF(C13=0,0,+E13/C13)</f>
        <v>0.27225130890052357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4955</v>
      </c>
      <c r="D14" s="296">
        <v>3860</v>
      </c>
      <c r="E14" s="296">
        <f>+D14-C14</f>
        <v>-1095</v>
      </c>
      <c r="F14" s="316">
        <f>IF(C14=0,0,+E14/C14)</f>
        <v>-0.22098890010090819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2100</v>
      </c>
      <c r="D15" s="296">
        <v>0</v>
      </c>
      <c r="E15" s="296">
        <f>+D15-C15</f>
        <v>-2100</v>
      </c>
      <c r="F15" s="316">
        <f>IF(C15=0,0,+E15/C15)</f>
        <v>-1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12447</v>
      </c>
      <c r="D16" s="300">
        <f>SUM(D12:D15)</f>
        <v>8321</v>
      </c>
      <c r="E16" s="300">
        <f>+D16-C16</f>
        <v>-4126</v>
      </c>
      <c r="F16" s="309">
        <f>IF(C16=0,0,+E16/C16)</f>
        <v>-0.33148549851369807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279</v>
      </c>
      <c r="D19" s="296">
        <v>197</v>
      </c>
      <c r="E19" s="296">
        <f>+D19-C19</f>
        <v>-82</v>
      </c>
      <c r="F19" s="316">
        <f>IF(C19=0,0,+E19/C19)</f>
        <v>-0.29390681003584229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693</v>
      </c>
      <c r="D20" s="296">
        <v>1161</v>
      </c>
      <c r="E20" s="296">
        <f>+D20-C20</f>
        <v>468</v>
      </c>
      <c r="F20" s="316">
        <f>IF(C20=0,0,+E20/C20)</f>
        <v>0.67532467532467533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15</v>
      </c>
      <c r="D21" s="296">
        <v>20</v>
      </c>
      <c r="E21" s="296">
        <f>+D21-C21</f>
        <v>5</v>
      </c>
      <c r="F21" s="316">
        <f>IF(C21=0,0,+E21/C21)</f>
        <v>0.33333333333333331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968</v>
      </c>
      <c r="D22" s="296">
        <v>0</v>
      </c>
      <c r="E22" s="296">
        <f>+D22-C22</f>
        <v>-968</v>
      </c>
      <c r="F22" s="316">
        <f>IF(C22=0,0,+E22/C22)</f>
        <v>-1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1955</v>
      </c>
      <c r="D23" s="300">
        <f>SUM(D19:D22)</f>
        <v>1378</v>
      </c>
      <c r="E23" s="300">
        <f>+D23-C23</f>
        <v>-577</v>
      </c>
      <c r="F23" s="309">
        <f>IF(C23=0,0,+E23/C23)</f>
        <v>-0.29514066496163682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763</v>
      </c>
      <c r="D63" s="296">
        <v>646</v>
      </c>
      <c r="E63" s="296">
        <f>+D63-C63</f>
        <v>-117</v>
      </c>
      <c r="F63" s="316">
        <f>IF(C63=0,0,+E63/C63)</f>
        <v>-0.15334207077326342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2242</v>
      </c>
      <c r="D64" s="296">
        <v>2297</v>
      </c>
      <c r="E64" s="296">
        <f>+D64-C64</f>
        <v>55</v>
      </c>
      <c r="F64" s="316">
        <f>IF(C64=0,0,+E64/C64)</f>
        <v>2.4531668153434435E-2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3005</v>
      </c>
      <c r="D65" s="300">
        <f>SUM(D63:D64)</f>
        <v>2943</v>
      </c>
      <c r="E65" s="300">
        <f>+D65-C65</f>
        <v>-62</v>
      </c>
      <c r="F65" s="309">
        <f>IF(C65=0,0,+E65/C65)</f>
        <v>-2.0632279534109815E-2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175</v>
      </c>
      <c r="D68" s="296">
        <v>165</v>
      </c>
      <c r="E68" s="296">
        <f>+D68-C68</f>
        <v>-10</v>
      </c>
      <c r="F68" s="316">
        <f>IF(C68=0,0,+E68/C68)</f>
        <v>-5.7142857142857141E-2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2409</v>
      </c>
      <c r="D69" s="296">
        <v>2061</v>
      </c>
      <c r="E69" s="296">
        <f>+D69-C69</f>
        <v>-348</v>
      </c>
      <c r="F69" s="318">
        <f>IF(C69=0,0,+E69/C69)</f>
        <v>-0.14445828144458281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2584</v>
      </c>
      <c r="D70" s="300">
        <f>SUM(D68:D69)</f>
        <v>2226</v>
      </c>
      <c r="E70" s="300">
        <f>+D70-C70</f>
        <v>-358</v>
      </c>
      <c r="F70" s="309">
        <f>IF(C70=0,0,+E70/C70)</f>
        <v>-0.13854489164086686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3027</v>
      </c>
      <c r="D73" s="319">
        <v>2178</v>
      </c>
      <c r="E73" s="296">
        <f>+D73-C73</f>
        <v>-849</v>
      </c>
      <c r="F73" s="316">
        <f>IF(C73=0,0,+E73/C73)</f>
        <v>-0.28047571853320119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17336</v>
      </c>
      <c r="D74" s="319">
        <v>17243</v>
      </c>
      <c r="E74" s="296">
        <f>+D74-C74</f>
        <v>-93</v>
      </c>
      <c r="F74" s="316">
        <f>IF(C74=0,0,+E74/C74)</f>
        <v>-5.3645592985694509E-3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20363</v>
      </c>
      <c r="D75" s="300">
        <f>SUM(D73:D74)</f>
        <v>19421</v>
      </c>
      <c r="E75" s="300">
        <f>SUM(E73:E74)</f>
        <v>-942</v>
      </c>
      <c r="F75" s="309">
        <f>IF(C75=0,0,+E75/C75)</f>
        <v>-4.6260374208122575E-2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0</v>
      </c>
      <c r="D84" s="320">
        <f>SUM(D79:D83)</f>
        <v>0</v>
      </c>
      <c r="E84" s="300">
        <f t="shared" si="0"/>
        <v>0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1075</v>
      </c>
      <c r="D87" s="322">
        <v>871</v>
      </c>
      <c r="E87" s="323">
        <f t="shared" ref="E87:E92" si="2">+D87-C87</f>
        <v>-204</v>
      </c>
      <c r="F87" s="318">
        <f t="shared" ref="F87:F92" si="3">IF(C87=0,0,+E87/C87)</f>
        <v>-0.18976744186046512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1641</v>
      </c>
      <c r="D88" s="322">
        <v>1370</v>
      </c>
      <c r="E88" s="296">
        <f t="shared" si="2"/>
        <v>-271</v>
      </c>
      <c r="F88" s="316">
        <f t="shared" si="3"/>
        <v>-0.16514320536258378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343</v>
      </c>
      <c r="D89" s="322">
        <v>1023</v>
      </c>
      <c r="E89" s="296">
        <f t="shared" si="2"/>
        <v>680</v>
      </c>
      <c r="F89" s="316">
        <f t="shared" si="3"/>
        <v>1.9825072886297377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1537</v>
      </c>
      <c r="D90" s="322">
        <v>1291</v>
      </c>
      <c r="E90" s="296">
        <f t="shared" si="2"/>
        <v>-246</v>
      </c>
      <c r="F90" s="316">
        <f t="shared" si="3"/>
        <v>-0.16005204944697463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79585</v>
      </c>
      <c r="D91" s="322">
        <v>79181</v>
      </c>
      <c r="E91" s="296">
        <f t="shared" si="2"/>
        <v>-404</v>
      </c>
      <c r="F91" s="316">
        <f t="shared" si="3"/>
        <v>-5.0763334799271221E-3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84181</v>
      </c>
      <c r="D92" s="320">
        <f>SUM(D87:D91)</f>
        <v>83736</v>
      </c>
      <c r="E92" s="300">
        <f t="shared" si="2"/>
        <v>-445</v>
      </c>
      <c r="F92" s="309">
        <f t="shared" si="3"/>
        <v>-5.2862284838621539E-3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119</v>
      </c>
      <c r="D96" s="325">
        <v>125.4</v>
      </c>
      <c r="E96" s="326">
        <f>+D96-C96</f>
        <v>6.4000000000000057</v>
      </c>
      <c r="F96" s="316">
        <f>IF(C96=0,0,+E96/C96)</f>
        <v>5.3781512605042062E-2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11.3</v>
      </c>
      <c r="D97" s="325">
        <v>5.9</v>
      </c>
      <c r="E97" s="326">
        <f>+D97-C97</f>
        <v>-5.4</v>
      </c>
      <c r="F97" s="316">
        <f>IF(C97=0,0,+E97/C97)</f>
        <v>-0.47787610619469029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338.9</v>
      </c>
      <c r="D98" s="325">
        <v>344.4</v>
      </c>
      <c r="E98" s="326">
        <f>+D98-C98</f>
        <v>5.5</v>
      </c>
      <c r="F98" s="316">
        <f>IF(C98=0,0,+E98/C98)</f>
        <v>1.6228976099144293E-2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469.2</v>
      </c>
      <c r="D99" s="327">
        <f>SUM(D96:D98)</f>
        <v>475.7</v>
      </c>
      <c r="E99" s="327">
        <f>+D99-C99</f>
        <v>6.5</v>
      </c>
      <c r="F99" s="309">
        <f>IF(C99=0,0,+E99/C99)</f>
        <v>1.3853367433930093E-2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2" orientation="portrait" horizontalDpi="1200" verticalDpi="1200" r:id="rId1"/>
  <headerFooter>
    <oddHeader>&amp;LOFFICE OF HEALTH CARE ACCESS&amp;CTWELVE MONTHS ACTUAL FILING&amp;RJOHNSON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951</v>
      </c>
      <c r="D12" s="296">
        <v>937</v>
      </c>
      <c r="E12" s="296">
        <f>+D12-C12</f>
        <v>-14</v>
      </c>
      <c r="F12" s="316">
        <f>IF(C12=0,0,+E12/C12)</f>
        <v>-1.4721345951629864E-2</v>
      </c>
    </row>
    <row r="13" spans="1:16" ht="15.75" customHeight="1" x14ac:dyDescent="0.2">
      <c r="A13" s="294">
        <v>2</v>
      </c>
      <c r="B13" s="295" t="s">
        <v>584</v>
      </c>
      <c r="C13" s="296">
        <v>1291</v>
      </c>
      <c r="D13" s="296">
        <v>1360</v>
      </c>
      <c r="E13" s="296">
        <f>+D13-C13</f>
        <v>69</v>
      </c>
      <c r="F13" s="316">
        <f>IF(C13=0,0,+E13/C13)</f>
        <v>5.3446940356312936E-2</v>
      </c>
    </row>
    <row r="14" spans="1:16" ht="15.75" customHeight="1" x14ac:dyDescent="0.25">
      <c r="A14" s="294"/>
      <c r="B14" s="135" t="s">
        <v>585</v>
      </c>
      <c r="C14" s="300">
        <f>SUM(C11:C13)</f>
        <v>2242</v>
      </c>
      <c r="D14" s="300">
        <f>SUM(D11:D13)</f>
        <v>2297</v>
      </c>
      <c r="E14" s="300">
        <f>+D14-C14</f>
        <v>55</v>
      </c>
      <c r="F14" s="309">
        <f>IF(C14=0,0,+E14/C14)</f>
        <v>2.4531668153434435E-2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558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583</v>
      </c>
      <c r="C17" s="296">
        <v>1786</v>
      </c>
      <c r="D17" s="296">
        <v>1539</v>
      </c>
      <c r="E17" s="296">
        <f>+D17-C17</f>
        <v>-247</v>
      </c>
      <c r="F17" s="316">
        <f>IF(C17=0,0,+E17/C17)</f>
        <v>-0.13829787234042554</v>
      </c>
    </row>
    <row r="18" spans="1:6" ht="15.75" customHeight="1" x14ac:dyDescent="0.2">
      <c r="A18" s="294">
        <v>2</v>
      </c>
      <c r="B18" s="295" t="s">
        <v>586</v>
      </c>
      <c r="C18" s="296">
        <v>623</v>
      </c>
      <c r="D18" s="296">
        <v>522</v>
      </c>
      <c r="E18" s="296">
        <f>+D18-C18</f>
        <v>-101</v>
      </c>
      <c r="F18" s="316">
        <f>IF(C18=0,0,+E18/C18)</f>
        <v>-0.16211878009630817</v>
      </c>
    </row>
    <row r="19" spans="1:6" ht="15.75" customHeight="1" x14ac:dyDescent="0.25">
      <c r="A19" s="294"/>
      <c r="B19" s="135" t="s">
        <v>587</v>
      </c>
      <c r="C19" s="300">
        <f>SUM(C16:C18)</f>
        <v>2409</v>
      </c>
      <c r="D19" s="300">
        <f>SUM(D16:D18)</f>
        <v>2061</v>
      </c>
      <c r="E19" s="300">
        <f>+D19-C19</f>
        <v>-348</v>
      </c>
      <c r="F19" s="309">
        <f>IF(C19=0,0,+E19/C19)</f>
        <v>-0.14445828144458281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588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583</v>
      </c>
      <c r="C22" s="296">
        <v>17336</v>
      </c>
      <c r="D22" s="296">
        <v>17243</v>
      </c>
      <c r="E22" s="296">
        <f>+D22-C22</f>
        <v>-93</v>
      </c>
      <c r="F22" s="316">
        <f>IF(C22=0,0,+E22/C22)</f>
        <v>-5.3645592985694509E-3</v>
      </c>
    </row>
    <row r="23" spans="1:6" ht="15.75" customHeight="1" x14ac:dyDescent="0.25">
      <c r="A23" s="294"/>
      <c r="B23" s="135" t="s">
        <v>589</v>
      </c>
      <c r="C23" s="300">
        <f>SUM(C21:C22)</f>
        <v>17336</v>
      </c>
      <c r="D23" s="300">
        <f>SUM(D21:D22)</f>
        <v>17243</v>
      </c>
      <c r="E23" s="300">
        <f>+D23-C23</f>
        <v>-93</v>
      </c>
      <c r="F23" s="309">
        <f>IF(C23=0,0,+E23/C23)</f>
        <v>-5.3645592985694509E-3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590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591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592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scale="80" orientation="portrait" horizontalDpi="1200" verticalDpi="1200" r:id="rId1"/>
  <headerFooter>
    <oddHeader>&amp;LOFFICE OF HEALTH CARE ACCESS&amp;CTWELVE MONTHS ACTUAL FILING&amp;RJOHNSON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593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594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595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596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597</v>
      </c>
      <c r="D7" s="341" t="s">
        <v>597</v>
      </c>
      <c r="E7" s="341" t="s">
        <v>598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599</v>
      </c>
      <c r="D8" s="344" t="s">
        <v>600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601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602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603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604</v>
      </c>
      <c r="C15" s="361">
        <v>51856684</v>
      </c>
      <c r="D15" s="361">
        <v>42815475</v>
      </c>
      <c r="E15" s="361">
        <f t="shared" ref="E15:E24" si="0">D15-C15</f>
        <v>-9041209</v>
      </c>
      <c r="F15" s="362">
        <f t="shared" ref="F15:F24" si="1">IF(C15=0,0,E15/C15)</f>
        <v>-0.17434992565278568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605</v>
      </c>
      <c r="C16" s="361">
        <v>14638639</v>
      </c>
      <c r="D16" s="361">
        <v>14503969</v>
      </c>
      <c r="E16" s="361">
        <f t="shared" si="0"/>
        <v>-134670</v>
      </c>
      <c r="F16" s="362">
        <f t="shared" si="1"/>
        <v>-9.1996257302335276E-3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606</v>
      </c>
      <c r="C17" s="366">
        <f>IF(C15=0,0,C16/C15)</f>
        <v>0.28229030224917584</v>
      </c>
      <c r="D17" s="366">
        <f>IF(LN_IA1=0,0,LN_IA2/LN_IA1)</f>
        <v>0.33875529817198102</v>
      </c>
      <c r="E17" s="367">
        <f t="shared" si="0"/>
        <v>5.6464995922805183E-2</v>
      </c>
      <c r="F17" s="362">
        <f t="shared" si="1"/>
        <v>0.20002456858388246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1807</v>
      </c>
      <c r="D18" s="369">
        <v>1733</v>
      </c>
      <c r="E18" s="369">
        <f t="shared" si="0"/>
        <v>-74</v>
      </c>
      <c r="F18" s="362">
        <f t="shared" si="1"/>
        <v>-4.0951853901494188E-2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607</v>
      </c>
      <c r="C19" s="372">
        <v>1.2925199999999999</v>
      </c>
      <c r="D19" s="372">
        <v>1.3520000000000001</v>
      </c>
      <c r="E19" s="373">
        <f t="shared" si="0"/>
        <v>5.9480000000000199E-2</v>
      </c>
      <c r="F19" s="362">
        <f t="shared" si="1"/>
        <v>4.6018630272645841E-2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608</v>
      </c>
      <c r="C20" s="376">
        <f>C18*C19</f>
        <v>2335.5836399999998</v>
      </c>
      <c r="D20" s="376">
        <f>LN_IA4*LN_IA5</f>
        <v>2343.0160000000001</v>
      </c>
      <c r="E20" s="376">
        <f t="shared" si="0"/>
        <v>7.4323600000002443</v>
      </c>
      <c r="F20" s="362">
        <f t="shared" si="1"/>
        <v>3.1822281474793361E-3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609</v>
      </c>
      <c r="C21" s="378">
        <f>IF(C20=0,0,C16/C20)</f>
        <v>6267.6577919513093</v>
      </c>
      <c r="D21" s="378">
        <f>IF(LN_IA6=0,0,LN_IA2/LN_IA6)</f>
        <v>6190.2987431583906</v>
      </c>
      <c r="E21" s="378">
        <f t="shared" si="0"/>
        <v>-77.359048792918657</v>
      </c>
      <c r="F21" s="362">
        <f t="shared" si="1"/>
        <v>-1.2342576981828881E-2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10623</v>
      </c>
      <c r="D22" s="369">
        <v>10783</v>
      </c>
      <c r="E22" s="369">
        <f t="shared" si="0"/>
        <v>160</v>
      </c>
      <c r="F22" s="362">
        <f t="shared" si="1"/>
        <v>1.50616586651605E-2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610</v>
      </c>
      <c r="C23" s="378">
        <f>IF(C22=0,0,C16/C22)</f>
        <v>1378.0136496281652</v>
      </c>
      <c r="D23" s="378">
        <f>IF(LN_IA8=0,0,LN_IA2/LN_IA8)</f>
        <v>1345.077343967356</v>
      </c>
      <c r="E23" s="378">
        <f t="shared" si="0"/>
        <v>-32.936305660809239</v>
      </c>
      <c r="F23" s="362">
        <f t="shared" si="1"/>
        <v>-2.3901291304114853E-2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611</v>
      </c>
      <c r="C24" s="379">
        <f>IF(C18=0,0,C22/C18)</f>
        <v>5.8788046485888215</v>
      </c>
      <c r="D24" s="379">
        <f>IF(LN_IA4=0,0,LN_IA8/LN_IA4)</f>
        <v>6.2221581073283323</v>
      </c>
      <c r="E24" s="379">
        <f t="shared" si="0"/>
        <v>0.34335345873951084</v>
      </c>
      <c r="F24" s="362">
        <f t="shared" si="1"/>
        <v>5.8405318642784157E-2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612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613</v>
      </c>
      <c r="C27" s="361">
        <v>35476768</v>
      </c>
      <c r="D27" s="361">
        <v>26348240</v>
      </c>
      <c r="E27" s="361">
        <f t="shared" ref="E27:E32" si="2">D27-C27</f>
        <v>-9128528</v>
      </c>
      <c r="F27" s="362">
        <f t="shared" ref="F27:F32" si="3">IF(C27=0,0,E27/C27)</f>
        <v>-0.25731002328058744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614</v>
      </c>
      <c r="C28" s="361">
        <v>7161657</v>
      </c>
      <c r="D28" s="361">
        <v>7013075</v>
      </c>
      <c r="E28" s="361">
        <f t="shared" si="2"/>
        <v>-148582</v>
      </c>
      <c r="F28" s="362">
        <f t="shared" si="3"/>
        <v>-2.0746874640882689E-2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615</v>
      </c>
      <c r="C29" s="366">
        <f>IF(C27=0,0,C28/C27)</f>
        <v>0.20186892447474358</v>
      </c>
      <c r="D29" s="366">
        <f>IF(LN_IA11=0,0,LN_IA12/LN_IA11)</f>
        <v>0.26616863213634001</v>
      </c>
      <c r="E29" s="367">
        <f t="shared" si="2"/>
        <v>6.4299707661596428E-2</v>
      </c>
      <c r="F29" s="362">
        <f t="shared" si="3"/>
        <v>0.31852206984756165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616</v>
      </c>
      <c r="C30" s="366">
        <f>IF(C15=0,0,C27/C15)</f>
        <v>0.68413105627810678</v>
      </c>
      <c r="D30" s="366">
        <f>IF(LN_IA1=0,0,LN_IA11/LN_IA1)</f>
        <v>0.61539058015822545</v>
      </c>
      <c r="E30" s="367">
        <f t="shared" si="2"/>
        <v>-6.8740476119881322E-2</v>
      </c>
      <c r="F30" s="362">
        <f t="shared" si="3"/>
        <v>-0.100478520144739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617</v>
      </c>
      <c r="C31" s="376">
        <f>C30*C18</f>
        <v>1236.224818694539</v>
      </c>
      <c r="D31" s="376">
        <f>LN_IA14*LN_IA4</f>
        <v>1066.4718754142048</v>
      </c>
      <c r="E31" s="376">
        <f t="shared" si="2"/>
        <v>-169.75294328033419</v>
      </c>
      <c r="F31" s="362">
        <f t="shared" si="3"/>
        <v>-0.13731559236902746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618</v>
      </c>
      <c r="C32" s="378">
        <f>IF(C31=0,0,C28/C31)</f>
        <v>5793.167142173018</v>
      </c>
      <c r="D32" s="378">
        <f>IF(LN_IA15=0,0,LN_IA12/LN_IA15)</f>
        <v>6575.9586930280802</v>
      </c>
      <c r="E32" s="378">
        <f t="shared" si="2"/>
        <v>782.79155085506227</v>
      </c>
      <c r="F32" s="362">
        <f t="shared" si="3"/>
        <v>0.13512324634248979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619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620</v>
      </c>
      <c r="C35" s="361">
        <f>C15+C27</f>
        <v>87333452</v>
      </c>
      <c r="D35" s="361">
        <f>LN_IA1+LN_IA11</f>
        <v>69163715</v>
      </c>
      <c r="E35" s="361">
        <f>D35-C35</f>
        <v>-18169737</v>
      </c>
      <c r="F35" s="362">
        <f>IF(C35=0,0,E35/C35)</f>
        <v>-0.20805014097003746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621</v>
      </c>
      <c r="C36" s="361">
        <f>C16+C28</f>
        <v>21800296</v>
      </c>
      <c r="D36" s="361">
        <f>LN_IA2+LN_IA12</f>
        <v>21517044</v>
      </c>
      <c r="E36" s="361">
        <f>D36-C36</f>
        <v>-283252</v>
      </c>
      <c r="F36" s="362">
        <f>IF(C36=0,0,E36/C36)</f>
        <v>-1.2993034589989053E-2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622</v>
      </c>
      <c r="C37" s="361">
        <f>C35-C36</f>
        <v>65533156</v>
      </c>
      <c r="D37" s="361">
        <f>LN_IA17-LN_IA18</f>
        <v>47646671</v>
      </c>
      <c r="E37" s="361">
        <f>D37-C37</f>
        <v>-17886485</v>
      </c>
      <c r="F37" s="362">
        <f>IF(C37=0,0,E37/C37)</f>
        <v>-0.27293794609861305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623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624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604</v>
      </c>
      <c r="C42" s="361">
        <v>24183725</v>
      </c>
      <c r="D42" s="361">
        <v>17036384</v>
      </c>
      <c r="E42" s="361">
        <f t="shared" ref="E42:E53" si="4">D42-C42</f>
        <v>-7147341</v>
      </c>
      <c r="F42" s="362">
        <f t="shared" ref="F42:F53" si="5">IF(C42=0,0,E42/C42)</f>
        <v>-0.29554342848341186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605</v>
      </c>
      <c r="C43" s="361">
        <v>8751723</v>
      </c>
      <c r="D43" s="361">
        <v>9287493</v>
      </c>
      <c r="E43" s="361">
        <f t="shared" si="4"/>
        <v>535770</v>
      </c>
      <c r="F43" s="362">
        <f t="shared" si="5"/>
        <v>6.1218802286132683E-2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606</v>
      </c>
      <c r="C44" s="366">
        <f>IF(C42=0,0,C43/C42)</f>
        <v>0.36188482130027527</v>
      </c>
      <c r="D44" s="366">
        <f>IF(LN_IB1=0,0,LN_IB2/LN_IB1)</f>
        <v>0.54515635477575519</v>
      </c>
      <c r="E44" s="367">
        <f t="shared" si="4"/>
        <v>0.18327153347547992</v>
      </c>
      <c r="F44" s="362">
        <f t="shared" si="5"/>
        <v>0.50643608874495927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1333</v>
      </c>
      <c r="D45" s="369">
        <v>1143</v>
      </c>
      <c r="E45" s="369">
        <f t="shared" si="4"/>
        <v>-190</v>
      </c>
      <c r="F45" s="362">
        <f t="shared" si="5"/>
        <v>-0.14253563390847712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607</v>
      </c>
      <c r="C46" s="372">
        <v>1.0234000000000001</v>
      </c>
      <c r="D46" s="372">
        <v>1.1677</v>
      </c>
      <c r="E46" s="373">
        <f t="shared" si="4"/>
        <v>0.14429999999999987</v>
      </c>
      <c r="F46" s="362">
        <f t="shared" si="5"/>
        <v>0.14100058628102391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608</v>
      </c>
      <c r="C47" s="376">
        <f>C45*C46</f>
        <v>1364.1922000000002</v>
      </c>
      <c r="D47" s="376">
        <f>LN_IB4*LN_IB5</f>
        <v>1334.6811</v>
      </c>
      <c r="E47" s="376">
        <f t="shared" si="4"/>
        <v>-29.51110000000017</v>
      </c>
      <c r="F47" s="362">
        <f t="shared" si="5"/>
        <v>-2.1632655574485887E-2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609</v>
      </c>
      <c r="C48" s="378">
        <f>IF(C47=0,0,C43/C47)</f>
        <v>6415.3152319739102</v>
      </c>
      <c r="D48" s="378">
        <f>IF(LN_IB6=0,0,LN_IB2/LN_IB6)</f>
        <v>6958.5858374708387</v>
      </c>
      <c r="E48" s="378">
        <f t="shared" si="4"/>
        <v>543.27060549692851</v>
      </c>
      <c r="F48" s="362">
        <f t="shared" si="5"/>
        <v>8.4683384347080809E-2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625</v>
      </c>
      <c r="C49" s="378">
        <f>C21-C48</f>
        <v>-147.65744002260089</v>
      </c>
      <c r="D49" s="378">
        <f>LN_IA7-LN_IB7</f>
        <v>-768.28709431244806</v>
      </c>
      <c r="E49" s="378">
        <f t="shared" si="4"/>
        <v>-620.62965428984717</v>
      </c>
      <c r="F49" s="362">
        <f t="shared" si="5"/>
        <v>4.2031722491928054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626</v>
      </c>
      <c r="C50" s="391">
        <f>C49*C47</f>
        <v>-201433.1279508</v>
      </c>
      <c r="D50" s="391">
        <f>LN_IB8*LN_IB6</f>
        <v>-1025418.264152742</v>
      </c>
      <c r="E50" s="391">
        <f t="shared" si="4"/>
        <v>-823985.13620194199</v>
      </c>
      <c r="F50" s="362">
        <f t="shared" si="5"/>
        <v>4.0906138160312944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5221</v>
      </c>
      <c r="D51" s="369">
        <v>4527</v>
      </c>
      <c r="E51" s="369">
        <f t="shared" si="4"/>
        <v>-694</v>
      </c>
      <c r="F51" s="362">
        <f t="shared" si="5"/>
        <v>-0.13292472706378089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610</v>
      </c>
      <c r="C52" s="378">
        <f>IF(C51=0,0,C43/C51)</f>
        <v>1676.2541658686075</v>
      </c>
      <c r="D52" s="378">
        <f>IF(LN_IB10=0,0,LN_IB2/LN_IB10)</f>
        <v>2051.5778661365143</v>
      </c>
      <c r="E52" s="378">
        <f t="shared" si="4"/>
        <v>375.32370026790682</v>
      </c>
      <c r="F52" s="362">
        <f t="shared" si="5"/>
        <v>0.22390619985330221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611</v>
      </c>
      <c r="C53" s="379">
        <f>IF(C45=0,0,C51/C45)</f>
        <v>3.9167291822955739</v>
      </c>
      <c r="D53" s="379">
        <f>IF(LN_IB4=0,0,LN_IB10/LN_IB4)</f>
        <v>3.9606299212598426</v>
      </c>
      <c r="E53" s="379">
        <f t="shared" si="4"/>
        <v>4.3900738964268715E-2</v>
      </c>
      <c r="F53" s="362">
        <f t="shared" si="5"/>
        <v>1.1208520405931852E-2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627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613</v>
      </c>
      <c r="C56" s="361">
        <v>65316409</v>
      </c>
      <c r="D56" s="361">
        <v>46982949</v>
      </c>
      <c r="E56" s="361">
        <f t="shared" ref="E56:E63" si="6">D56-C56</f>
        <v>-18333460</v>
      </c>
      <c r="F56" s="362">
        <f t="shared" ref="F56:F63" si="7">IF(C56=0,0,E56/C56)</f>
        <v>-0.28068689446782047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614</v>
      </c>
      <c r="C57" s="361">
        <v>28858599</v>
      </c>
      <c r="D57" s="361">
        <v>25624016</v>
      </c>
      <c r="E57" s="361">
        <f t="shared" si="6"/>
        <v>-3234583</v>
      </c>
      <c r="F57" s="362">
        <f t="shared" si="7"/>
        <v>-0.1120838541053223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615</v>
      </c>
      <c r="C58" s="366">
        <f>IF(C56=0,0,C57/C56)</f>
        <v>0.44182770366325558</v>
      </c>
      <c r="D58" s="366">
        <f>IF(LN_IB13=0,0,LN_IB14/LN_IB13)</f>
        <v>0.54538969020441863</v>
      </c>
      <c r="E58" s="367">
        <f t="shared" si="6"/>
        <v>0.10356198654116305</v>
      </c>
      <c r="F58" s="362">
        <f t="shared" si="7"/>
        <v>0.23439450646149182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616</v>
      </c>
      <c r="C59" s="366">
        <f>IF(C42=0,0,C56/C42)</f>
        <v>2.7008415370254171</v>
      </c>
      <c r="D59" s="366">
        <f>IF(LN_IB1=0,0,LN_IB13/LN_IB1)</f>
        <v>2.757800540302449</v>
      </c>
      <c r="E59" s="367">
        <f t="shared" si="6"/>
        <v>5.6959003277031961E-2</v>
      </c>
      <c r="F59" s="362">
        <f t="shared" si="7"/>
        <v>2.1089354001776792E-2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617</v>
      </c>
      <c r="C60" s="376">
        <f>C59*C45</f>
        <v>3600.2217688548808</v>
      </c>
      <c r="D60" s="376">
        <f>LN_IB16*LN_IB4</f>
        <v>3152.1660175656993</v>
      </c>
      <c r="E60" s="376">
        <f t="shared" si="6"/>
        <v>-448.05575128918144</v>
      </c>
      <c r="F60" s="362">
        <f t="shared" si="7"/>
        <v>-0.12445226434806379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618</v>
      </c>
      <c r="C61" s="378">
        <f>IF(C60=0,0,C57/C60)</f>
        <v>8015.7837080072504</v>
      </c>
      <c r="D61" s="378">
        <f>IF(LN_IB17=0,0,LN_IB14/LN_IB17)</f>
        <v>8129.0185406504934</v>
      </c>
      <c r="E61" s="378">
        <f t="shared" si="6"/>
        <v>113.23483264324295</v>
      </c>
      <c r="F61" s="362">
        <f t="shared" si="7"/>
        <v>1.4126483044961488E-2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628</v>
      </c>
      <c r="C62" s="378">
        <f>C32-C61</f>
        <v>-2222.6165658342325</v>
      </c>
      <c r="D62" s="378">
        <f>LN_IA16-LN_IB18</f>
        <v>-1553.0598476224131</v>
      </c>
      <c r="E62" s="378">
        <f t="shared" si="6"/>
        <v>669.55671821181932</v>
      </c>
      <c r="F62" s="362">
        <f t="shared" si="7"/>
        <v>-0.30124706551015434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629</v>
      </c>
      <c r="C63" s="361">
        <f>C62*C60</f>
        <v>-8001912.5441338811</v>
      </c>
      <c r="D63" s="361">
        <f>LN_IB19*LN_IB17</f>
        <v>-4895502.4749211343</v>
      </c>
      <c r="E63" s="361">
        <f t="shared" si="6"/>
        <v>3106410.0692127468</v>
      </c>
      <c r="F63" s="362">
        <f t="shared" si="7"/>
        <v>-0.38820845042726987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630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620</v>
      </c>
      <c r="C66" s="361">
        <f>C42+C56</f>
        <v>89500134</v>
      </c>
      <c r="D66" s="361">
        <f>LN_IB1+LN_IB13</f>
        <v>64019333</v>
      </c>
      <c r="E66" s="361">
        <f>D66-C66</f>
        <v>-25480801</v>
      </c>
      <c r="F66" s="362">
        <f>IF(C66=0,0,E66/C66)</f>
        <v>-0.28470126089420156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621</v>
      </c>
      <c r="C67" s="361">
        <f>C43+C57</f>
        <v>37610322</v>
      </c>
      <c r="D67" s="361">
        <f>LN_IB2+LN_IB14</f>
        <v>34911509</v>
      </c>
      <c r="E67" s="361">
        <f>D67-C67</f>
        <v>-2698813</v>
      </c>
      <c r="F67" s="362">
        <f>IF(C67=0,0,E67/C67)</f>
        <v>-7.1757242599518295E-2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622</v>
      </c>
      <c r="C68" s="361">
        <f>C66-C67</f>
        <v>51889812</v>
      </c>
      <c r="D68" s="361">
        <f>LN_IB21-LN_IB22</f>
        <v>29107824</v>
      </c>
      <c r="E68" s="361">
        <f>D68-C68</f>
        <v>-22781988</v>
      </c>
      <c r="F68" s="362">
        <f>IF(C68=0,0,E68/C68)</f>
        <v>-0.43904549124209585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631</v>
      </c>
      <c r="C70" s="353">
        <f>C50+C63</f>
        <v>-8203345.6720846808</v>
      </c>
      <c r="D70" s="353">
        <f>LN_IB9+LN_IB20</f>
        <v>-5920920.7390738763</v>
      </c>
      <c r="E70" s="361">
        <f>D70-C70</f>
        <v>2282424.9330108045</v>
      </c>
      <c r="F70" s="362">
        <f>IF(C70=0,0,E70/C70)</f>
        <v>-0.27823098333862867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632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633</v>
      </c>
      <c r="C73" s="400">
        <v>82051367</v>
      </c>
      <c r="D73" s="400">
        <v>64018828</v>
      </c>
      <c r="E73" s="400">
        <f>D73-C73</f>
        <v>-18032539</v>
      </c>
      <c r="F73" s="401">
        <f>IF(C73=0,0,E73/C73)</f>
        <v>-0.21977134153048297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634</v>
      </c>
      <c r="C74" s="400">
        <v>36791779</v>
      </c>
      <c r="D74" s="400">
        <v>35208809</v>
      </c>
      <c r="E74" s="400">
        <f>D74-C74</f>
        <v>-1582970</v>
      </c>
      <c r="F74" s="401">
        <f>IF(C74=0,0,E74/C74)</f>
        <v>-4.3025100797653738E-2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635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636</v>
      </c>
      <c r="C76" s="353">
        <f>C73-C74</f>
        <v>45259588</v>
      </c>
      <c r="D76" s="353">
        <f>LN_IB32-LN_IB33</f>
        <v>28810019</v>
      </c>
      <c r="E76" s="400">
        <f>D76-C76</f>
        <v>-16449569</v>
      </c>
      <c r="F76" s="401">
        <f>IF(C76=0,0,E76/C76)</f>
        <v>-0.36344937563284935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637</v>
      </c>
      <c r="C77" s="366">
        <f>IF(C73=0,0,C76/C73)</f>
        <v>0.55160065767094413</v>
      </c>
      <c r="D77" s="366">
        <f>IF(LN_IB1=0,0,LN_IB34/LN_IB32)</f>
        <v>0.4500241553937851</v>
      </c>
      <c r="E77" s="405">
        <f>D77-C77</f>
        <v>-0.10157650227715903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638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639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604</v>
      </c>
      <c r="C83" s="361">
        <v>2666773</v>
      </c>
      <c r="D83" s="361">
        <v>734342</v>
      </c>
      <c r="E83" s="361">
        <f t="shared" ref="E83:E95" si="8">D83-C83</f>
        <v>-1932431</v>
      </c>
      <c r="F83" s="362">
        <f t="shared" ref="F83:F95" si="9">IF(C83=0,0,E83/C83)</f>
        <v>-0.72463273026988051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605</v>
      </c>
      <c r="C84" s="361">
        <v>26382</v>
      </c>
      <c r="D84" s="361">
        <v>62740</v>
      </c>
      <c r="E84" s="361">
        <f t="shared" si="8"/>
        <v>36358</v>
      </c>
      <c r="F84" s="362">
        <f t="shared" si="9"/>
        <v>1.3781366082935336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606</v>
      </c>
      <c r="C85" s="366">
        <f>IF(C83=0,0,C84/C83)</f>
        <v>9.8928555223860449E-3</v>
      </c>
      <c r="D85" s="366">
        <f>IF(LN_IC1=0,0,LN_IC2/LN_IC1)</f>
        <v>8.5437030702315814E-2</v>
      </c>
      <c r="E85" s="367">
        <f t="shared" si="8"/>
        <v>7.5544175179929771E-2</v>
      </c>
      <c r="F85" s="362">
        <f t="shared" si="9"/>
        <v>7.6362355650483984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114</v>
      </c>
      <c r="D86" s="369">
        <v>46</v>
      </c>
      <c r="E86" s="369">
        <f t="shared" si="8"/>
        <v>-68</v>
      </c>
      <c r="F86" s="362">
        <f t="shared" si="9"/>
        <v>-0.59649122807017541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607</v>
      </c>
      <c r="C87" s="372">
        <v>1.1297999999999999</v>
      </c>
      <c r="D87" s="372">
        <v>0.92269999999999996</v>
      </c>
      <c r="E87" s="373">
        <f t="shared" si="8"/>
        <v>-0.20709999999999995</v>
      </c>
      <c r="F87" s="362">
        <f t="shared" si="9"/>
        <v>-0.18330677996105502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608</v>
      </c>
      <c r="C88" s="376">
        <f>C86*C87</f>
        <v>128.7972</v>
      </c>
      <c r="D88" s="376">
        <f>LN_IC4*LN_IC5</f>
        <v>42.444199999999995</v>
      </c>
      <c r="E88" s="376">
        <f t="shared" si="8"/>
        <v>-86.353000000000009</v>
      </c>
      <c r="F88" s="362">
        <f t="shared" si="9"/>
        <v>-0.67045712173867134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609</v>
      </c>
      <c r="C89" s="378">
        <f>IF(C88=0,0,C84/C88)</f>
        <v>204.83364545191975</v>
      </c>
      <c r="D89" s="378">
        <f>IF(LN_IC6=0,0,LN_IC2/LN_IC6)</f>
        <v>1478.1760523228145</v>
      </c>
      <c r="E89" s="378">
        <f t="shared" si="8"/>
        <v>1273.3424068708948</v>
      </c>
      <c r="F89" s="362">
        <f t="shared" si="9"/>
        <v>6.2164709516424841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640</v>
      </c>
      <c r="C90" s="378">
        <f>C48-C89</f>
        <v>6210.4815865219907</v>
      </c>
      <c r="D90" s="378">
        <f>LN_IB7-LN_IC7</f>
        <v>5480.4097851480237</v>
      </c>
      <c r="E90" s="378">
        <f t="shared" si="8"/>
        <v>-730.07180137396699</v>
      </c>
      <c r="F90" s="362">
        <f t="shared" si="9"/>
        <v>-0.11755478076907457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641</v>
      </c>
      <c r="C91" s="378">
        <f>C21-C89</f>
        <v>6062.8241464993898</v>
      </c>
      <c r="D91" s="378">
        <f>LN_IA7-LN_IC7</f>
        <v>4712.1226908355766</v>
      </c>
      <c r="E91" s="378">
        <f t="shared" si="8"/>
        <v>-1350.7014556638132</v>
      </c>
      <c r="F91" s="362">
        <f t="shared" si="9"/>
        <v>-0.22278420469175145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626</v>
      </c>
      <c r="C92" s="353">
        <f>C91*C88</f>
        <v>780874.77416151122</v>
      </c>
      <c r="D92" s="353">
        <f>LN_IC9*LN_IC6</f>
        <v>200002.27791436337</v>
      </c>
      <c r="E92" s="353">
        <f t="shared" si="8"/>
        <v>-580872.49624714791</v>
      </c>
      <c r="F92" s="362">
        <f t="shared" si="9"/>
        <v>-0.74387406978395221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638</v>
      </c>
      <c r="D93" s="369">
        <v>177</v>
      </c>
      <c r="E93" s="369">
        <f t="shared" si="8"/>
        <v>-461</v>
      </c>
      <c r="F93" s="362">
        <f t="shared" si="9"/>
        <v>-0.72257053291536055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610</v>
      </c>
      <c r="C94" s="411">
        <f>IF(C93=0,0,C84/C93)</f>
        <v>41.351097178683382</v>
      </c>
      <c r="D94" s="411">
        <f>IF(LN_IC11=0,0,LN_IC2/LN_IC11)</f>
        <v>354.46327683615817</v>
      </c>
      <c r="E94" s="411">
        <f t="shared" si="8"/>
        <v>313.11217965747477</v>
      </c>
      <c r="F94" s="362">
        <f t="shared" si="9"/>
        <v>7.572040429894205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611</v>
      </c>
      <c r="C95" s="379">
        <f>IF(C86=0,0,C93/C86)</f>
        <v>5.5964912280701755</v>
      </c>
      <c r="D95" s="379">
        <f>IF(LN_IC4=0,0,LN_IC11/LN_IC4)</f>
        <v>3.847826086956522</v>
      </c>
      <c r="E95" s="379">
        <f t="shared" si="8"/>
        <v>-1.7486651411136536</v>
      </c>
      <c r="F95" s="362">
        <f t="shared" si="9"/>
        <v>-0.31245740765980645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642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613</v>
      </c>
      <c r="C98" s="361">
        <v>4781994</v>
      </c>
      <c r="D98" s="361">
        <v>2311753</v>
      </c>
      <c r="E98" s="361">
        <f t="shared" ref="E98:E106" si="10">D98-C98</f>
        <v>-2470241</v>
      </c>
      <c r="F98" s="362">
        <f t="shared" ref="F98:F106" si="11">IF(C98=0,0,E98/C98)</f>
        <v>-0.51657132986783338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614</v>
      </c>
      <c r="C99" s="361">
        <v>792161</v>
      </c>
      <c r="D99" s="361">
        <v>158606</v>
      </c>
      <c r="E99" s="361">
        <f t="shared" si="10"/>
        <v>-633555</v>
      </c>
      <c r="F99" s="362">
        <f t="shared" si="11"/>
        <v>-0.79978060015577646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615</v>
      </c>
      <c r="C100" s="366">
        <f>IF(C98=0,0,C99/C98)</f>
        <v>0.16565495481591988</v>
      </c>
      <c r="D100" s="366">
        <f>IF(LN_IC14=0,0,LN_IC15/LN_IC14)</f>
        <v>6.8608540791338865E-2</v>
      </c>
      <c r="E100" s="367">
        <f t="shared" si="10"/>
        <v>-9.7046414024581015E-2</v>
      </c>
      <c r="F100" s="362">
        <f t="shared" si="11"/>
        <v>-0.58583465935215473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616</v>
      </c>
      <c r="C101" s="366">
        <f>IF(C83=0,0,C98/C83)</f>
        <v>1.7931762470971471</v>
      </c>
      <c r="D101" s="366">
        <f>IF(LN_IC1=0,0,LN_IC14/LN_IC1)</f>
        <v>3.1480604405031989</v>
      </c>
      <c r="E101" s="367">
        <f t="shared" si="10"/>
        <v>1.3548841934060518</v>
      </c>
      <c r="F101" s="362">
        <f t="shared" si="11"/>
        <v>0.75557781651378841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617</v>
      </c>
      <c r="C102" s="376">
        <f>C101*C86</f>
        <v>204.42209216907477</v>
      </c>
      <c r="D102" s="376">
        <f>LN_IC17*LN_IC4</f>
        <v>144.81078026314714</v>
      </c>
      <c r="E102" s="376">
        <f t="shared" si="10"/>
        <v>-59.611311905927636</v>
      </c>
      <c r="F102" s="362">
        <f t="shared" si="11"/>
        <v>-0.29160895123127845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618</v>
      </c>
      <c r="C103" s="378">
        <f>IF(C102=0,0,C99/C102)</f>
        <v>3875.1242177132904</v>
      </c>
      <c r="D103" s="378">
        <f>IF(LN_IC18=0,0,LN_IC15/LN_IC18)</f>
        <v>1095.2637622128993</v>
      </c>
      <c r="E103" s="378">
        <f t="shared" si="10"/>
        <v>-2779.8604555003913</v>
      </c>
      <c r="F103" s="362">
        <f t="shared" si="11"/>
        <v>-0.71736034751959155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643</v>
      </c>
      <c r="C104" s="378">
        <f>C61-C103</f>
        <v>4140.6594902939596</v>
      </c>
      <c r="D104" s="378">
        <f>LN_IB18-LN_IC19</f>
        <v>7033.7547784375938</v>
      </c>
      <c r="E104" s="378">
        <f t="shared" si="10"/>
        <v>2893.0952881436342</v>
      </c>
      <c r="F104" s="362">
        <f t="shared" si="11"/>
        <v>0.69870398542195589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644</v>
      </c>
      <c r="C105" s="378">
        <f>C32-C103</f>
        <v>1918.0429244597276</v>
      </c>
      <c r="D105" s="378">
        <f>LN_IA16-LN_IC19</f>
        <v>5480.6949308151807</v>
      </c>
      <c r="E105" s="378">
        <f t="shared" si="10"/>
        <v>3562.6520063554531</v>
      </c>
      <c r="F105" s="362">
        <f t="shared" si="11"/>
        <v>1.8574412287248354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629</v>
      </c>
      <c r="C106" s="361">
        <f>C105*C102</f>
        <v>392090.34748814814</v>
      </c>
      <c r="D106" s="361">
        <f>LN_IC21*LN_IC18</f>
        <v>793663.70931562153</v>
      </c>
      <c r="E106" s="361">
        <f t="shared" si="10"/>
        <v>401573.36182747339</v>
      </c>
      <c r="F106" s="362">
        <f t="shared" si="11"/>
        <v>1.0241857888113706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645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620</v>
      </c>
      <c r="C109" s="361">
        <f>C83+C98</f>
        <v>7448767</v>
      </c>
      <c r="D109" s="361">
        <f>LN_IC1+LN_IC14</f>
        <v>3046095</v>
      </c>
      <c r="E109" s="361">
        <f>D109-C109</f>
        <v>-4402672</v>
      </c>
      <c r="F109" s="362">
        <f>IF(C109=0,0,E109/C109)</f>
        <v>-0.59106050706110147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621</v>
      </c>
      <c r="C110" s="361">
        <f>C84+C99</f>
        <v>818543</v>
      </c>
      <c r="D110" s="361">
        <f>LN_IC2+LN_IC15</f>
        <v>221346</v>
      </c>
      <c r="E110" s="361">
        <f>D110-C110</f>
        <v>-597197</v>
      </c>
      <c r="F110" s="362">
        <f>IF(C110=0,0,E110/C110)</f>
        <v>-0.72958537303477033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622</v>
      </c>
      <c r="C111" s="361">
        <f>C109-C110</f>
        <v>6630224</v>
      </c>
      <c r="D111" s="361">
        <f>LN_IC23-LN_IC24</f>
        <v>2824749</v>
      </c>
      <c r="E111" s="361">
        <f>D111-C111</f>
        <v>-3805475</v>
      </c>
      <c r="F111" s="362">
        <f>IF(C111=0,0,E111/C111)</f>
        <v>-0.57395873804565278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631</v>
      </c>
      <c r="C113" s="361">
        <f>C92+C106</f>
        <v>1172965.1216496592</v>
      </c>
      <c r="D113" s="361">
        <f>LN_IC10+LN_IC22</f>
        <v>993665.98722998495</v>
      </c>
      <c r="E113" s="361">
        <f>D113-C113</f>
        <v>-179299.13441967429</v>
      </c>
      <c r="F113" s="362">
        <f>IF(C113=0,0,E113/C113)</f>
        <v>-0.15285973223782462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646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647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604</v>
      </c>
      <c r="C118" s="361">
        <v>5308622</v>
      </c>
      <c r="D118" s="361">
        <v>6757493</v>
      </c>
      <c r="E118" s="361">
        <f t="shared" ref="E118:E130" si="12">D118-C118</f>
        <v>1448871</v>
      </c>
      <c r="F118" s="362">
        <f t="shared" ref="F118:F130" si="13">IF(C118=0,0,E118/C118)</f>
        <v>0.2729278897612224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605</v>
      </c>
      <c r="C119" s="361">
        <v>1393883</v>
      </c>
      <c r="D119" s="361">
        <v>2056980</v>
      </c>
      <c r="E119" s="361">
        <f t="shared" si="12"/>
        <v>663097</v>
      </c>
      <c r="F119" s="362">
        <f t="shared" si="13"/>
        <v>0.47571926768602529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606</v>
      </c>
      <c r="C120" s="366">
        <f>IF(C118=0,0,C119/C118)</f>
        <v>0.26256964613415684</v>
      </c>
      <c r="D120" s="366">
        <f>IF(LN_ID1=0,0,LN_1D2/LN_ID1)</f>
        <v>0.30439987137241575</v>
      </c>
      <c r="E120" s="367">
        <f t="shared" si="12"/>
        <v>4.1830225238258911E-2</v>
      </c>
      <c r="F120" s="362">
        <f t="shared" si="13"/>
        <v>0.15931097083813814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404</v>
      </c>
      <c r="D121" s="369">
        <v>509</v>
      </c>
      <c r="E121" s="369">
        <f t="shared" si="12"/>
        <v>105</v>
      </c>
      <c r="F121" s="362">
        <f t="shared" si="13"/>
        <v>0.25990099009900991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607</v>
      </c>
      <c r="C122" s="372">
        <v>0.92720000000000002</v>
      </c>
      <c r="D122" s="372">
        <v>0.85540000000000005</v>
      </c>
      <c r="E122" s="373">
        <f t="shared" si="12"/>
        <v>-7.1799999999999975E-2</v>
      </c>
      <c r="F122" s="362">
        <f t="shared" si="13"/>
        <v>-7.7437446074201874E-2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608</v>
      </c>
      <c r="C123" s="376">
        <f>C121*C122</f>
        <v>374.58879999999999</v>
      </c>
      <c r="D123" s="376">
        <f>LN_ID4*LN_ID5</f>
        <v>435.39860000000004</v>
      </c>
      <c r="E123" s="376">
        <f t="shared" si="12"/>
        <v>60.809800000000052</v>
      </c>
      <c r="F123" s="362">
        <f t="shared" si="13"/>
        <v>0.16233747511938437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609</v>
      </c>
      <c r="C124" s="378">
        <f>IF(C123=0,0,C119/C123)</f>
        <v>3721.1016453241527</v>
      </c>
      <c r="D124" s="378">
        <f>IF(LN_ID6=0,0,LN_1D2/LN_ID6)</f>
        <v>4724.3606203602858</v>
      </c>
      <c r="E124" s="378">
        <f t="shared" si="12"/>
        <v>1003.2589750361331</v>
      </c>
      <c r="F124" s="362">
        <f t="shared" si="13"/>
        <v>0.26961342921035342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648</v>
      </c>
      <c r="C125" s="378">
        <f>C48-C124</f>
        <v>2694.2135866497574</v>
      </c>
      <c r="D125" s="378">
        <f>LN_IB7-LN_ID7</f>
        <v>2234.2252171105529</v>
      </c>
      <c r="E125" s="378">
        <f t="shared" si="12"/>
        <v>-459.98836953920454</v>
      </c>
      <c r="F125" s="362">
        <f t="shared" si="13"/>
        <v>-0.17073196119955658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649</v>
      </c>
      <c r="C126" s="378">
        <f>C21-C124</f>
        <v>2546.5561466271565</v>
      </c>
      <c r="D126" s="378">
        <f>LN_IA7-LN_ID7</f>
        <v>1465.9381227981048</v>
      </c>
      <c r="E126" s="378">
        <f t="shared" si="12"/>
        <v>-1080.6180238290517</v>
      </c>
      <c r="F126" s="362">
        <f t="shared" si="13"/>
        <v>-0.42434486483257028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626</v>
      </c>
      <c r="C127" s="391">
        <f>C126*C123</f>
        <v>953911.41109769058</v>
      </c>
      <c r="D127" s="391">
        <f>LN_ID9*LN_ID6</f>
        <v>638267.40635292302</v>
      </c>
      <c r="E127" s="391">
        <f t="shared" si="12"/>
        <v>-315644.00474476756</v>
      </c>
      <c r="F127" s="362">
        <f t="shared" si="13"/>
        <v>-0.33089446364998176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1718</v>
      </c>
      <c r="D128" s="369">
        <v>2146</v>
      </c>
      <c r="E128" s="369">
        <f t="shared" si="12"/>
        <v>428</v>
      </c>
      <c r="F128" s="362">
        <f t="shared" si="13"/>
        <v>0.24912689173457508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610</v>
      </c>
      <c r="C129" s="378">
        <f>IF(C128=0,0,C119/C128)</f>
        <v>811.3405122235157</v>
      </c>
      <c r="D129" s="378">
        <f>IF(LN_ID11=0,0,LN_1D2/LN_ID11)</f>
        <v>958.51817334575958</v>
      </c>
      <c r="E129" s="378">
        <f t="shared" si="12"/>
        <v>147.17766112224388</v>
      </c>
      <c r="F129" s="362">
        <f t="shared" si="13"/>
        <v>0.18140060665638005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611</v>
      </c>
      <c r="C130" s="379">
        <f>IF(C121=0,0,C128/C121)</f>
        <v>4.2524752475247523</v>
      </c>
      <c r="D130" s="379">
        <f>IF(LN_ID4=0,0,LN_ID11/LN_ID4)</f>
        <v>4.216110019646365</v>
      </c>
      <c r="E130" s="379">
        <f t="shared" si="12"/>
        <v>-3.6365227878387252E-2</v>
      </c>
      <c r="F130" s="362">
        <f t="shared" si="13"/>
        <v>-8.5515436920072466E-3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650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613</v>
      </c>
      <c r="C133" s="361">
        <v>9428967</v>
      </c>
      <c r="D133" s="361">
        <v>8967980</v>
      </c>
      <c r="E133" s="361">
        <f t="shared" ref="E133:E141" si="14">D133-C133</f>
        <v>-460987</v>
      </c>
      <c r="F133" s="362">
        <f t="shared" ref="F133:F141" si="15">IF(C133=0,0,E133/C133)</f>
        <v>-4.8890509426960556E-2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614</v>
      </c>
      <c r="C134" s="361">
        <v>2176516</v>
      </c>
      <c r="D134" s="361">
        <v>2213768</v>
      </c>
      <c r="E134" s="361">
        <f t="shared" si="14"/>
        <v>37252</v>
      </c>
      <c r="F134" s="362">
        <f t="shared" si="15"/>
        <v>1.7115426672719154E-2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615</v>
      </c>
      <c r="C135" s="366">
        <f>IF(C133=0,0,C134/C133)</f>
        <v>0.23083292157030563</v>
      </c>
      <c r="D135" s="366">
        <f>IF(LN_ID14=0,0,LN_ID15/LN_ID14)</f>
        <v>0.24685246844885916</v>
      </c>
      <c r="E135" s="367">
        <f t="shared" si="14"/>
        <v>1.6019546878553531E-2</v>
      </c>
      <c r="F135" s="362">
        <f t="shared" si="15"/>
        <v>6.9398882835152262E-2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616</v>
      </c>
      <c r="C136" s="366">
        <f>IF(C118=0,0,C133/C118)</f>
        <v>1.7761609321590424</v>
      </c>
      <c r="D136" s="366">
        <f>IF(LN_ID1=0,0,LN_ID14/LN_ID1)</f>
        <v>1.3271164320850943</v>
      </c>
      <c r="E136" s="367">
        <f t="shared" si="14"/>
        <v>-0.44904450007394803</v>
      </c>
      <c r="F136" s="362">
        <f t="shared" si="15"/>
        <v>-0.25281746262040816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617</v>
      </c>
      <c r="C137" s="376">
        <f>C136*C121</f>
        <v>717.56901659225309</v>
      </c>
      <c r="D137" s="376">
        <f>LN_ID17*LN_ID4</f>
        <v>675.502263931313</v>
      </c>
      <c r="E137" s="376">
        <f t="shared" si="14"/>
        <v>-42.066752660940097</v>
      </c>
      <c r="F137" s="362">
        <f t="shared" si="15"/>
        <v>-5.8623981370761781E-2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618</v>
      </c>
      <c r="C138" s="378">
        <f>IF(C137=0,0,C134/C137)</f>
        <v>3033.1800142881166</v>
      </c>
      <c r="D138" s="378">
        <f>IF(LN_ID18=0,0,LN_ID15/LN_ID18)</f>
        <v>3277.2177359054749</v>
      </c>
      <c r="E138" s="378">
        <f t="shared" si="14"/>
        <v>244.03772161735833</v>
      </c>
      <c r="F138" s="362">
        <f t="shared" si="15"/>
        <v>8.0456062768379299E-2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651</v>
      </c>
      <c r="C139" s="378">
        <f>C61-C138</f>
        <v>4982.6036937191338</v>
      </c>
      <c r="D139" s="378">
        <f>LN_IB18-LN_ID19</f>
        <v>4851.8008047450185</v>
      </c>
      <c r="E139" s="378">
        <f t="shared" si="14"/>
        <v>-130.80288897411538</v>
      </c>
      <c r="F139" s="362">
        <f t="shared" si="15"/>
        <v>-2.6251915065811905E-2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652</v>
      </c>
      <c r="C140" s="378">
        <f>C32-C138</f>
        <v>2759.9871278849014</v>
      </c>
      <c r="D140" s="378">
        <f>LN_IA16-LN_ID19</f>
        <v>3298.7409571226053</v>
      </c>
      <c r="E140" s="378">
        <f t="shared" si="14"/>
        <v>538.75382923770394</v>
      </c>
      <c r="F140" s="362">
        <f t="shared" si="15"/>
        <v>0.19520157315029746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629</v>
      </c>
      <c r="C141" s="353">
        <f>C140*C137</f>
        <v>1980481.2491636458</v>
      </c>
      <c r="D141" s="353">
        <f>LN_ID21*LN_ID18</f>
        <v>2228306.9846592662</v>
      </c>
      <c r="E141" s="353">
        <f t="shared" si="14"/>
        <v>247825.73549562041</v>
      </c>
      <c r="F141" s="362">
        <f t="shared" si="15"/>
        <v>0.12513409839162923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653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620</v>
      </c>
      <c r="C144" s="361">
        <f>C118+C133</f>
        <v>14737589</v>
      </c>
      <c r="D144" s="361">
        <f>LN_ID1+LN_ID14</f>
        <v>15725473</v>
      </c>
      <c r="E144" s="361">
        <f>D144-C144</f>
        <v>987884</v>
      </c>
      <c r="F144" s="362">
        <f>IF(C144=0,0,E144/C144)</f>
        <v>6.703158840974599E-2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621</v>
      </c>
      <c r="C145" s="361">
        <f>C119+C134</f>
        <v>3570399</v>
      </c>
      <c r="D145" s="361">
        <f>LN_1D2+LN_ID15</f>
        <v>4270748</v>
      </c>
      <c r="E145" s="361">
        <f>D145-C145</f>
        <v>700349</v>
      </c>
      <c r="F145" s="362">
        <f>IF(C145=0,0,E145/C145)</f>
        <v>0.1961542673521923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622</v>
      </c>
      <c r="C146" s="361">
        <f>C144-C145</f>
        <v>11167190</v>
      </c>
      <c r="D146" s="361">
        <f>LN_ID23-LN_ID24</f>
        <v>11454725</v>
      </c>
      <c r="E146" s="361">
        <f>D146-C146</f>
        <v>287535</v>
      </c>
      <c r="F146" s="362">
        <f>IF(C146=0,0,E146/C146)</f>
        <v>2.5748196278562466E-2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631</v>
      </c>
      <c r="C148" s="361">
        <f>C127+C141</f>
        <v>2934392.6602613362</v>
      </c>
      <c r="D148" s="361">
        <f>LN_ID10+LN_ID22</f>
        <v>2866574.391012189</v>
      </c>
      <c r="E148" s="361">
        <f>D148-C148</f>
        <v>-67818.26924914727</v>
      </c>
      <c r="F148" s="415">
        <f>IF(C148=0,0,E148/C148)</f>
        <v>-2.3111518157596329E-2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654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655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604</v>
      </c>
      <c r="C153" s="361">
        <v>1304309</v>
      </c>
      <c r="D153" s="361">
        <v>712436</v>
      </c>
      <c r="E153" s="361">
        <f t="shared" ref="E153:E165" si="16">D153-C153</f>
        <v>-591873</v>
      </c>
      <c r="F153" s="362">
        <f t="shared" ref="F153:F165" si="17">IF(C153=0,0,E153/C153)</f>
        <v>-0.45378280760157291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605</v>
      </c>
      <c r="C154" s="361">
        <v>148039</v>
      </c>
      <c r="D154" s="361">
        <v>147934</v>
      </c>
      <c r="E154" s="361">
        <f t="shared" si="16"/>
        <v>-105</v>
      </c>
      <c r="F154" s="362">
        <f t="shared" si="17"/>
        <v>-7.0927255655604262E-4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606</v>
      </c>
      <c r="C155" s="366">
        <f>IF(C153=0,0,C154/C153)</f>
        <v>0.11349994518170158</v>
      </c>
      <c r="D155" s="366">
        <f>IF(LN_IE1=0,0,LN_IE2/LN_IE1)</f>
        <v>0.20764531831631192</v>
      </c>
      <c r="E155" s="367">
        <f t="shared" si="16"/>
        <v>9.4145373134610341E-2</v>
      </c>
      <c r="F155" s="362">
        <f t="shared" si="17"/>
        <v>0.82947505378873454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52</v>
      </c>
      <c r="D156" s="419">
        <v>32</v>
      </c>
      <c r="E156" s="419">
        <f t="shared" si="16"/>
        <v>-20</v>
      </c>
      <c r="F156" s="362">
        <f t="shared" si="17"/>
        <v>-0.38461538461538464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607</v>
      </c>
      <c r="C157" s="372">
        <v>1.2379100000000001</v>
      </c>
      <c r="D157" s="372">
        <v>1.0468999999999999</v>
      </c>
      <c r="E157" s="373">
        <f t="shared" si="16"/>
        <v>-0.19101000000000012</v>
      </c>
      <c r="F157" s="362">
        <f t="shared" si="17"/>
        <v>-0.15430039340501339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608</v>
      </c>
      <c r="C158" s="376">
        <f>C156*C157</f>
        <v>64.371319999999997</v>
      </c>
      <c r="D158" s="376">
        <f>LN_IE4*LN_IE5</f>
        <v>33.500799999999998</v>
      </c>
      <c r="E158" s="376">
        <f t="shared" si="16"/>
        <v>-30.870519999999999</v>
      </c>
      <c r="F158" s="362">
        <f t="shared" si="17"/>
        <v>-0.47956947286462359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609</v>
      </c>
      <c r="C159" s="378">
        <f>IF(C158=0,0,C154/C158)</f>
        <v>2299.7664177152187</v>
      </c>
      <c r="D159" s="378">
        <f>IF(LN_IE6=0,0,LN_IE2/LN_IE6)</f>
        <v>4415.8348457350276</v>
      </c>
      <c r="E159" s="378">
        <f t="shared" si="16"/>
        <v>2116.0684280198088</v>
      </c>
      <c r="F159" s="362">
        <f t="shared" si="17"/>
        <v>0.92012319673842746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656</v>
      </c>
      <c r="C160" s="378">
        <f>C48-C159</f>
        <v>4115.548814258691</v>
      </c>
      <c r="D160" s="378">
        <f>LN_IB7-LN_IE7</f>
        <v>2542.7509917358111</v>
      </c>
      <c r="E160" s="378">
        <f t="shared" si="16"/>
        <v>-1572.7978225228799</v>
      </c>
      <c r="F160" s="362">
        <f t="shared" si="17"/>
        <v>-0.38215992410873117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657</v>
      </c>
      <c r="C161" s="378">
        <f>C21-C159</f>
        <v>3967.8913742360905</v>
      </c>
      <c r="D161" s="378">
        <f>LN_IA7-LN_IE7</f>
        <v>1774.4638974233631</v>
      </c>
      <c r="E161" s="378">
        <f t="shared" si="16"/>
        <v>-2193.4274768127275</v>
      </c>
      <c r="F161" s="362">
        <f t="shared" si="17"/>
        <v>-0.55279423500725555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626</v>
      </c>
      <c r="C162" s="391">
        <f>C161*C158</f>
        <v>255418.40537619113</v>
      </c>
      <c r="D162" s="391">
        <f>LN_IE9*LN_IE6</f>
        <v>59445.960134800596</v>
      </c>
      <c r="E162" s="391">
        <f t="shared" si="16"/>
        <v>-195972.44524139055</v>
      </c>
      <c r="F162" s="362">
        <f t="shared" si="17"/>
        <v>-0.76726046798684677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335</v>
      </c>
      <c r="D163" s="369">
        <v>202</v>
      </c>
      <c r="E163" s="419">
        <f t="shared" si="16"/>
        <v>-133</v>
      </c>
      <c r="F163" s="362">
        <f t="shared" si="17"/>
        <v>-0.39701492537313432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610</v>
      </c>
      <c r="C164" s="378">
        <f>IF(C163=0,0,C154/C163)</f>
        <v>441.90746268656716</v>
      </c>
      <c r="D164" s="378">
        <f>IF(LN_IE11=0,0,LN_IE2/LN_IE11)</f>
        <v>732.34653465346537</v>
      </c>
      <c r="E164" s="378">
        <f t="shared" si="16"/>
        <v>290.43907196689821</v>
      </c>
      <c r="F164" s="362">
        <f t="shared" si="17"/>
        <v>0.65723957274036504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611</v>
      </c>
      <c r="C165" s="379">
        <f>IF(C156=0,0,C163/C156)</f>
        <v>6.4423076923076925</v>
      </c>
      <c r="D165" s="379">
        <f>IF(LN_IE4=0,0,LN_IE11/LN_IE4)</f>
        <v>6.3125</v>
      </c>
      <c r="E165" s="379">
        <f t="shared" si="16"/>
        <v>-0.12980769230769251</v>
      </c>
      <c r="F165" s="362">
        <f t="shared" si="17"/>
        <v>-2.0149253731343315E-2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658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613</v>
      </c>
      <c r="C168" s="424">
        <v>1642756</v>
      </c>
      <c r="D168" s="424">
        <v>996601</v>
      </c>
      <c r="E168" s="424">
        <f t="shared" ref="E168:E176" si="18">D168-C168</f>
        <v>-646155</v>
      </c>
      <c r="F168" s="362">
        <f t="shared" ref="F168:F176" si="19">IF(C168=0,0,E168/C168)</f>
        <v>-0.39333595494400875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614</v>
      </c>
      <c r="C169" s="424">
        <v>114993</v>
      </c>
      <c r="D169" s="424">
        <v>176544</v>
      </c>
      <c r="E169" s="424">
        <f t="shared" si="18"/>
        <v>61551</v>
      </c>
      <c r="F169" s="362">
        <f t="shared" si="19"/>
        <v>0.53525866791891685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615</v>
      </c>
      <c r="C170" s="366">
        <f>IF(C168=0,0,C169/C168)</f>
        <v>7.0000048698650313E-2</v>
      </c>
      <c r="D170" s="366">
        <f>IF(LN_IE14=0,0,LN_IE15/LN_IE14)</f>
        <v>0.1771461196607268</v>
      </c>
      <c r="E170" s="367">
        <f t="shared" si="18"/>
        <v>0.10714607096207648</v>
      </c>
      <c r="F170" s="362">
        <f t="shared" si="19"/>
        <v>1.5306570917306004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616</v>
      </c>
      <c r="C171" s="366">
        <f>IF(C153=0,0,C168/C153)</f>
        <v>1.2594837572998423</v>
      </c>
      <c r="D171" s="366">
        <f>IF(LN_IE1=0,0,LN_IE14/LN_IE1)</f>
        <v>1.3988638979501316</v>
      </c>
      <c r="E171" s="367">
        <f t="shared" si="18"/>
        <v>0.13938014065028925</v>
      </c>
      <c r="F171" s="362">
        <f t="shared" si="19"/>
        <v>0.11066450031011187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617</v>
      </c>
      <c r="C172" s="376">
        <f>C171*C156</f>
        <v>65.493155379591798</v>
      </c>
      <c r="D172" s="376">
        <f>LN_IE17*LN_IE4</f>
        <v>44.76364473440421</v>
      </c>
      <c r="E172" s="376">
        <f t="shared" si="18"/>
        <v>-20.729510645187588</v>
      </c>
      <c r="F172" s="362">
        <f t="shared" si="19"/>
        <v>-0.31651415365531577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618</v>
      </c>
      <c r="C173" s="378">
        <f>IF(C172=0,0,C169/C172)</f>
        <v>1755.8017984247672</v>
      </c>
      <c r="D173" s="378">
        <f>IF(LN_IE18=0,0,LN_IE15/LN_IE18)</f>
        <v>3943.9147783315493</v>
      </c>
      <c r="E173" s="378">
        <f t="shared" si="18"/>
        <v>2188.1129799067821</v>
      </c>
      <c r="F173" s="362">
        <f t="shared" si="19"/>
        <v>1.2462186687984182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659</v>
      </c>
      <c r="C174" s="378">
        <f>C61-C173</f>
        <v>6259.9819095824832</v>
      </c>
      <c r="D174" s="378">
        <f>LN_IB18-LN_IE19</f>
        <v>4185.1037623189441</v>
      </c>
      <c r="E174" s="378">
        <f t="shared" si="18"/>
        <v>-2074.8781472635392</v>
      </c>
      <c r="F174" s="362">
        <f t="shared" si="19"/>
        <v>-0.33145114111071378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660</v>
      </c>
      <c r="C175" s="378">
        <f>C32-C173</f>
        <v>4037.3653437482508</v>
      </c>
      <c r="D175" s="378">
        <f>LN_IA16-LN_IE19</f>
        <v>2632.0439146965309</v>
      </c>
      <c r="E175" s="378">
        <f t="shared" si="18"/>
        <v>-1405.3214290517199</v>
      </c>
      <c r="F175" s="362">
        <f t="shared" si="19"/>
        <v>-0.34807883592398231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629</v>
      </c>
      <c r="C176" s="353">
        <f>C175*C172</f>
        <v>264419.79578228324</v>
      </c>
      <c r="D176" s="353">
        <f>LN_IE21*LN_IE18</f>
        <v>117819.878722826</v>
      </c>
      <c r="E176" s="353">
        <f t="shared" si="18"/>
        <v>-146599.91705945722</v>
      </c>
      <c r="F176" s="362">
        <f t="shared" si="19"/>
        <v>-0.55442111142149131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661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620</v>
      </c>
      <c r="C179" s="361">
        <f>C153+C168</f>
        <v>2947065</v>
      </c>
      <c r="D179" s="361">
        <f>LN_IE1+LN_IE14</f>
        <v>1709037</v>
      </c>
      <c r="E179" s="361">
        <f>D179-C179</f>
        <v>-1238028</v>
      </c>
      <c r="F179" s="362">
        <f>IF(C179=0,0,E179/C179)</f>
        <v>-0.42008846089244722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621</v>
      </c>
      <c r="C180" s="361">
        <f>C154+C169</f>
        <v>263032</v>
      </c>
      <c r="D180" s="361">
        <f>LN_IE15+LN_IE2</f>
        <v>324478</v>
      </c>
      <c r="E180" s="361">
        <f>D180-C180</f>
        <v>61446</v>
      </c>
      <c r="F180" s="362">
        <f>IF(C180=0,0,E180/C180)</f>
        <v>0.23360655737704919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622</v>
      </c>
      <c r="C181" s="361">
        <f>C179-C180</f>
        <v>2684033</v>
      </c>
      <c r="D181" s="361">
        <f>LN_IE23-LN_IE24</f>
        <v>1384559</v>
      </c>
      <c r="E181" s="361">
        <f>D181-C181</f>
        <v>-1299474</v>
      </c>
      <c r="F181" s="362">
        <f>IF(C181=0,0,E181/C181)</f>
        <v>-0.48414978504362649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662</v>
      </c>
      <c r="C183" s="361">
        <f>C162+C176</f>
        <v>519838.20115847437</v>
      </c>
      <c r="D183" s="361">
        <f>LN_IE10+LN_IE22</f>
        <v>177265.8388576266</v>
      </c>
      <c r="E183" s="353">
        <f>D183-C183</f>
        <v>-342572.36230084777</v>
      </c>
      <c r="F183" s="362">
        <f>IF(C183=0,0,E183/C183)</f>
        <v>-0.65899805273528456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663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664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604</v>
      </c>
      <c r="C188" s="361">
        <f>C118+C153</f>
        <v>6612931</v>
      </c>
      <c r="D188" s="361">
        <f>LN_ID1+LN_IE1</f>
        <v>7469929</v>
      </c>
      <c r="E188" s="361">
        <f t="shared" ref="E188:E200" si="20">D188-C188</f>
        <v>856998</v>
      </c>
      <c r="F188" s="362">
        <f t="shared" ref="F188:F200" si="21">IF(C188=0,0,E188/C188)</f>
        <v>0.1295942752162392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605</v>
      </c>
      <c r="C189" s="361">
        <f>C119+C154</f>
        <v>1541922</v>
      </c>
      <c r="D189" s="361">
        <f>LN_1D2+LN_IE2</f>
        <v>2204914</v>
      </c>
      <c r="E189" s="361">
        <f t="shared" si="20"/>
        <v>662992</v>
      </c>
      <c r="F189" s="362">
        <f t="shared" si="21"/>
        <v>0.42997765126900062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606</v>
      </c>
      <c r="C190" s="366">
        <f>IF(C188=0,0,C189/C188)</f>
        <v>0.23316771337853065</v>
      </c>
      <c r="D190" s="366">
        <f>IF(LN_IF1=0,0,LN_IF2/LN_IF1)</f>
        <v>0.29517201569117996</v>
      </c>
      <c r="E190" s="367">
        <f t="shared" si="20"/>
        <v>6.2004302312649306E-2</v>
      </c>
      <c r="F190" s="362">
        <f t="shared" si="21"/>
        <v>0.26592147520866183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456</v>
      </c>
      <c r="D191" s="369">
        <f>LN_ID4+LN_IE4</f>
        <v>541</v>
      </c>
      <c r="E191" s="369">
        <f t="shared" si="20"/>
        <v>85</v>
      </c>
      <c r="F191" s="362">
        <f t="shared" si="21"/>
        <v>0.18640350877192982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607</v>
      </c>
      <c r="C192" s="372">
        <f>IF((C121+C156)=0,0,(C123+C158)/(C121+C156))</f>
        <v>0.96263184210526309</v>
      </c>
      <c r="D192" s="372">
        <f>IF((LN_ID4+LN_IE4)=0,0,(LN_ID6+LN_IE6)/(LN_ID4+LN_IE4))</f>
        <v>0.86672717190388171</v>
      </c>
      <c r="E192" s="373">
        <f t="shared" si="20"/>
        <v>-9.5904670201381381E-2</v>
      </c>
      <c r="F192" s="362">
        <f t="shared" si="21"/>
        <v>-9.9627568927742036E-2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608</v>
      </c>
      <c r="C193" s="376">
        <f>C123+C158</f>
        <v>438.96011999999996</v>
      </c>
      <c r="D193" s="376">
        <f>LN_IF4*LN_IF5</f>
        <v>468.89940000000001</v>
      </c>
      <c r="E193" s="376">
        <f t="shared" si="20"/>
        <v>29.939280000000053</v>
      </c>
      <c r="F193" s="362">
        <f t="shared" si="21"/>
        <v>6.8205011425639436E-2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609</v>
      </c>
      <c r="C194" s="378">
        <f>IF(C193=0,0,C189/C193)</f>
        <v>3512.6698981219529</v>
      </c>
      <c r="D194" s="378">
        <f>IF(LN_IF6=0,0,LN_IF2/LN_IF6)</f>
        <v>4702.3178106007381</v>
      </c>
      <c r="E194" s="378">
        <f t="shared" si="20"/>
        <v>1189.6479124787852</v>
      </c>
      <c r="F194" s="362">
        <f t="shared" si="21"/>
        <v>0.33867341565879272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665</v>
      </c>
      <c r="C195" s="378">
        <f>C48-C194</f>
        <v>2902.6453338519573</v>
      </c>
      <c r="D195" s="378">
        <f>LN_IB7-LN_IF7</f>
        <v>2256.2680268701006</v>
      </c>
      <c r="E195" s="378">
        <f t="shared" si="20"/>
        <v>-646.37730698185669</v>
      </c>
      <c r="F195" s="362">
        <f t="shared" si="21"/>
        <v>-0.22268559628815598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666</v>
      </c>
      <c r="C196" s="378">
        <f>C21-C194</f>
        <v>2754.9878938293564</v>
      </c>
      <c r="D196" s="378">
        <f>LN_IA7-LN_IF7</f>
        <v>1487.9809325576525</v>
      </c>
      <c r="E196" s="378">
        <f t="shared" si="20"/>
        <v>-1267.0069612717039</v>
      </c>
      <c r="F196" s="362">
        <f t="shared" si="21"/>
        <v>-0.45989565475389421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626</v>
      </c>
      <c r="C197" s="391">
        <f>C127+C162</f>
        <v>1209329.8164738817</v>
      </c>
      <c r="D197" s="391">
        <f>LN_IF9*LN_IF6</f>
        <v>697713.36648772378</v>
      </c>
      <c r="E197" s="391">
        <f t="shared" si="20"/>
        <v>-511616.44998615794</v>
      </c>
      <c r="F197" s="362">
        <f t="shared" si="21"/>
        <v>-0.42305783171534617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2053</v>
      </c>
      <c r="D198" s="369">
        <f>LN_ID11+LN_IE11</f>
        <v>2348</v>
      </c>
      <c r="E198" s="369">
        <f t="shared" si="20"/>
        <v>295</v>
      </c>
      <c r="F198" s="362">
        <f t="shared" si="21"/>
        <v>0.14369215781782757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610</v>
      </c>
      <c r="C199" s="432">
        <f>IF(C198=0,0,C189/C198)</f>
        <v>751.05796395518757</v>
      </c>
      <c r="D199" s="432">
        <f>IF(LN_IF11=0,0,LN_IF2/LN_IF11)</f>
        <v>939.06047700170359</v>
      </c>
      <c r="E199" s="432">
        <f t="shared" si="20"/>
        <v>188.00251304651601</v>
      </c>
      <c r="F199" s="362">
        <f t="shared" si="21"/>
        <v>0.25031691569644726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611</v>
      </c>
      <c r="C200" s="379">
        <f>IF(C191=0,0,C198/C191)</f>
        <v>4.5021929824561404</v>
      </c>
      <c r="D200" s="379">
        <f>IF(LN_IF4=0,0,LN_IF11/LN_IF4)</f>
        <v>4.3401109057301293</v>
      </c>
      <c r="E200" s="379">
        <f t="shared" si="20"/>
        <v>-0.16208207672601116</v>
      </c>
      <c r="F200" s="362">
        <f t="shared" si="21"/>
        <v>-3.6000695074067751E-2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667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613</v>
      </c>
      <c r="C203" s="361">
        <f>C133+C168</f>
        <v>11071723</v>
      </c>
      <c r="D203" s="361">
        <f>LN_ID14+LN_IE14</f>
        <v>9964581</v>
      </c>
      <c r="E203" s="361">
        <f t="shared" ref="E203:E211" si="22">D203-C203</f>
        <v>-1107142</v>
      </c>
      <c r="F203" s="362">
        <f t="shared" ref="F203:F211" si="23">IF(C203=0,0,E203/C203)</f>
        <v>-9.9997263298585048E-2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614</v>
      </c>
      <c r="C204" s="361">
        <f>C134+C169</f>
        <v>2291509</v>
      </c>
      <c r="D204" s="361">
        <f>LN_ID15+LN_IE15</f>
        <v>2390312</v>
      </c>
      <c r="E204" s="361">
        <f t="shared" si="22"/>
        <v>98803</v>
      </c>
      <c r="F204" s="362">
        <f t="shared" si="23"/>
        <v>4.3117002813429929E-2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615</v>
      </c>
      <c r="C205" s="366">
        <f>IF(C203=0,0,C204/C203)</f>
        <v>0.20696950239813622</v>
      </c>
      <c r="D205" s="366">
        <f>IF(LN_IF14=0,0,LN_IF15/LN_IF14)</f>
        <v>0.23988083392568138</v>
      </c>
      <c r="E205" s="367">
        <f t="shared" si="22"/>
        <v>3.2911331527545162E-2</v>
      </c>
      <c r="F205" s="362">
        <f t="shared" si="23"/>
        <v>0.15901536770492586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616</v>
      </c>
      <c r="C206" s="366">
        <f>IF(C188=0,0,C203/C188)</f>
        <v>1.674253519354731</v>
      </c>
      <c r="D206" s="366">
        <f>IF(LN_IF1=0,0,LN_IF14/LN_IF1)</f>
        <v>1.3339592652085448</v>
      </c>
      <c r="E206" s="367">
        <f t="shared" si="22"/>
        <v>-0.34029425414618619</v>
      </c>
      <c r="F206" s="362">
        <f t="shared" si="23"/>
        <v>-0.20325132974923532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617</v>
      </c>
      <c r="C207" s="376">
        <f>C137+C172</f>
        <v>783.06217197184492</v>
      </c>
      <c r="D207" s="376">
        <f>LN_ID18+LN_IE18</f>
        <v>720.26590866571723</v>
      </c>
      <c r="E207" s="376">
        <f t="shared" si="22"/>
        <v>-62.796263306127685</v>
      </c>
      <c r="F207" s="362">
        <f t="shared" si="23"/>
        <v>-8.0193202473309522E-2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618</v>
      </c>
      <c r="C208" s="378">
        <f>IF(C207=0,0,C204/C207)</f>
        <v>2926.3436314765459</v>
      </c>
      <c r="D208" s="378">
        <f>IF(LN_IF18=0,0,LN_IF15/LN_IF18)</f>
        <v>3318.6521411627273</v>
      </c>
      <c r="E208" s="378">
        <f t="shared" si="22"/>
        <v>392.30850968618142</v>
      </c>
      <c r="F208" s="362">
        <f t="shared" si="23"/>
        <v>0.13406098500066932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668</v>
      </c>
      <c r="C209" s="378">
        <f>C61-C208</f>
        <v>5089.4400765307046</v>
      </c>
      <c r="D209" s="378">
        <f>LN_IB18-LN_IF19</f>
        <v>4810.3663994877661</v>
      </c>
      <c r="E209" s="378">
        <f t="shared" si="22"/>
        <v>-279.07367704293847</v>
      </c>
      <c r="F209" s="362">
        <f t="shared" si="23"/>
        <v>-5.4833866367707262E-2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669</v>
      </c>
      <c r="C210" s="378">
        <f>C32-C208</f>
        <v>2866.8235106964721</v>
      </c>
      <c r="D210" s="378">
        <f>LN_IA16-LN_IF19</f>
        <v>3257.306551865353</v>
      </c>
      <c r="E210" s="378">
        <f t="shared" si="22"/>
        <v>390.48304116888085</v>
      </c>
      <c r="F210" s="362">
        <f t="shared" si="23"/>
        <v>0.13620756203231224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629</v>
      </c>
      <c r="C211" s="391">
        <f>C141+C176</f>
        <v>2244901.0449459292</v>
      </c>
      <c r="D211" s="353">
        <f>LN_IF21*LN_IF18</f>
        <v>2346126.8633820927</v>
      </c>
      <c r="E211" s="353">
        <f t="shared" si="22"/>
        <v>101225.81843616348</v>
      </c>
      <c r="F211" s="362">
        <f t="shared" si="23"/>
        <v>4.5091438958549557E-2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670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620</v>
      </c>
      <c r="C214" s="361">
        <f>C188+C203</f>
        <v>17684654</v>
      </c>
      <c r="D214" s="361">
        <f>LN_IF1+LN_IF14</f>
        <v>17434510</v>
      </c>
      <c r="E214" s="361">
        <f>D214-C214</f>
        <v>-250144</v>
      </c>
      <c r="F214" s="362">
        <f>IF(C214=0,0,E214/C214)</f>
        <v>-1.414469290719513E-2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621</v>
      </c>
      <c r="C215" s="361">
        <f>C189+C204</f>
        <v>3833431</v>
      </c>
      <c r="D215" s="361">
        <f>LN_IF2+LN_IF15</f>
        <v>4595226</v>
      </c>
      <c r="E215" s="361">
        <f>D215-C215</f>
        <v>761795</v>
      </c>
      <c r="F215" s="362">
        <f>IF(C215=0,0,E215/C215)</f>
        <v>0.1987240672911551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622</v>
      </c>
      <c r="C216" s="361">
        <f>C214-C215</f>
        <v>13851223</v>
      </c>
      <c r="D216" s="361">
        <f>LN_IF23-LN_IF24</f>
        <v>12839284</v>
      </c>
      <c r="E216" s="361">
        <f>D216-C216</f>
        <v>-1011939</v>
      </c>
      <c r="F216" s="362">
        <f>IF(C216=0,0,E216/C216)</f>
        <v>-7.3057736490127978E-2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671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672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604</v>
      </c>
      <c r="C221" s="361">
        <v>423693</v>
      </c>
      <c r="D221" s="361">
        <v>253020</v>
      </c>
      <c r="E221" s="361">
        <f t="shared" ref="E221:E230" si="24">D221-C221</f>
        <v>-170673</v>
      </c>
      <c r="F221" s="362">
        <f t="shared" ref="F221:F230" si="25">IF(C221=0,0,E221/C221)</f>
        <v>-0.4028223265430394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605</v>
      </c>
      <c r="C222" s="361">
        <v>39949</v>
      </c>
      <c r="D222" s="361">
        <v>96517</v>
      </c>
      <c r="E222" s="361">
        <f t="shared" si="24"/>
        <v>56568</v>
      </c>
      <c r="F222" s="362">
        <f t="shared" si="25"/>
        <v>1.4160054068937895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606</v>
      </c>
      <c r="C223" s="366">
        <f>IF(C221=0,0,C222/C221)</f>
        <v>9.4287609188728638E-2</v>
      </c>
      <c r="D223" s="366">
        <f>IF(LN_IG1=0,0,LN_IG2/LN_IG1)</f>
        <v>0.38145996363923801</v>
      </c>
      <c r="E223" s="367">
        <f t="shared" si="24"/>
        <v>0.28717235445050937</v>
      </c>
      <c r="F223" s="362">
        <f t="shared" si="25"/>
        <v>3.0457061847405358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22</v>
      </c>
      <c r="D224" s="369">
        <v>20</v>
      </c>
      <c r="E224" s="369">
        <f t="shared" si="24"/>
        <v>-2</v>
      </c>
      <c r="F224" s="362">
        <f t="shared" si="25"/>
        <v>-9.0909090909090912E-2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607</v>
      </c>
      <c r="C225" s="372">
        <v>1.1757</v>
      </c>
      <c r="D225" s="372">
        <v>0.79500000000000004</v>
      </c>
      <c r="E225" s="373">
        <f t="shared" si="24"/>
        <v>-0.38069999999999993</v>
      </c>
      <c r="F225" s="362">
        <f t="shared" si="25"/>
        <v>-0.32380709364633831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608</v>
      </c>
      <c r="C226" s="376">
        <f>C224*C225</f>
        <v>25.865400000000001</v>
      </c>
      <c r="D226" s="376">
        <f>LN_IG3*LN_IG4</f>
        <v>15.9</v>
      </c>
      <c r="E226" s="376">
        <f t="shared" si="24"/>
        <v>-9.9654000000000007</v>
      </c>
      <c r="F226" s="362">
        <f t="shared" si="25"/>
        <v>-0.3852791760421258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609</v>
      </c>
      <c r="C227" s="378">
        <f>IF(C226=0,0,C222/C226)</f>
        <v>1544.4957356159193</v>
      </c>
      <c r="D227" s="378">
        <f>IF(LN_IG5=0,0,LN_IG2/LN_IG5)</f>
        <v>6070.2515723270435</v>
      </c>
      <c r="E227" s="378">
        <f t="shared" si="24"/>
        <v>4525.7558367111242</v>
      </c>
      <c r="F227" s="362">
        <f t="shared" si="25"/>
        <v>2.9302481919163914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101</v>
      </c>
      <c r="D228" s="369">
        <v>79</v>
      </c>
      <c r="E228" s="369">
        <f t="shared" si="24"/>
        <v>-22</v>
      </c>
      <c r="F228" s="362">
        <f t="shared" si="25"/>
        <v>-0.21782178217821782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610</v>
      </c>
      <c r="C229" s="378">
        <f>IF(C228=0,0,C222/C228)</f>
        <v>395.53465346534654</v>
      </c>
      <c r="D229" s="378">
        <f>IF(LN_IG6=0,0,LN_IG2/LN_IG6)</f>
        <v>1221.7341772151899</v>
      </c>
      <c r="E229" s="378">
        <f t="shared" si="24"/>
        <v>826.19952374984337</v>
      </c>
      <c r="F229" s="362">
        <f t="shared" si="25"/>
        <v>2.0888170391933261</v>
      </c>
      <c r="Q229" s="330"/>
      <c r="U229" s="375"/>
    </row>
    <row r="230" spans="1:21" ht="11.25" customHeight="1" x14ac:dyDescent="0.2">
      <c r="A230" s="364">
        <v>10</v>
      </c>
      <c r="B230" s="360" t="s">
        <v>611</v>
      </c>
      <c r="C230" s="379">
        <f>IF(C224=0,0,C228/C224)</f>
        <v>4.5909090909090908</v>
      </c>
      <c r="D230" s="379">
        <f>IF(LN_IG3=0,0,LN_IG6/LN_IG3)</f>
        <v>3.95</v>
      </c>
      <c r="E230" s="379">
        <f t="shared" si="24"/>
        <v>-0.64090909090909065</v>
      </c>
      <c r="F230" s="362">
        <f t="shared" si="25"/>
        <v>-0.13960396039603956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673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613</v>
      </c>
      <c r="C233" s="361">
        <v>652602</v>
      </c>
      <c r="D233" s="361">
        <v>509289</v>
      </c>
      <c r="E233" s="361">
        <f>D233-C233</f>
        <v>-143313</v>
      </c>
      <c r="F233" s="362">
        <f>IF(C233=0,0,E233/C233)</f>
        <v>-0.2196024529498837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614</v>
      </c>
      <c r="C234" s="361">
        <v>113167</v>
      </c>
      <c r="D234" s="361">
        <v>215804</v>
      </c>
      <c r="E234" s="361">
        <f>D234-C234</f>
        <v>102637</v>
      </c>
      <c r="F234" s="362">
        <f>IF(C234=0,0,E234/C234)</f>
        <v>0.90695167319094794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674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620</v>
      </c>
      <c r="C237" s="361">
        <f>C221+C233</f>
        <v>1076295</v>
      </c>
      <c r="D237" s="361">
        <f>LN_IG1+LN_IG9</f>
        <v>762309</v>
      </c>
      <c r="E237" s="361">
        <f>D237-C237</f>
        <v>-313986</v>
      </c>
      <c r="F237" s="362">
        <f>IF(C237=0,0,E237/C237)</f>
        <v>-0.29172856884032722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621</v>
      </c>
      <c r="C238" s="361">
        <f>C222+C234</f>
        <v>153116</v>
      </c>
      <c r="D238" s="361">
        <f>LN_IG2+LN_IG10</f>
        <v>312321</v>
      </c>
      <c r="E238" s="361">
        <f>D238-C238</f>
        <v>159205</v>
      </c>
      <c r="F238" s="362">
        <f>IF(C238=0,0,E238/C238)</f>
        <v>1.0397672352987277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622</v>
      </c>
      <c r="C239" s="361">
        <f>C237-C238</f>
        <v>923179</v>
      </c>
      <c r="D239" s="361">
        <f>LN_IG13-LN_IG14</f>
        <v>449988</v>
      </c>
      <c r="E239" s="361">
        <f>D239-C239</f>
        <v>-473191</v>
      </c>
      <c r="F239" s="362">
        <f>IF(C239=0,0,E239/C239)</f>
        <v>-0.51256690197675636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675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676</v>
      </c>
      <c r="C243" s="361">
        <v>951983</v>
      </c>
      <c r="D243" s="361">
        <v>571177</v>
      </c>
      <c r="E243" s="353">
        <f>D243-C243</f>
        <v>-380806</v>
      </c>
      <c r="F243" s="415">
        <f>IF(C243=0,0,E243/C243)</f>
        <v>-0.40001344561825158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677</v>
      </c>
      <c r="C244" s="361">
        <v>69149506</v>
      </c>
      <c r="D244" s="361">
        <v>67684735</v>
      </c>
      <c r="E244" s="353">
        <f>D244-C244</f>
        <v>-1464771</v>
      </c>
      <c r="F244" s="415">
        <f>IF(C244=0,0,E244/C244)</f>
        <v>-2.118266759562968E-2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678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679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680</v>
      </c>
      <c r="C248" s="353">
        <v>559676</v>
      </c>
      <c r="D248" s="353">
        <v>280655</v>
      </c>
      <c r="E248" s="353">
        <f>D248-C248</f>
        <v>-279021</v>
      </c>
      <c r="F248" s="362">
        <f>IF(C248=0,0,E248/C248)</f>
        <v>-0.49854022684553206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681</v>
      </c>
      <c r="C249" s="353">
        <v>7812094</v>
      </c>
      <c r="D249" s="353">
        <v>2544094</v>
      </c>
      <c r="E249" s="353">
        <f>D249-C249</f>
        <v>-5268000</v>
      </c>
      <c r="F249" s="362">
        <f>IF(C249=0,0,E249/C249)</f>
        <v>-0.67433904405144129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682</v>
      </c>
      <c r="C250" s="353">
        <f>C248+C249</f>
        <v>8371770</v>
      </c>
      <c r="D250" s="353">
        <f>LN_IH4+LN_IH5</f>
        <v>2824749</v>
      </c>
      <c r="E250" s="353">
        <f>D250-C250</f>
        <v>-5547021</v>
      </c>
      <c r="F250" s="362">
        <f>IF(C250=0,0,E250/C250)</f>
        <v>-0.66258640645884925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683</v>
      </c>
      <c r="C251" s="353">
        <f>C250*C313</f>
        <v>2638962.5941012613</v>
      </c>
      <c r="D251" s="353">
        <f>LN_IH6*LN_III10</f>
        <v>1097379.1158228724</v>
      </c>
      <c r="E251" s="353">
        <f>D251-C251</f>
        <v>-1541583.478278389</v>
      </c>
      <c r="F251" s="362">
        <f>IF(C251=0,0,E251/C251)</f>
        <v>-0.58416268639965263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684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620</v>
      </c>
      <c r="C254" s="353">
        <f>C188+C203</f>
        <v>17684654</v>
      </c>
      <c r="D254" s="353">
        <f>LN_IF23</f>
        <v>17434510</v>
      </c>
      <c r="E254" s="353">
        <f>D254-C254</f>
        <v>-250144</v>
      </c>
      <c r="F254" s="362">
        <f>IF(C254=0,0,E254/C254)</f>
        <v>-1.414469290719513E-2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621</v>
      </c>
      <c r="C255" s="353">
        <f>C189+C204</f>
        <v>3833431</v>
      </c>
      <c r="D255" s="353">
        <f>LN_IF24</f>
        <v>4595226</v>
      </c>
      <c r="E255" s="353">
        <f>D255-C255</f>
        <v>761795</v>
      </c>
      <c r="F255" s="362">
        <f>IF(C255=0,0,E255/C255)</f>
        <v>0.1987240672911551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685</v>
      </c>
      <c r="C256" s="353">
        <f>C254*C313</f>
        <v>5574584.6333121015</v>
      </c>
      <c r="D256" s="353">
        <f>LN_IH8*LN_III10</f>
        <v>6773085.7391594881</v>
      </c>
      <c r="E256" s="353">
        <f>D256-C256</f>
        <v>1198501.1058473866</v>
      </c>
      <c r="F256" s="362">
        <f>IF(C256=0,0,E256/C256)</f>
        <v>0.21499379499693871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686</v>
      </c>
      <c r="C257" s="353">
        <f>C256-C255</f>
        <v>1741153.6333121015</v>
      </c>
      <c r="D257" s="353">
        <f>LN_IH10-LN_IH9</f>
        <v>2177859.7391594881</v>
      </c>
      <c r="E257" s="353">
        <f>D257-C257</f>
        <v>436706.10584738664</v>
      </c>
      <c r="F257" s="362">
        <f>IF(C257=0,0,E257/C257)</f>
        <v>0.25081422884933163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687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688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689</v>
      </c>
      <c r="C261" s="361">
        <f>C15+C42+C188+C221</f>
        <v>83077033</v>
      </c>
      <c r="D261" s="361">
        <f>LN_IA1+LN_IB1+LN_IF1+LN_IG1</f>
        <v>67574808</v>
      </c>
      <c r="E261" s="361">
        <f t="shared" ref="E261:E274" si="26">D261-C261</f>
        <v>-15502225</v>
      </c>
      <c r="F261" s="415">
        <f t="shared" ref="F261:F274" si="27">IF(C261=0,0,E261/C261)</f>
        <v>-0.18660060958123048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690</v>
      </c>
      <c r="C262" s="361">
        <f>C16+C43+C189+C222</f>
        <v>24972233</v>
      </c>
      <c r="D262" s="361">
        <f>+LN_IA2+LN_IB2+LN_IF2+LN_IG2</f>
        <v>26092893</v>
      </c>
      <c r="E262" s="361">
        <f t="shared" si="26"/>
        <v>1120660</v>
      </c>
      <c r="F262" s="415">
        <f t="shared" si="27"/>
        <v>4.4876243145737106E-2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691</v>
      </c>
      <c r="C263" s="366">
        <f>IF(C261=0,0,C262/C261)</f>
        <v>0.30059129579170213</v>
      </c>
      <c r="D263" s="366">
        <f>IF(LN_IIA1=0,0,LN_IIA2/LN_IIA1)</f>
        <v>0.38613343895849472</v>
      </c>
      <c r="E263" s="367">
        <f t="shared" si="26"/>
        <v>8.5542143166792595E-2</v>
      </c>
      <c r="F263" s="371">
        <f t="shared" si="27"/>
        <v>0.28457957487255359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692</v>
      </c>
      <c r="C264" s="369">
        <f>C18+C45+C191+C224</f>
        <v>3618</v>
      </c>
      <c r="D264" s="369">
        <f>LN_IA4+LN_IB4+LN_IF4+LN_IG3</f>
        <v>3437</v>
      </c>
      <c r="E264" s="369">
        <f t="shared" si="26"/>
        <v>-181</v>
      </c>
      <c r="F264" s="415">
        <f t="shared" si="27"/>
        <v>-5.0027639579878387E-2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693</v>
      </c>
      <c r="C265" s="439">
        <f>IF(C264=0,0,C266/C264)</f>
        <v>1.1510783195135432</v>
      </c>
      <c r="D265" s="439">
        <f>IF(LN_IIA4=0,0,LN_IIA6/LN_IIA4)</f>
        <v>1.2110842304335177</v>
      </c>
      <c r="E265" s="439">
        <f t="shared" si="26"/>
        <v>6.0005910919974426E-2</v>
      </c>
      <c r="F265" s="415">
        <f t="shared" si="27"/>
        <v>5.21301721201156E-2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694</v>
      </c>
      <c r="C266" s="376">
        <f>C20+C47+C193+C226</f>
        <v>4164.6013599999997</v>
      </c>
      <c r="D266" s="376">
        <f>LN_IA6+LN_IB6+LN_IF6+LN_IG5</f>
        <v>4162.4965000000002</v>
      </c>
      <c r="E266" s="376">
        <f t="shared" si="26"/>
        <v>-2.1048599999994622</v>
      </c>
      <c r="F266" s="415">
        <f t="shared" si="27"/>
        <v>-5.0541692182501288E-4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695</v>
      </c>
      <c r="C267" s="361">
        <f>C27+C56+C203+C233</f>
        <v>112517502</v>
      </c>
      <c r="D267" s="361">
        <f>LN_IA11+LN_IB13+LN_IF14+LN_IG9</f>
        <v>83805059</v>
      </c>
      <c r="E267" s="361">
        <f t="shared" si="26"/>
        <v>-28712443</v>
      </c>
      <c r="F267" s="415">
        <f t="shared" si="27"/>
        <v>-0.25518201603871371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616</v>
      </c>
      <c r="C268" s="366">
        <f>IF(C261=0,0,C267/C261)</f>
        <v>1.3543755468493921</v>
      </c>
      <c r="D268" s="366">
        <f>IF(LN_IIA1=0,0,LN_IIA7/LN_IIA1)</f>
        <v>1.2401819772836054</v>
      </c>
      <c r="E268" s="367">
        <f t="shared" si="26"/>
        <v>-0.11419356956578675</v>
      </c>
      <c r="F268" s="371">
        <f t="shared" si="27"/>
        <v>-8.4314553545675602E-2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696</v>
      </c>
      <c r="C269" s="361">
        <f>C28+C57+C204+C234</f>
        <v>38424932</v>
      </c>
      <c r="D269" s="361">
        <f>LN_IA12+LN_IB14+LN_IF15+LN_IG10</f>
        <v>35243207</v>
      </c>
      <c r="E269" s="361">
        <f t="shared" si="26"/>
        <v>-3181725</v>
      </c>
      <c r="F269" s="415">
        <f t="shared" si="27"/>
        <v>-8.2803659873750726E-2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615</v>
      </c>
      <c r="C270" s="366">
        <f>IF(C267=0,0,C269/C267)</f>
        <v>0.34150182253424005</v>
      </c>
      <c r="D270" s="366">
        <f>IF(LN_IIA7=0,0,LN_IIA9/LN_IIA7)</f>
        <v>0.42053794151018975</v>
      </c>
      <c r="E270" s="367">
        <f t="shared" si="26"/>
        <v>7.9036118975949698E-2</v>
      </c>
      <c r="F270" s="371">
        <f t="shared" si="27"/>
        <v>0.23143688777246654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697</v>
      </c>
      <c r="C271" s="353">
        <f>C261+C267</f>
        <v>195594535</v>
      </c>
      <c r="D271" s="353">
        <f>LN_IIA1+LN_IIA7</f>
        <v>151379867</v>
      </c>
      <c r="E271" s="353">
        <f t="shared" si="26"/>
        <v>-44214668</v>
      </c>
      <c r="F271" s="415">
        <f t="shared" si="27"/>
        <v>-0.22605267575599697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698</v>
      </c>
      <c r="C272" s="353">
        <f>C262+C269</f>
        <v>63397165</v>
      </c>
      <c r="D272" s="353">
        <f>LN_IIA2+LN_IIA9</f>
        <v>61336100</v>
      </c>
      <c r="E272" s="353">
        <f t="shared" si="26"/>
        <v>-2061065</v>
      </c>
      <c r="F272" s="415">
        <f t="shared" si="27"/>
        <v>-3.2510365408295466E-2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699</v>
      </c>
      <c r="C273" s="366">
        <f>IF(C271=0,0,C272/C271)</f>
        <v>0.32412544143935312</v>
      </c>
      <c r="D273" s="366">
        <f>IF(LN_IIA11=0,0,LN_IIA12/LN_IIA11)</f>
        <v>0.40518003625937921</v>
      </c>
      <c r="E273" s="367">
        <f t="shared" si="26"/>
        <v>8.1054594820026082E-2</v>
      </c>
      <c r="F273" s="371">
        <f t="shared" si="27"/>
        <v>0.25007168354352138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17998</v>
      </c>
      <c r="D274" s="421">
        <f>LN_IA8+LN_IB10+LN_IF11+LN_IG6</f>
        <v>17737</v>
      </c>
      <c r="E274" s="442">
        <f t="shared" si="26"/>
        <v>-261</v>
      </c>
      <c r="F274" s="371">
        <f t="shared" si="27"/>
        <v>-1.450161129014335E-2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700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701</v>
      </c>
      <c r="C277" s="361">
        <f>C15+C188+C221</f>
        <v>58893308</v>
      </c>
      <c r="D277" s="361">
        <f>LN_IA1+LN_IF1+LN_IG1</f>
        <v>50538424</v>
      </c>
      <c r="E277" s="361">
        <f t="shared" ref="E277:E291" si="28">D277-C277</f>
        <v>-8354884</v>
      </c>
      <c r="F277" s="415">
        <f t="shared" ref="F277:F291" si="29">IF(C277=0,0,E277/C277)</f>
        <v>-0.1418647429348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702</v>
      </c>
      <c r="C278" s="361">
        <f>C16+C189+C222</f>
        <v>16220510</v>
      </c>
      <c r="D278" s="361">
        <f>LN_IA2+LN_IF2+LN_IG2</f>
        <v>16805400</v>
      </c>
      <c r="E278" s="361">
        <f t="shared" si="28"/>
        <v>584890</v>
      </c>
      <c r="F278" s="415">
        <f t="shared" si="29"/>
        <v>3.6058668932111258E-2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703</v>
      </c>
      <c r="C279" s="366">
        <f>IF(C277=0,0,C278/C277)</f>
        <v>0.27542195456230784</v>
      </c>
      <c r="D279" s="366">
        <f>IF(D277=0,0,LN_IIB2/D277)</f>
        <v>0.33252718763054423</v>
      </c>
      <c r="E279" s="367">
        <f t="shared" si="28"/>
        <v>5.7105233068236394E-2</v>
      </c>
      <c r="F279" s="371">
        <f t="shared" si="29"/>
        <v>0.20733725878529288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704</v>
      </c>
      <c r="C280" s="369">
        <f>C18+C191+C224</f>
        <v>2285</v>
      </c>
      <c r="D280" s="369">
        <f>LN_IA4+LN_IF4+LN_IG3</f>
        <v>2294</v>
      </c>
      <c r="E280" s="369">
        <f t="shared" si="28"/>
        <v>9</v>
      </c>
      <c r="F280" s="415">
        <f t="shared" si="29"/>
        <v>3.9387308533916851E-3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705</v>
      </c>
      <c r="C281" s="439">
        <f>IF(C280=0,0,C282/C280)</f>
        <v>1.2255619956236323</v>
      </c>
      <c r="D281" s="439">
        <f>IF(LN_IIB4=0,0,LN_IIB6/LN_IIB4)</f>
        <v>1.2327006974716652</v>
      </c>
      <c r="E281" s="439">
        <f t="shared" si="28"/>
        <v>7.1387018480328912E-3</v>
      </c>
      <c r="F281" s="415">
        <f t="shared" si="29"/>
        <v>5.8248394398035599E-3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706</v>
      </c>
      <c r="C282" s="376">
        <f>C20+C193+C226</f>
        <v>2800.4091599999997</v>
      </c>
      <c r="D282" s="376">
        <f>LN_IA6+LN_IF6+LN_IG5</f>
        <v>2827.8154</v>
      </c>
      <c r="E282" s="376">
        <f t="shared" si="28"/>
        <v>27.406240000000253</v>
      </c>
      <c r="F282" s="415">
        <f t="shared" si="29"/>
        <v>9.7865127680128918E-3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707</v>
      </c>
      <c r="C283" s="361">
        <f>C27+C203+C233</f>
        <v>47201093</v>
      </c>
      <c r="D283" s="361">
        <f>LN_IA11+LN_IF14+LN_IG9</f>
        <v>36822110</v>
      </c>
      <c r="E283" s="361">
        <f t="shared" si="28"/>
        <v>-10378983</v>
      </c>
      <c r="F283" s="415">
        <f t="shared" si="29"/>
        <v>-0.21988861571489457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708</v>
      </c>
      <c r="C284" s="366">
        <f>IF(C277=0,0,C283/C277)</f>
        <v>0.80146785098232209</v>
      </c>
      <c r="D284" s="366">
        <f>IF(D277=0,0,LN_IIB7/D277)</f>
        <v>0.72859632504567218</v>
      </c>
      <c r="E284" s="367">
        <f t="shared" si="28"/>
        <v>-7.2871525936649917E-2</v>
      </c>
      <c r="F284" s="371">
        <f t="shared" si="29"/>
        <v>-9.0922581420246187E-2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709</v>
      </c>
      <c r="C285" s="361">
        <f>C28+C204+C234</f>
        <v>9566333</v>
      </c>
      <c r="D285" s="361">
        <f>LN_IA12+LN_IF15+LN_IG10</f>
        <v>9619191</v>
      </c>
      <c r="E285" s="361">
        <f t="shared" si="28"/>
        <v>52858</v>
      </c>
      <c r="F285" s="415">
        <f t="shared" si="29"/>
        <v>5.5254191966765112E-3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710</v>
      </c>
      <c r="C286" s="366">
        <f>IF(C283=0,0,C285/C283)</f>
        <v>0.2026718533827172</v>
      </c>
      <c r="D286" s="366">
        <f>IF(LN_IIB7=0,0,LN_IIB9/LN_IIB7)</f>
        <v>0.26123410635620825</v>
      </c>
      <c r="E286" s="367">
        <f t="shared" si="28"/>
        <v>5.8562252973491047E-2</v>
      </c>
      <c r="F286" s="371">
        <f t="shared" si="29"/>
        <v>0.28895109012944431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711</v>
      </c>
      <c r="C287" s="353">
        <f>C277+C283</f>
        <v>106094401</v>
      </c>
      <c r="D287" s="353">
        <f>D277+LN_IIB7</f>
        <v>87360534</v>
      </c>
      <c r="E287" s="353">
        <f t="shared" si="28"/>
        <v>-18733867</v>
      </c>
      <c r="F287" s="415">
        <f t="shared" si="29"/>
        <v>-0.17657733889274704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712</v>
      </c>
      <c r="C288" s="353">
        <f>C278+C285</f>
        <v>25786843</v>
      </c>
      <c r="D288" s="353">
        <f>LN_IIB2+LN_IIB9</f>
        <v>26424591</v>
      </c>
      <c r="E288" s="353">
        <f t="shared" si="28"/>
        <v>637748</v>
      </c>
      <c r="F288" s="415">
        <f t="shared" si="29"/>
        <v>2.4731526848788741E-2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713</v>
      </c>
      <c r="C289" s="366">
        <f>IF(C287=0,0,C288/C287)</f>
        <v>0.24305564437844368</v>
      </c>
      <c r="D289" s="366">
        <f>IF(LN_IIB11=0,0,LN_IIB12/LN_IIB11)</f>
        <v>0.30247744364749418</v>
      </c>
      <c r="E289" s="367">
        <f t="shared" si="28"/>
        <v>5.9421799269050501E-2</v>
      </c>
      <c r="F289" s="371">
        <f t="shared" si="29"/>
        <v>0.24447817050703535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12777</v>
      </c>
      <c r="D290" s="421">
        <f>LN_IA8+LN_IF11+LN_IG6</f>
        <v>13210</v>
      </c>
      <c r="E290" s="442">
        <f t="shared" si="28"/>
        <v>433</v>
      </c>
      <c r="F290" s="371">
        <f t="shared" si="29"/>
        <v>3.3889019331611488E-2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714</v>
      </c>
      <c r="C291" s="361">
        <f>C287-C288</f>
        <v>80307558</v>
      </c>
      <c r="D291" s="429">
        <f>LN_IIB11-LN_IIB12</f>
        <v>60935943</v>
      </c>
      <c r="E291" s="353">
        <f t="shared" si="28"/>
        <v>-19371615</v>
      </c>
      <c r="F291" s="415">
        <f t="shared" si="29"/>
        <v>-0.24121783157694821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611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602</v>
      </c>
      <c r="C294" s="379">
        <f>IF(C18=0,0,C22/C18)</f>
        <v>5.8788046485888215</v>
      </c>
      <c r="D294" s="379">
        <f>IF(LN_IA4=0,0,LN_IA8/LN_IA4)</f>
        <v>6.2221581073283323</v>
      </c>
      <c r="E294" s="379">
        <f t="shared" ref="E294:E300" si="30">D294-C294</f>
        <v>0.34335345873951084</v>
      </c>
      <c r="F294" s="415">
        <f t="shared" ref="F294:F300" si="31">IF(C294=0,0,E294/C294)</f>
        <v>5.8405318642784157E-2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623</v>
      </c>
      <c r="C295" s="379">
        <f>IF(C45=0,0,C51/C45)</f>
        <v>3.9167291822955739</v>
      </c>
      <c r="D295" s="379">
        <f>IF(LN_IB4=0,0,(LN_IB10)/(LN_IB4))</f>
        <v>3.9606299212598426</v>
      </c>
      <c r="E295" s="379">
        <f t="shared" si="30"/>
        <v>4.3900738964268715E-2</v>
      </c>
      <c r="F295" s="415">
        <f t="shared" si="31"/>
        <v>1.1208520405931852E-2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638</v>
      </c>
      <c r="C296" s="379">
        <f>IF(C86=0,0,C93/C86)</f>
        <v>5.5964912280701755</v>
      </c>
      <c r="D296" s="379">
        <f>IF(LN_IC4=0,0,LN_IC11/LN_IC4)</f>
        <v>3.847826086956522</v>
      </c>
      <c r="E296" s="379">
        <f t="shared" si="30"/>
        <v>-1.7486651411136536</v>
      </c>
      <c r="F296" s="415">
        <f t="shared" si="31"/>
        <v>-0.31245740765980645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4.2524752475247523</v>
      </c>
      <c r="D297" s="379">
        <f>IF(LN_ID4=0,0,LN_ID11/LN_ID4)</f>
        <v>4.216110019646365</v>
      </c>
      <c r="E297" s="379">
        <f t="shared" si="30"/>
        <v>-3.6365227878387252E-2</v>
      </c>
      <c r="F297" s="415">
        <f t="shared" si="31"/>
        <v>-8.5515436920072466E-3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715</v>
      </c>
      <c r="C298" s="379">
        <f>IF(C156=0,0,C163/C156)</f>
        <v>6.4423076923076925</v>
      </c>
      <c r="D298" s="379">
        <f>IF(LN_IE4=0,0,LN_IE11/LN_IE4)</f>
        <v>6.3125</v>
      </c>
      <c r="E298" s="379">
        <f t="shared" si="30"/>
        <v>-0.12980769230769251</v>
      </c>
      <c r="F298" s="415">
        <f t="shared" si="31"/>
        <v>-2.0149253731343315E-2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4.5909090909090908</v>
      </c>
      <c r="D299" s="379">
        <f>IF(LN_IG3=0,0,LN_IG6/LN_IG3)</f>
        <v>3.95</v>
      </c>
      <c r="E299" s="379">
        <f t="shared" si="30"/>
        <v>-0.64090909090909065</v>
      </c>
      <c r="F299" s="415">
        <f t="shared" si="31"/>
        <v>-0.13960396039603956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716</v>
      </c>
      <c r="C300" s="379">
        <f>IF(C264=0,0,C274/C264)</f>
        <v>4.9745715865118854</v>
      </c>
      <c r="D300" s="379">
        <f>IF(LN_IIA4=0,0,LN_IIA14/LN_IIA4)</f>
        <v>5.1606051789351177</v>
      </c>
      <c r="E300" s="379">
        <f t="shared" si="30"/>
        <v>0.18603359242323236</v>
      </c>
      <c r="F300" s="415">
        <f t="shared" si="31"/>
        <v>3.7396907288990699E-2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717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711</v>
      </c>
      <c r="C304" s="353">
        <f>C35+C66+C214+C221+C233</f>
        <v>195594535</v>
      </c>
      <c r="D304" s="353">
        <f>LN_IIA11</f>
        <v>151379867</v>
      </c>
      <c r="E304" s="353">
        <f t="shared" ref="E304:E316" si="32">D304-C304</f>
        <v>-44214668</v>
      </c>
      <c r="F304" s="362">
        <f>IF(C304=0,0,E304/C304)</f>
        <v>-0.22605267575599697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714</v>
      </c>
      <c r="C305" s="353">
        <f>C291</f>
        <v>80307558</v>
      </c>
      <c r="D305" s="353">
        <f>LN_IIB14</f>
        <v>60935943</v>
      </c>
      <c r="E305" s="353">
        <f t="shared" si="32"/>
        <v>-19371615</v>
      </c>
      <c r="F305" s="362">
        <f>IF(C305=0,0,E305/C305)</f>
        <v>-0.24121783157694821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718</v>
      </c>
      <c r="C306" s="353">
        <f>C250</f>
        <v>8371770</v>
      </c>
      <c r="D306" s="353">
        <f>LN_IH6</f>
        <v>2824749</v>
      </c>
      <c r="E306" s="353">
        <f t="shared" si="32"/>
        <v>-5547021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719</v>
      </c>
      <c r="C307" s="353">
        <f>C73-C74</f>
        <v>45259588</v>
      </c>
      <c r="D307" s="353">
        <f>LN_IB32-LN_IB33</f>
        <v>28810019</v>
      </c>
      <c r="E307" s="353">
        <f t="shared" si="32"/>
        <v>-16449569</v>
      </c>
      <c r="F307" s="362">
        <f t="shared" ref="F307:F316" si="33">IF(C307=0,0,E307/C307)</f>
        <v>-0.36344937563284935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720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721</v>
      </c>
      <c r="C309" s="353">
        <f>C305+C307+C308+C306</f>
        <v>133938916</v>
      </c>
      <c r="D309" s="353">
        <f>LN_III2+LN_III3+LN_III4+LN_III5</f>
        <v>92570711</v>
      </c>
      <c r="E309" s="353">
        <f t="shared" si="32"/>
        <v>-41368205</v>
      </c>
      <c r="F309" s="362">
        <f t="shared" si="33"/>
        <v>-0.30885874124888391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722</v>
      </c>
      <c r="C310" s="353">
        <f>C304-C309</f>
        <v>61655619</v>
      </c>
      <c r="D310" s="353">
        <f>LN_III1-LN_III6</f>
        <v>58809156</v>
      </c>
      <c r="E310" s="353">
        <f t="shared" si="32"/>
        <v>-2846463</v>
      </c>
      <c r="F310" s="362">
        <f t="shared" si="33"/>
        <v>-4.6167130363252047E-2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723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724</v>
      </c>
      <c r="C312" s="353">
        <f>C310+C311</f>
        <v>61655619</v>
      </c>
      <c r="D312" s="353">
        <f>LN_III7+LN_III8</f>
        <v>58809156</v>
      </c>
      <c r="E312" s="353">
        <f t="shared" si="32"/>
        <v>-2846463</v>
      </c>
      <c r="F312" s="362">
        <f t="shared" si="33"/>
        <v>-4.6167130363252047E-2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725</v>
      </c>
      <c r="C313" s="448">
        <f>IF(C304=0,0,C312/C304)</f>
        <v>0.31522158326151595</v>
      </c>
      <c r="D313" s="448">
        <f>IF(LN_III1=0,0,LN_III9/LN_III1)</f>
        <v>0.38848730128690101</v>
      </c>
      <c r="E313" s="448">
        <f t="shared" si="32"/>
        <v>7.3265718025385063E-2</v>
      </c>
      <c r="F313" s="362">
        <f t="shared" si="33"/>
        <v>0.23242608347856034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683</v>
      </c>
      <c r="C314" s="353">
        <f>C306*C313</f>
        <v>2638962.5941012613</v>
      </c>
      <c r="D314" s="353">
        <f>D313*LN_III5</f>
        <v>1097379.1158228724</v>
      </c>
      <c r="E314" s="353">
        <f t="shared" si="32"/>
        <v>-1541583.478278389</v>
      </c>
      <c r="F314" s="362">
        <f t="shared" si="33"/>
        <v>-0.58416268639965263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686</v>
      </c>
      <c r="C315" s="353">
        <f>(C214*C313)-C215</f>
        <v>1741153.6333121015</v>
      </c>
      <c r="D315" s="353">
        <f>D313*LN_IH8-LN_IH9</f>
        <v>2177859.7391594881</v>
      </c>
      <c r="E315" s="353">
        <f t="shared" si="32"/>
        <v>436706.10584738664</v>
      </c>
      <c r="F315" s="362">
        <f t="shared" si="33"/>
        <v>0.25081422884933163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726</v>
      </c>
      <c r="C316" s="353">
        <v>-4380116</v>
      </c>
      <c r="D316" s="353">
        <v>0</v>
      </c>
      <c r="E316" s="353">
        <f t="shared" si="32"/>
        <v>4380116</v>
      </c>
      <c r="F316" s="362">
        <f t="shared" si="33"/>
        <v>-1</v>
      </c>
    </row>
    <row r="317" spans="1:21" ht="11.25" customHeight="1" x14ac:dyDescent="0.2">
      <c r="A317" s="338">
        <v>14</v>
      </c>
      <c r="B317" s="360" t="s">
        <v>727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728</v>
      </c>
      <c r="C318" s="353">
        <f>C314+C315+C316</f>
        <v>0.22741336282342672</v>
      </c>
      <c r="D318" s="353">
        <f>D314+D315+D316</f>
        <v>3275238.8549823603</v>
      </c>
      <c r="E318" s="353">
        <f>D318-C318</f>
        <v>3275238.6275689974</v>
      </c>
      <c r="F318" s="362">
        <f>IF(C318=0,0,E318/C318)</f>
        <v>14402137.969843181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729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1980481.2491636458</v>
      </c>
      <c r="D322" s="353">
        <f>LN_ID22</f>
        <v>2228306.9846592662</v>
      </c>
      <c r="E322" s="353">
        <f>LN_IV2-C322</f>
        <v>247825.73549562041</v>
      </c>
      <c r="F322" s="362">
        <f>IF(C322=0,0,E322/C322)</f>
        <v>0.12513409839162923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715</v>
      </c>
      <c r="C323" s="353">
        <f>C162+C176</f>
        <v>519838.20115847437</v>
      </c>
      <c r="D323" s="353">
        <f>LN_IE10+LN_IE22</f>
        <v>177265.8388576266</v>
      </c>
      <c r="E323" s="353">
        <f>LN_IV3-C323</f>
        <v>-342572.36230084777</v>
      </c>
      <c r="F323" s="362">
        <f>IF(C323=0,0,E323/C323)</f>
        <v>-0.65899805273528456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730</v>
      </c>
      <c r="C324" s="353">
        <f>C92+C106</f>
        <v>1172965.1216496592</v>
      </c>
      <c r="D324" s="353">
        <f>LN_IC10+LN_IC22</f>
        <v>993665.98722998495</v>
      </c>
      <c r="E324" s="353">
        <f>LN_IV1-C324</f>
        <v>-179299.13441967429</v>
      </c>
      <c r="F324" s="362">
        <f>IF(C324=0,0,E324/C324)</f>
        <v>-0.15285973223782462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731</v>
      </c>
      <c r="C325" s="429">
        <f>C324+C322+C323</f>
        <v>3673284.5719717792</v>
      </c>
      <c r="D325" s="429">
        <f>LN_IV1+LN_IV2+LN_IV3</f>
        <v>3399238.8107468775</v>
      </c>
      <c r="E325" s="353">
        <f>LN_IV4-C325</f>
        <v>-274045.76122490177</v>
      </c>
      <c r="F325" s="362">
        <f>IF(C325=0,0,E325/C325)</f>
        <v>-7.4605099565644858E-2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732</v>
      </c>
      <c r="B327" s="446" t="s">
        <v>733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734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735</v>
      </c>
      <c r="C330" s="429">
        <v>0</v>
      </c>
      <c r="D330" s="429">
        <v>0</v>
      </c>
      <c r="E330" s="431">
        <f t="shared" si="34"/>
        <v>0</v>
      </c>
      <c r="F330" s="463">
        <f t="shared" si="35"/>
        <v>0</v>
      </c>
    </row>
    <row r="331" spans="1:22" s="333" customFormat="1" ht="11.25" customHeight="1" x14ac:dyDescent="0.2">
      <c r="A331" s="339">
        <v>3</v>
      </c>
      <c r="B331" s="360" t="s">
        <v>736</v>
      </c>
      <c r="C331" s="429">
        <v>63397165</v>
      </c>
      <c r="D331" s="429">
        <v>61336304</v>
      </c>
      <c r="E331" s="431">
        <f t="shared" si="34"/>
        <v>-2060861</v>
      </c>
      <c r="F331" s="462">
        <f t="shared" si="35"/>
        <v>-3.2507147598792467E-2</v>
      </c>
    </row>
    <row r="332" spans="1:22" s="333" customFormat="1" ht="11.25" customHeight="1" x14ac:dyDescent="0.2">
      <c r="A332" s="364">
        <v>4</v>
      </c>
      <c r="B332" s="360" t="s">
        <v>737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738</v>
      </c>
      <c r="C333" s="429">
        <v>195594535</v>
      </c>
      <c r="D333" s="429">
        <v>151379874</v>
      </c>
      <c r="E333" s="431">
        <f t="shared" si="34"/>
        <v>-44214661</v>
      </c>
      <c r="F333" s="462">
        <f t="shared" si="35"/>
        <v>-0.22605263996767599</v>
      </c>
    </row>
    <row r="334" spans="1:22" s="333" customFormat="1" ht="11.25" customHeight="1" x14ac:dyDescent="0.2">
      <c r="A334" s="339">
        <v>6</v>
      </c>
      <c r="B334" s="360" t="s">
        <v>739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740</v>
      </c>
      <c r="C335" s="429">
        <v>8371770</v>
      </c>
      <c r="D335" s="429">
        <v>2824952</v>
      </c>
      <c r="E335" s="429">
        <f t="shared" si="34"/>
        <v>-5546818</v>
      </c>
      <c r="F335" s="462">
        <f t="shared" si="35"/>
        <v>-0.66256215830105225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0" orientation="portrait" horizontalDpi="1200" verticalDpi="1200" r:id="rId1"/>
  <headerFooter>
    <oddHeader>&amp;LOFFICE OF HEALTH CARE ACCESS&amp;CTWELVE MONTHS ACTUAL FILING&amp;RJOHNSON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A2" sqref="A2:E2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593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741</v>
      </c>
      <c r="B5" s="710"/>
      <c r="C5" s="710"/>
      <c r="D5" s="710"/>
      <c r="E5" s="710"/>
    </row>
    <row r="6" spans="1:5" s="338" customFormat="1" ht="15.75" customHeight="1" x14ac:dyDescent="0.25">
      <c r="A6" s="710" t="s">
        <v>742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743</v>
      </c>
      <c r="D9" s="494" t="s">
        <v>744</v>
      </c>
      <c r="E9" s="495" t="s">
        <v>745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746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747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623</v>
      </c>
      <c r="C14" s="513">
        <v>24183725</v>
      </c>
      <c r="D14" s="513">
        <v>17036384</v>
      </c>
      <c r="E14" s="514">
        <f t="shared" ref="E14:E22" si="0">D14-C14</f>
        <v>-7147341</v>
      </c>
    </row>
    <row r="15" spans="1:5" s="506" customFormat="1" x14ac:dyDescent="0.2">
      <c r="A15" s="512">
        <v>2</v>
      </c>
      <c r="B15" s="511" t="s">
        <v>602</v>
      </c>
      <c r="C15" s="513">
        <v>51856684</v>
      </c>
      <c r="D15" s="515">
        <v>42815475</v>
      </c>
      <c r="E15" s="514">
        <f t="shared" si="0"/>
        <v>-9041209</v>
      </c>
    </row>
    <row r="16" spans="1:5" s="506" customFormat="1" x14ac:dyDescent="0.2">
      <c r="A16" s="512">
        <v>3</v>
      </c>
      <c r="B16" s="511" t="s">
        <v>748</v>
      </c>
      <c r="C16" s="513">
        <v>6612931</v>
      </c>
      <c r="D16" s="515">
        <v>7469929</v>
      </c>
      <c r="E16" s="514">
        <f t="shared" si="0"/>
        <v>856998</v>
      </c>
    </row>
    <row r="17" spans="1:5" s="506" customFormat="1" x14ac:dyDescent="0.2">
      <c r="A17" s="512">
        <v>4</v>
      </c>
      <c r="B17" s="511" t="s">
        <v>114</v>
      </c>
      <c r="C17" s="513">
        <v>5308622</v>
      </c>
      <c r="D17" s="515">
        <v>6757493</v>
      </c>
      <c r="E17" s="514">
        <f t="shared" si="0"/>
        <v>1448871</v>
      </c>
    </row>
    <row r="18" spans="1:5" s="506" customFormat="1" x14ac:dyDescent="0.2">
      <c r="A18" s="512">
        <v>5</v>
      </c>
      <c r="B18" s="511" t="s">
        <v>715</v>
      </c>
      <c r="C18" s="513">
        <v>1304309</v>
      </c>
      <c r="D18" s="515">
        <v>712436</v>
      </c>
      <c r="E18" s="514">
        <f t="shared" si="0"/>
        <v>-591873</v>
      </c>
    </row>
    <row r="19" spans="1:5" s="506" customFormat="1" x14ac:dyDescent="0.2">
      <c r="A19" s="512">
        <v>6</v>
      </c>
      <c r="B19" s="511" t="s">
        <v>418</v>
      </c>
      <c r="C19" s="513">
        <v>423693</v>
      </c>
      <c r="D19" s="515">
        <v>253020</v>
      </c>
      <c r="E19" s="514">
        <f t="shared" si="0"/>
        <v>-170673</v>
      </c>
    </row>
    <row r="20" spans="1:5" s="506" customFormat="1" x14ac:dyDescent="0.2">
      <c r="A20" s="512">
        <v>7</v>
      </c>
      <c r="B20" s="511" t="s">
        <v>730</v>
      </c>
      <c r="C20" s="513">
        <v>2666773</v>
      </c>
      <c r="D20" s="515">
        <v>734342</v>
      </c>
      <c r="E20" s="514">
        <f t="shared" si="0"/>
        <v>-1932431</v>
      </c>
    </row>
    <row r="21" spans="1:5" s="506" customFormat="1" x14ac:dyDescent="0.2">
      <c r="A21" s="512"/>
      <c r="B21" s="516" t="s">
        <v>749</v>
      </c>
      <c r="C21" s="517">
        <f>SUM(C15+C16+C19)</f>
        <v>58893308</v>
      </c>
      <c r="D21" s="517">
        <f>SUM(D15+D16+D19)</f>
        <v>50538424</v>
      </c>
      <c r="E21" s="517">
        <f t="shared" si="0"/>
        <v>-8354884</v>
      </c>
    </row>
    <row r="22" spans="1:5" s="506" customFormat="1" x14ac:dyDescent="0.2">
      <c r="A22" s="512"/>
      <c r="B22" s="516" t="s">
        <v>689</v>
      </c>
      <c r="C22" s="517">
        <f>SUM(C14+C21)</f>
        <v>83077033</v>
      </c>
      <c r="D22" s="517">
        <f>SUM(D14+D21)</f>
        <v>67574808</v>
      </c>
      <c r="E22" s="517">
        <f t="shared" si="0"/>
        <v>-15502225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750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623</v>
      </c>
      <c r="C25" s="513">
        <v>65316409</v>
      </c>
      <c r="D25" s="513">
        <v>46982949</v>
      </c>
      <c r="E25" s="514">
        <f t="shared" ref="E25:E33" si="1">D25-C25</f>
        <v>-18333460</v>
      </c>
    </row>
    <row r="26" spans="1:5" s="506" customFormat="1" x14ac:dyDescent="0.2">
      <c r="A26" s="512">
        <v>2</v>
      </c>
      <c r="B26" s="511" t="s">
        <v>602</v>
      </c>
      <c r="C26" s="513">
        <v>35476768</v>
      </c>
      <c r="D26" s="515">
        <v>26348240</v>
      </c>
      <c r="E26" s="514">
        <f t="shared" si="1"/>
        <v>-9128528</v>
      </c>
    </row>
    <row r="27" spans="1:5" s="506" customFormat="1" x14ac:dyDescent="0.2">
      <c r="A27" s="512">
        <v>3</v>
      </c>
      <c r="B27" s="511" t="s">
        <v>748</v>
      </c>
      <c r="C27" s="513">
        <v>11071723</v>
      </c>
      <c r="D27" s="515">
        <v>9964581</v>
      </c>
      <c r="E27" s="514">
        <f t="shared" si="1"/>
        <v>-1107142</v>
      </c>
    </row>
    <row r="28" spans="1:5" s="506" customFormat="1" x14ac:dyDescent="0.2">
      <c r="A28" s="512">
        <v>4</v>
      </c>
      <c r="B28" s="511" t="s">
        <v>114</v>
      </c>
      <c r="C28" s="513">
        <v>9428967</v>
      </c>
      <c r="D28" s="515">
        <v>8967980</v>
      </c>
      <c r="E28" s="514">
        <f t="shared" si="1"/>
        <v>-460987</v>
      </c>
    </row>
    <row r="29" spans="1:5" s="506" customFormat="1" x14ac:dyDescent="0.2">
      <c r="A29" s="512">
        <v>5</v>
      </c>
      <c r="B29" s="511" t="s">
        <v>715</v>
      </c>
      <c r="C29" s="513">
        <v>1642756</v>
      </c>
      <c r="D29" s="515">
        <v>996601</v>
      </c>
      <c r="E29" s="514">
        <f t="shared" si="1"/>
        <v>-646155</v>
      </c>
    </row>
    <row r="30" spans="1:5" s="506" customFormat="1" x14ac:dyDescent="0.2">
      <c r="A30" s="512">
        <v>6</v>
      </c>
      <c r="B30" s="511" t="s">
        <v>418</v>
      </c>
      <c r="C30" s="513">
        <v>652602</v>
      </c>
      <c r="D30" s="515">
        <v>509289</v>
      </c>
      <c r="E30" s="514">
        <f t="shared" si="1"/>
        <v>-143313</v>
      </c>
    </row>
    <row r="31" spans="1:5" s="506" customFormat="1" x14ac:dyDescent="0.2">
      <c r="A31" s="512">
        <v>7</v>
      </c>
      <c r="B31" s="511" t="s">
        <v>730</v>
      </c>
      <c r="C31" s="514">
        <v>4781994</v>
      </c>
      <c r="D31" s="518">
        <v>2311753</v>
      </c>
      <c r="E31" s="514">
        <f t="shared" si="1"/>
        <v>-2470241</v>
      </c>
    </row>
    <row r="32" spans="1:5" s="506" customFormat="1" x14ac:dyDescent="0.2">
      <c r="A32" s="512"/>
      <c r="B32" s="516" t="s">
        <v>751</v>
      </c>
      <c r="C32" s="517">
        <f>SUM(C26+C27+C30)</f>
        <v>47201093</v>
      </c>
      <c r="D32" s="517">
        <f>SUM(D26+D27+D30)</f>
        <v>36822110</v>
      </c>
      <c r="E32" s="517">
        <f t="shared" si="1"/>
        <v>-10378983</v>
      </c>
    </row>
    <row r="33" spans="1:5" s="506" customFormat="1" x14ac:dyDescent="0.2">
      <c r="A33" s="512"/>
      <c r="B33" s="516" t="s">
        <v>695</v>
      </c>
      <c r="C33" s="517">
        <f>SUM(C25+C32)</f>
        <v>112517502</v>
      </c>
      <c r="D33" s="517">
        <f>SUM(D25+D32)</f>
        <v>83805059</v>
      </c>
      <c r="E33" s="517">
        <f t="shared" si="1"/>
        <v>-28712443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620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752</v>
      </c>
      <c r="C36" s="514">
        <f t="shared" ref="C36:D42" si="2">C14+C25</f>
        <v>89500134</v>
      </c>
      <c r="D36" s="514">
        <f t="shared" si="2"/>
        <v>64019333</v>
      </c>
      <c r="E36" s="514">
        <f t="shared" ref="E36:E44" si="3">D36-C36</f>
        <v>-25480801</v>
      </c>
    </row>
    <row r="37" spans="1:5" s="506" customFormat="1" x14ac:dyDescent="0.2">
      <c r="A37" s="512">
        <v>2</v>
      </c>
      <c r="B37" s="511" t="s">
        <v>753</v>
      </c>
      <c r="C37" s="514">
        <f t="shared" si="2"/>
        <v>87333452</v>
      </c>
      <c r="D37" s="514">
        <f t="shared" si="2"/>
        <v>69163715</v>
      </c>
      <c r="E37" s="514">
        <f t="shared" si="3"/>
        <v>-18169737</v>
      </c>
    </row>
    <row r="38" spans="1:5" s="506" customFormat="1" x14ac:dyDescent="0.2">
      <c r="A38" s="512">
        <v>3</v>
      </c>
      <c r="B38" s="511" t="s">
        <v>754</v>
      </c>
      <c r="C38" s="514">
        <f t="shared" si="2"/>
        <v>17684654</v>
      </c>
      <c r="D38" s="514">
        <f t="shared" si="2"/>
        <v>17434510</v>
      </c>
      <c r="E38" s="514">
        <f t="shared" si="3"/>
        <v>-250144</v>
      </c>
    </row>
    <row r="39" spans="1:5" s="506" customFormat="1" x14ac:dyDescent="0.2">
      <c r="A39" s="512">
        <v>4</v>
      </c>
      <c r="B39" s="511" t="s">
        <v>755</v>
      </c>
      <c r="C39" s="514">
        <f t="shared" si="2"/>
        <v>14737589</v>
      </c>
      <c r="D39" s="514">
        <f t="shared" si="2"/>
        <v>15725473</v>
      </c>
      <c r="E39" s="514">
        <f t="shared" si="3"/>
        <v>987884</v>
      </c>
    </row>
    <row r="40" spans="1:5" s="506" customFormat="1" x14ac:dyDescent="0.2">
      <c r="A40" s="512">
        <v>5</v>
      </c>
      <c r="B40" s="511" t="s">
        <v>756</v>
      </c>
      <c r="C40" s="514">
        <f t="shared" si="2"/>
        <v>2947065</v>
      </c>
      <c r="D40" s="514">
        <f t="shared" si="2"/>
        <v>1709037</v>
      </c>
      <c r="E40" s="514">
        <f t="shared" si="3"/>
        <v>-1238028</v>
      </c>
    </row>
    <row r="41" spans="1:5" s="506" customFormat="1" x14ac:dyDescent="0.2">
      <c r="A41" s="512">
        <v>6</v>
      </c>
      <c r="B41" s="511" t="s">
        <v>757</v>
      </c>
      <c r="C41" s="514">
        <f t="shared" si="2"/>
        <v>1076295</v>
      </c>
      <c r="D41" s="514">
        <f t="shared" si="2"/>
        <v>762309</v>
      </c>
      <c r="E41" s="514">
        <f t="shared" si="3"/>
        <v>-313986</v>
      </c>
    </row>
    <row r="42" spans="1:5" s="506" customFormat="1" x14ac:dyDescent="0.2">
      <c r="A42" s="512">
        <v>7</v>
      </c>
      <c r="B42" s="511" t="s">
        <v>758</v>
      </c>
      <c r="C42" s="514">
        <f t="shared" si="2"/>
        <v>7448767</v>
      </c>
      <c r="D42" s="514">
        <f t="shared" si="2"/>
        <v>3046095</v>
      </c>
      <c r="E42" s="514">
        <f t="shared" si="3"/>
        <v>-4402672</v>
      </c>
    </row>
    <row r="43" spans="1:5" s="506" customFormat="1" x14ac:dyDescent="0.2">
      <c r="A43" s="512"/>
      <c r="B43" s="516" t="s">
        <v>759</v>
      </c>
      <c r="C43" s="517">
        <f>SUM(C37+C38+C41)</f>
        <v>106094401</v>
      </c>
      <c r="D43" s="517">
        <f>SUM(D37+D38+D41)</f>
        <v>87360534</v>
      </c>
      <c r="E43" s="517">
        <f t="shared" si="3"/>
        <v>-18733867</v>
      </c>
    </row>
    <row r="44" spans="1:5" s="506" customFormat="1" x14ac:dyDescent="0.2">
      <c r="A44" s="512"/>
      <c r="B44" s="516" t="s">
        <v>697</v>
      </c>
      <c r="C44" s="517">
        <f>SUM(C36+C43)</f>
        <v>195594535</v>
      </c>
      <c r="D44" s="517">
        <f>SUM(D36+D43)</f>
        <v>151379867</v>
      </c>
      <c r="E44" s="517">
        <f t="shared" si="3"/>
        <v>-44214668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760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623</v>
      </c>
      <c r="C47" s="513">
        <v>8751723</v>
      </c>
      <c r="D47" s="513">
        <v>9287493</v>
      </c>
      <c r="E47" s="514">
        <f t="shared" ref="E47:E55" si="4">D47-C47</f>
        <v>535770</v>
      </c>
    </row>
    <row r="48" spans="1:5" s="506" customFormat="1" x14ac:dyDescent="0.2">
      <c r="A48" s="512">
        <v>2</v>
      </c>
      <c r="B48" s="511" t="s">
        <v>602</v>
      </c>
      <c r="C48" s="513">
        <v>14638639</v>
      </c>
      <c r="D48" s="515">
        <v>14503969</v>
      </c>
      <c r="E48" s="514">
        <f t="shared" si="4"/>
        <v>-134670</v>
      </c>
    </row>
    <row r="49" spans="1:5" s="506" customFormat="1" x14ac:dyDescent="0.2">
      <c r="A49" s="512">
        <v>3</v>
      </c>
      <c r="B49" s="511" t="s">
        <v>748</v>
      </c>
      <c r="C49" s="513">
        <v>1541922</v>
      </c>
      <c r="D49" s="515">
        <v>2204914</v>
      </c>
      <c r="E49" s="514">
        <f t="shared" si="4"/>
        <v>662992</v>
      </c>
    </row>
    <row r="50" spans="1:5" s="506" customFormat="1" x14ac:dyDescent="0.2">
      <c r="A50" s="512">
        <v>4</v>
      </c>
      <c r="B50" s="511" t="s">
        <v>114</v>
      </c>
      <c r="C50" s="513">
        <v>1393883</v>
      </c>
      <c r="D50" s="515">
        <v>2056980</v>
      </c>
      <c r="E50" s="514">
        <f t="shared" si="4"/>
        <v>663097</v>
      </c>
    </row>
    <row r="51" spans="1:5" s="506" customFormat="1" x14ac:dyDescent="0.2">
      <c r="A51" s="512">
        <v>5</v>
      </c>
      <c r="B51" s="511" t="s">
        <v>715</v>
      </c>
      <c r="C51" s="513">
        <v>148039</v>
      </c>
      <c r="D51" s="515">
        <v>147934</v>
      </c>
      <c r="E51" s="514">
        <f t="shared" si="4"/>
        <v>-105</v>
      </c>
    </row>
    <row r="52" spans="1:5" s="506" customFormat="1" x14ac:dyDescent="0.2">
      <c r="A52" s="512">
        <v>6</v>
      </c>
      <c r="B52" s="511" t="s">
        <v>418</v>
      </c>
      <c r="C52" s="513">
        <v>39949</v>
      </c>
      <c r="D52" s="515">
        <v>96517</v>
      </c>
      <c r="E52" s="514">
        <f t="shared" si="4"/>
        <v>56568</v>
      </c>
    </row>
    <row r="53" spans="1:5" s="506" customFormat="1" x14ac:dyDescent="0.2">
      <c r="A53" s="512">
        <v>7</v>
      </c>
      <c r="B53" s="511" t="s">
        <v>730</v>
      </c>
      <c r="C53" s="513">
        <v>26382</v>
      </c>
      <c r="D53" s="515">
        <v>62740</v>
      </c>
      <c r="E53" s="514">
        <f t="shared" si="4"/>
        <v>36358</v>
      </c>
    </row>
    <row r="54" spans="1:5" s="506" customFormat="1" x14ac:dyDescent="0.2">
      <c r="A54" s="512"/>
      <c r="B54" s="516" t="s">
        <v>761</v>
      </c>
      <c r="C54" s="517">
        <f>SUM(C48+C49+C52)</f>
        <v>16220510</v>
      </c>
      <c r="D54" s="517">
        <f>SUM(D48+D49+D52)</f>
        <v>16805400</v>
      </c>
      <c r="E54" s="517">
        <f t="shared" si="4"/>
        <v>584890</v>
      </c>
    </row>
    <row r="55" spans="1:5" s="506" customFormat="1" x14ac:dyDescent="0.2">
      <c r="A55" s="512"/>
      <c r="B55" s="516" t="s">
        <v>690</v>
      </c>
      <c r="C55" s="517">
        <f>SUM(C47+C54)</f>
        <v>24972233</v>
      </c>
      <c r="D55" s="517">
        <f>SUM(D47+D54)</f>
        <v>26092893</v>
      </c>
      <c r="E55" s="517">
        <f t="shared" si="4"/>
        <v>1120660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762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623</v>
      </c>
      <c r="C58" s="513">
        <v>28858599</v>
      </c>
      <c r="D58" s="513">
        <v>25624016</v>
      </c>
      <c r="E58" s="514">
        <f t="shared" ref="E58:E66" si="5">D58-C58</f>
        <v>-3234583</v>
      </c>
    </row>
    <row r="59" spans="1:5" s="506" customFormat="1" x14ac:dyDescent="0.2">
      <c r="A59" s="512">
        <v>2</v>
      </c>
      <c r="B59" s="511" t="s">
        <v>602</v>
      </c>
      <c r="C59" s="513">
        <v>7161657</v>
      </c>
      <c r="D59" s="515">
        <v>7013075</v>
      </c>
      <c r="E59" s="514">
        <f t="shared" si="5"/>
        <v>-148582</v>
      </c>
    </row>
    <row r="60" spans="1:5" s="506" customFormat="1" x14ac:dyDescent="0.2">
      <c r="A60" s="512">
        <v>3</v>
      </c>
      <c r="B60" s="511" t="s">
        <v>748</v>
      </c>
      <c r="C60" s="513">
        <f>C61+C62</f>
        <v>2291509</v>
      </c>
      <c r="D60" s="515">
        <f>D61+D62</f>
        <v>2390312</v>
      </c>
      <c r="E60" s="514">
        <f t="shared" si="5"/>
        <v>98803</v>
      </c>
    </row>
    <row r="61" spans="1:5" s="506" customFormat="1" x14ac:dyDescent="0.2">
      <c r="A61" s="512">
        <v>4</v>
      </c>
      <c r="B61" s="511" t="s">
        <v>114</v>
      </c>
      <c r="C61" s="513">
        <v>2176516</v>
      </c>
      <c r="D61" s="515">
        <v>2213768</v>
      </c>
      <c r="E61" s="514">
        <f t="shared" si="5"/>
        <v>37252</v>
      </c>
    </row>
    <row r="62" spans="1:5" s="506" customFormat="1" x14ac:dyDescent="0.2">
      <c r="A62" s="512">
        <v>5</v>
      </c>
      <c r="B62" s="511" t="s">
        <v>715</v>
      </c>
      <c r="C62" s="513">
        <v>114993</v>
      </c>
      <c r="D62" s="515">
        <v>176544</v>
      </c>
      <c r="E62" s="514">
        <f t="shared" si="5"/>
        <v>61551</v>
      </c>
    </row>
    <row r="63" spans="1:5" s="506" customFormat="1" x14ac:dyDescent="0.2">
      <c r="A63" s="512">
        <v>6</v>
      </c>
      <c r="B63" s="511" t="s">
        <v>418</v>
      </c>
      <c r="C63" s="513">
        <v>113167</v>
      </c>
      <c r="D63" s="515">
        <v>215804</v>
      </c>
      <c r="E63" s="514">
        <f t="shared" si="5"/>
        <v>102637</v>
      </c>
    </row>
    <row r="64" spans="1:5" s="506" customFormat="1" x14ac:dyDescent="0.2">
      <c r="A64" s="512">
        <v>7</v>
      </c>
      <c r="B64" s="511" t="s">
        <v>730</v>
      </c>
      <c r="C64" s="513">
        <v>792161</v>
      </c>
      <c r="D64" s="515">
        <v>158606</v>
      </c>
      <c r="E64" s="514">
        <f t="shared" si="5"/>
        <v>-633555</v>
      </c>
    </row>
    <row r="65" spans="1:5" s="506" customFormat="1" x14ac:dyDescent="0.2">
      <c r="A65" s="512"/>
      <c r="B65" s="516" t="s">
        <v>763</v>
      </c>
      <c r="C65" s="517">
        <f>SUM(C59+C60+C63)</f>
        <v>9566333</v>
      </c>
      <c r="D65" s="517">
        <f>SUM(D59+D60+D63)</f>
        <v>9619191</v>
      </c>
      <c r="E65" s="517">
        <f t="shared" si="5"/>
        <v>52858</v>
      </c>
    </row>
    <row r="66" spans="1:5" s="506" customFormat="1" x14ac:dyDescent="0.2">
      <c r="A66" s="512"/>
      <c r="B66" s="516" t="s">
        <v>696</v>
      </c>
      <c r="C66" s="517">
        <f>SUM(C58+C65)</f>
        <v>38424932</v>
      </c>
      <c r="D66" s="517">
        <f>SUM(D58+D65)</f>
        <v>35243207</v>
      </c>
      <c r="E66" s="517">
        <f t="shared" si="5"/>
        <v>-3181725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621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752</v>
      </c>
      <c r="C69" s="514">
        <f t="shared" ref="C69:D75" si="6">C47+C58</f>
        <v>37610322</v>
      </c>
      <c r="D69" s="514">
        <f t="shared" si="6"/>
        <v>34911509</v>
      </c>
      <c r="E69" s="514">
        <f t="shared" ref="E69:E77" si="7">D69-C69</f>
        <v>-2698813</v>
      </c>
    </row>
    <row r="70" spans="1:5" s="506" customFormat="1" x14ac:dyDescent="0.2">
      <c r="A70" s="512">
        <v>2</v>
      </c>
      <c r="B70" s="511" t="s">
        <v>753</v>
      </c>
      <c r="C70" s="514">
        <f t="shared" si="6"/>
        <v>21800296</v>
      </c>
      <c r="D70" s="514">
        <f t="shared" si="6"/>
        <v>21517044</v>
      </c>
      <c r="E70" s="514">
        <f t="shared" si="7"/>
        <v>-283252</v>
      </c>
    </row>
    <row r="71" spans="1:5" s="506" customFormat="1" x14ac:dyDescent="0.2">
      <c r="A71" s="512">
        <v>3</v>
      </c>
      <c r="B71" s="511" t="s">
        <v>754</v>
      </c>
      <c r="C71" s="514">
        <f t="shared" si="6"/>
        <v>3833431</v>
      </c>
      <c r="D71" s="514">
        <f t="shared" si="6"/>
        <v>4595226</v>
      </c>
      <c r="E71" s="514">
        <f t="shared" si="7"/>
        <v>761795</v>
      </c>
    </row>
    <row r="72" spans="1:5" s="506" customFormat="1" x14ac:dyDescent="0.2">
      <c r="A72" s="512">
        <v>4</v>
      </c>
      <c r="B72" s="511" t="s">
        <v>755</v>
      </c>
      <c r="C72" s="514">
        <f t="shared" si="6"/>
        <v>3570399</v>
      </c>
      <c r="D72" s="514">
        <f t="shared" si="6"/>
        <v>4270748</v>
      </c>
      <c r="E72" s="514">
        <f t="shared" si="7"/>
        <v>700349</v>
      </c>
    </row>
    <row r="73" spans="1:5" s="506" customFormat="1" x14ac:dyDescent="0.2">
      <c r="A73" s="512">
        <v>5</v>
      </c>
      <c r="B73" s="511" t="s">
        <v>756</v>
      </c>
      <c r="C73" s="514">
        <f t="shared" si="6"/>
        <v>263032</v>
      </c>
      <c r="D73" s="514">
        <f t="shared" si="6"/>
        <v>324478</v>
      </c>
      <c r="E73" s="514">
        <f t="shared" si="7"/>
        <v>61446</v>
      </c>
    </row>
    <row r="74" spans="1:5" s="506" customFormat="1" x14ac:dyDescent="0.2">
      <c r="A74" s="512">
        <v>6</v>
      </c>
      <c r="B74" s="511" t="s">
        <v>757</v>
      </c>
      <c r="C74" s="514">
        <f t="shared" si="6"/>
        <v>153116</v>
      </c>
      <c r="D74" s="514">
        <f t="shared" si="6"/>
        <v>312321</v>
      </c>
      <c r="E74" s="514">
        <f t="shared" si="7"/>
        <v>159205</v>
      </c>
    </row>
    <row r="75" spans="1:5" s="506" customFormat="1" x14ac:dyDescent="0.2">
      <c r="A75" s="512">
        <v>7</v>
      </c>
      <c r="B75" s="511" t="s">
        <v>758</v>
      </c>
      <c r="C75" s="514">
        <f t="shared" si="6"/>
        <v>818543</v>
      </c>
      <c r="D75" s="514">
        <f t="shared" si="6"/>
        <v>221346</v>
      </c>
      <c r="E75" s="514">
        <f t="shared" si="7"/>
        <v>-597197</v>
      </c>
    </row>
    <row r="76" spans="1:5" s="506" customFormat="1" x14ac:dyDescent="0.2">
      <c r="A76" s="512"/>
      <c r="B76" s="516" t="s">
        <v>764</v>
      </c>
      <c r="C76" s="517">
        <f>SUM(C70+C71+C74)</f>
        <v>25786843</v>
      </c>
      <c r="D76" s="517">
        <f>SUM(D70+D71+D74)</f>
        <v>26424591</v>
      </c>
      <c r="E76" s="517">
        <f t="shared" si="7"/>
        <v>637748</v>
      </c>
    </row>
    <row r="77" spans="1:5" s="506" customFormat="1" x14ac:dyDescent="0.2">
      <c r="A77" s="512"/>
      <c r="B77" s="516" t="s">
        <v>698</v>
      </c>
      <c r="C77" s="517">
        <f>SUM(C69+C76)</f>
        <v>63397165</v>
      </c>
      <c r="D77" s="517">
        <f>SUM(D69+D76)</f>
        <v>61336100</v>
      </c>
      <c r="E77" s="517">
        <f t="shared" si="7"/>
        <v>-2061065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765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766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623</v>
      </c>
      <c r="C83" s="523">
        <f t="shared" ref="C83:D89" si="8">IF(C$44=0,0,C14/C$44)</f>
        <v>0.12364213038978825</v>
      </c>
      <c r="D83" s="523">
        <f t="shared" si="8"/>
        <v>0.11254061942067897</v>
      </c>
      <c r="E83" s="523">
        <f t="shared" ref="E83:E91" si="9">D83-C83</f>
        <v>-1.1101510969109274E-2</v>
      </c>
    </row>
    <row r="84" spans="1:5" s="506" customFormat="1" x14ac:dyDescent="0.2">
      <c r="A84" s="512">
        <v>2</v>
      </c>
      <c r="B84" s="511" t="s">
        <v>602</v>
      </c>
      <c r="C84" s="523">
        <f t="shared" si="8"/>
        <v>0.26512337883059972</v>
      </c>
      <c r="D84" s="523">
        <f t="shared" si="8"/>
        <v>0.2828346717995201</v>
      </c>
      <c r="E84" s="523">
        <f t="shared" si="9"/>
        <v>1.7711292968920378E-2</v>
      </c>
    </row>
    <row r="85" spans="1:5" s="506" customFormat="1" x14ac:dyDescent="0.2">
      <c r="A85" s="512">
        <v>3</v>
      </c>
      <c r="B85" s="511" t="s">
        <v>748</v>
      </c>
      <c r="C85" s="523">
        <f t="shared" si="8"/>
        <v>3.3809385318459943E-2</v>
      </c>
      <c r="D85" s="523">
        <f t="shared" si="8"/>
        <v>4.9345590982716347E-2</v>
      </c>
      <c r="E85" s="523">
        <f t="shared" si="9"/>
        <v>1.5536205664256404E-2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2.7140952583363333E-2</v>
      </c>
      <c r="D86" s="523">
        <f t="shared" si="8"/>
        <v>4.4639311250022434E-2</v>
      </c>
      <c r="E86" s="523">
        <f t="shared" si="9"/>
        <v>1.7498358666659102E-2</v>
      </c>
    </row>
    <row r="87" spans="1:5" s="506" customFormat="1" x14ac:dyDescent="0.2">
      <c r="A87" s="512">
        <v>5</v>
      </c>
      <c r="B87" s="511" t="s">
        <v>715</v>
      </c>
      <c r="C87" s="523">
        <f t="shared" si="8"/>
        <v>6.6684327350966122E-3</v>
      </c>
      <c r="D87" s="523">
        <f t="shared" si="8"/>
        <v>4.7062797326939123E-3</v>
      </c>
      <c r="E87" s="523">
        <f t="shared" si="9"/>
        <v>-1.9621530024026999E-3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2.1661801542665802E-3</v>
      </c>
      <c r="D88" s="523">
        <f t="shared" si="8"/>
        <v>1.6714243777212461E-3</v>
      </c>
      <c r="E88" s="523">
        <f t="shared" si="9"/>
        <v>-4.9475577654533405E-4</v>
      </c>
    </row>
    <row r="89" spans="1:5" s="506" customFormat="1" x14ac:dyDescent="0.2">
      <c r="A89" s="512">
        <v>7</v>
      </c>
      <c r="B89" s="511" t="s">
        <v>730</v>
      </c>
      <c r="C89" s="523">
        <f t="shared" si="8"/>
        <v>1.3634189728255955E-2</v>
      </c>
      <c r="D89" s="523">
        <f t="shared" si="8"/>
        <v>4.8509885399753983E-3</v>
      </c>
      <c r="E89" s="523">
        <f t="shared" si="9"/>
        <v>-8.783201188280557E-3</v>
      </c>
    </row>
    <row r="90" spans="1:5" s="506" customFormat="1" x14ac:dyDescent="0.2">
      <c r="A90" s="512"/>
      <c r="B90" s="516" t="s">
        <v>767</v>
      </c>
      <c r="C90" s="524">
        <f>SUM(C84+C85+C88)</f>
        <v>0.30109894430332623</v>
      </c>
      <c r="D90" s="524">
        <f>SUM(D84+D85+D88)</f>
        <v>0.33385168715995767</v>
      </c>
      <c r="E90" s="525">
        <f t="shared" si="9"/>
        <v>3.2752742856631434E-2</v>
      </c>
    </row>
    <row r="91" spans="1:5" s="506" customFormat="1" x14ac:dyDescent="0.2">
      <c r="A91" s="512"/>
      <c r="B91" s="516" t="s">
        <v>768</v>
      </c>
      <c r="C91" s="524">
        <f>SUM(C83+C90)</f>
        <v>0.42474107469311451</v>
      </c>
      <c r="D91" s="524">
        <f>SUM(D83+D90)</f>
        <v>0.44639230658063667</v>
      </c>
      <c r="E91" s="525">
        <f t="shared" si="9"/>
        <v>2.165123188752216E-2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769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623</v>
      </c>
      <c r="C95" s="523">
        <f t="shared" ref="C95:D101" si="10">IF(C$44=0,0,C25/C$44)</f>
        <v>0.33393780148305269</v>
      </c>
      <c r="D95" s="523">
        <f t="shared" si="10"/>
        <v>0.3103645810443208</v>
      </c>
      <c r="E95" s="523">
        <f t="shared" ref="E95:E103" si="11">D95-C95</f>
        <v>-2.357322043873189E-2</v>
      </c>
    </row>
    <row r="96" spans="1:5" s="506" customFormat="1" x14ac:dyDescent="0.2">
      <c r="A96" s="512">
        <v>2</v>
      </c>
      <c r="B96" s="511" t="s">
        <v>602</v>
      </c>
      <c r="C96" s="523">
        <f t="shared" si="10"/>
        <v>0.18137913720339885</v>
      </c>
      <c r="D96" s="523">
        <f t="shared" si="10"/>
        <v>0.17405379276756797</v>
      </c>
      <c r="E96" s="523">
        <f t="shared" si="11"/>
        <v>-7.3253444358308828E-3</v>
      </c>
    </row>
    <row r="97" spans="1:5" s="506" customFormat="1" x14ac:dyDescent="0.2">
      <c r="A97" s="512">
        <v>3</v>
      </c>
      <c r="B97" s="511" t="s">
        <v>748</v>
      </c>
      <c r="C97" s="523">
        <f t="shared" si="10"/>
        <v>5.6605482356651735E-2</v>
      </c>
      <c r="D97" s="523">
        <f t="shared" si="10"/>
        <v>6.5825008288585687E-2</v>
      </c>
      <c r="E97" s="523">
        <f t="shared" si="11"/>
        <v>9.2195259319339529E-3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4.8206699640150986E-2</v>
      </c>
      <c r="D98" s="523">
        <f t="shared" si="10"/>
        <v>5.9241563476865787E-2</v>
      </c>
      <c r="E98" s="523">
        <f t="shared" si="11"/>
        <v>1.1034863836714801E-2</v>
      </c>
    </row>
    <row r="99" spans="1:5" s="506" customFormat="1" x14ac:dyDescent="0.2">
      <c r="A99" s="512">
        <v>5</v>
      </c>
      <c r="B99" s="511" t="s">
        <v>715</v>
      </c>
      <c r="C99" s="523">
        <f t="shared" si="10"/>
        <v>8.3987827165007446E-3</v>
      </c>
      <c r="D99" s="523">
        <f t="shared" si="10"/>
        <v>6.58344481171991E-3</v>
      </c>
      <c r="E99" s="523">
        <f t="shared" si="11"/>
        <v>-1.8153379047808347E-3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3.3365042637822167E-3</v>
      </c>
      <c r="D100" s="523">
        <f t="shared" si="10"/>
        <v>3.3643113188889249E-3</v>
      </c>
      <c r="E100" s="523">
        <f t="shared" si="11"/>
        <v>2.7807055106708178E-5</v>
      </c>
    </row>
    <row r="101" spans="1:5" s="506" customFormat="1" x14ac:dyDescent="0.2">
      <c r="A101" s="512">
        <v>7</v>
      </c>
      <c r="B101" s="511" t="s">
        <v>730</v>
      </c>
      <c r="C101" s="523">
        <f t="shared" si="10"/>
        <v>2.4448505169124484E-2</v>
      </c>
      <c r="D101" s="523">
        <f t="shared" si="10"/>
        <v>1.5271205120030922E-2</v>
      </c>
      <c r="E101" s="523">
        <f t="shared" si="11"/>
        <v>-9.1773000490935619E-3</v>
      </c>
    </row>
    <row r="102" spans="1:5" s="506" customFormat="1" x14ac:dyDescent="0.2">
      <c r="A102" s="512"/>
      <c r="B102" s="516" t="s">
        <v>770</v>
      </c>
      <c r="C102" s="524">
        <f>SUM(C96+C97+C100)</f>
        <v>0.24132112382383278</v>
      </c>
      <c r="D102" s="524">
        <f>SUM(D96+D97+D100)</f>
        <v>0.24324311237504259</v>
      </c>
      <c r="E102" s="525">
        <f t="shared" si="11"/>
        <v>1.9219885512098134E-3</v>
      </c>
    </row>
    <row r="103" spans="1:5" s="506" customFormat="1" x14ac:dyDescent="0.2">
      <c r="A103" s="512"/>
      <c r="B103" s="516" t="s">
        <v>771</v>
      </c>
      <c r="C103" s="524">
        <f>SUM(C95+C102)</f>
        <v>0.57525892530688549</v>
      </c>
      <c r="D103" s="524">
        <f>SUM(D95+D102)</f>
        <v>0.55360769341936344</v>
      </c>
      <c r="E103" s="525">
        <f t="shared" si="11"/>
        <v>-2.1651231887522049E-2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772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773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623</v>
      </c>
      <c r="C109" s="523">
        <f t="shared" ref="C109:D115" si="12">IF(C$77=0,0,C47/C$77)</f>
        <v>0.13804596782837214</v>
      </c>
      <c r="D109" s="523">
        <f t="shared" si="12"/>
        <v>0.15141968595981811</v>
      </c>
      <c r="E109" s="523">
        <f t="shared" ref="E109:E117" si="13">D109-C109</f>
        <v>1.3373718131445972E-2</v>
      </c>
    </row>
    <row r="110" spans="1:5" s="506" customFormat="1" x14ac:dyDescent="0.2">
      <c r="A110" s="512">
        <v>2</v>
      </c>
      <c r="B110" s="511" t="s">
        <v>602</v>
      </c>
      <c r="C110" s="523">
        <f t="shared" si="12"/>
        <v>0.2309036847310128</v>
      </c>
      <c r="D110" s="523">
        <f t="shared" si="12"/>
        <v>0.23646708871284611</v>
      </c>
      <c r="E110" s="523">
        <f t="shared" si="13"/>
        <v>5.5634039818333036E-3</v>
      </c>
    </row>
    <row r="111" spans="1:5" s="506" customFormat="1" x14ac:dyDescent="0.2">
      <c r="A111" s="512">
        <v>3</v>
      </c>
      <c r="B111" s="511" t="s">
        <v>748</v>
      </c>
      <c r="C111" s="523">
        <f t="shared" si="12"/>
        <v>2.4321623845482681E-2</v>
      </c>
      <c r="D111" s="523">
        <f t="shared" si="12"/>
        <v>3.594806321236596E-2</v>
      </c>
      <c r="E111" s="523">
        <f t="shared" si="13"/>
        <v>1.162643936688328E-2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2.1986519428747325E-2</v>
      </c>
      <c r="D112" s="523">
        <f t="shared" si="12"/>
        <v>3.3536204616856954E-2</v>
      </c>
      <c r="E112" s="523">
        <f t="shared" si="13"/>
        <v>1.1549685188109629E-2</v>
      </c>
    </row>
    <row r="113" spans="1:5" s="506" customFormat="1" x14ac:dyDescent="0.2">
      <c r="A113" s="512">
        <v>5</v>
      </c>
      <c r="B113" s="511" t="s">
        <v>715</v>
      </c>
      <c r="C113" s="523">
        <f t="shared" si="12"/>
        <v>2.3351044167353539E-3</v>
      </c>
      <c r="D113" s="523">
        <f t="shared" si="12"/>
        <v>2.4118585955090069E-3</v>
      </c>
      <c r="E113" s="523">
        <f t="shared" si="13"/>
        <v>7.6754178773653058E-5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6.3013858742737153E-4</v>
      </c>
      <c r="D114" s="523">
        <f t="shared" si="12"/>
        <v>1.5735757571805184E-3</v>
      </c>
      <c r="E114" s="523">
        <f t="shared" si="13"/>
        <v>9.4343716975314686E-4</v>
      </c>
    </row>
    <row r="115" spans="1:5" s="506" customFormat="1" x14ac:dyDescent="0.2">
      <c r="A115" s="512">
        <v>7</v>
      </c>
      <c r="B115" s="511" t="s">
        <v>730</v>
      </c>
      <c r="C115" s="523">
        <f t="shared" si="12"/>
        <v>4.1613848190214816E-4</v>
      </c>
      <c r="D115" s="523">
        <f t="shared" si="12"/>
        <v>1.022888641436283E-3</v>
      </c>
      <c r="E115" s="523">
        <f t="shared" si="13"/>
        <v>6.067501595341349E-4</v>
      </c>
    </row>
    <row r="116" spans="1:5" s="506" customFormat="1" x14ac:dyDescent="0.2">
      <c r="A116" s="512"/>
      <c r="B116" s="516" t="s">
        <v>767</v>
      </c>
      <c r="C116" s="524">
        <f>SUM(C110+C111+C114)</f>
        <v>0.25585544716392289</v>
      </c>
      <c r="D116" s="524">
        <f>SUM(D110+D111+D114)</f>
        <v>0.27398872768239257</v>
      </c>
      <c r="E116" s="525">
        <f t="shared" si="13"/>
        <v>1.8133280518469685E-2</v>
      </c>
    </row>
    <row r="117" spans="1:5" s="506" customFormat="1" x14ac:dyDescent="0.2">
      <c r="A117" s="512"/>
      <c r="B117" s="516" t="s">
        <v>768</v>
      </c>
      <c r="C117" s="524">
        <f>SUM(C109+C116)</f>
        <v>0.39390141499229503</v>
      </c>
      <c r="D117" s="524">
        <f>SUM(D109+D116)</f>
        <v>0.42540841364221071</v>
      </c>
      <c r="E117" s="525">
        <f t="shared" si="13"/>
        <v>3.1506998649915685E-2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774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623</v>
      </c>
      <c r="C121" s="523">
        <f t="shared" ref="C121:D127" si="14">IF(C$77=0,0,C58/C$77)</f>
        <v>0.45520330443798235</v>
      </c>
      <c r="D121" s="523">
        <f t="shared" si="14"/>
        <v>0.41776402477496938</v>
      </c>
      <c r="E121" s="523">
        <f t="shared" ref="E121:E129" si="15">D121-C121</f>
        <v>-3.743927966301297E-2</v>
      </c>
    </row>
    <row r="122" spans="1:5" s="506" customFormat="1" x14ac:dyDescent="0.2">
      <c r="A122" s="512">
        <v>2</v>
      </c>
      <c r="B122" s="511" t="s">
        <v>602</v>
      </c>
      <c r="C122" s="523">
        <f t="shared" si="14"/>
        <v>0.11296494094018242</v>
      </c>
      <c r="D122" s="523">
        <f t="shared" si="14"/>
        <v>0.11433845647180045</v>
      </c>
      <c r="E122" s="523">
        <f t="shared" si="15"/>
        <v>1.3735155316180331E-3</v>
      </c>
    </row>
    <row r="123" spans="1:5" s="506" customFormat="1" x14ac:dyDescent="0.2">
      <c r="A123" s="512">
        <v>3</v>
      </c>
      <c r="B123" s="511" t="s">
        <v>748</v>
      </c>
      <c r="C123" s="523">
        <f t="shared" si="14"/>
        <v>3.6145291354905226E-2</v>
      </c>
      <c r="D123" s="523">
        <f t="shared" si="14"/>
        <v>3.8970720342506288E-2</v>
      </c>
      <c r="E123" s="523">
        <f t="shared" si="15"/>
        <v>2.8254289876010613E-3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3.4331440530503216E-2</v>
      </c>
      <c r="D124" s="523">
        <f t="shared" si="14"/>
        <v>3.6092415396479401E-2</v>
      </c>
      <c r="E124" s="523">
        <f t="shared" si="15"/>
        <v>1.7609748659761851E-3</v>
      </c>
    </row>
    <row r="125" spans="1:5" s="506" customFormat="1" x14ac:dyDescent="0.2">
      <c r="A125" s="512">
        <v>5</v>
      </c>
      <c r="B125" s="511" t="s">
        <v>715</v>
      </c>
      <c r="C125" s="523">
        <f t="shared" si="14"/>
        <v>1.813850824402006E-3</v>
      </c>
      <c r="D125" s="523">
        <f t="shared" si="14"/>
        <v>2.8783049460268913E-3</v>
      </c>
      <c r="E125" s="523">
        <f t="shared" si="15"/>
        <v>1.0644541216248853E-3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1.7850482746349936E-3</v>
      </c>
      <c r="D126" s="523">
        <f t="shared" si="14"/>
        <v>3.5183847685131596E-3</v>
      </c>
      <c r="E126" s="523">
        <f t="shared" si="15"/>
        <v>1.733336493878166E-3</v>
      </c>
    </row>
    <row r="127" spans="1:5" s="506" customFormat="1" x14ac:dyDescent="0.2">
      <c r="A127" s="512">
        <v>7</v>
      </c>
      <c r="B127" s="511" t="s">
        <v>730</v>
      </c>
      <c r="C127" s="523">
        <f t="shared" si="14"/>
        <v>1.2495211733836994E-2</v>
      </c>
      <c r="D127" s="523">
        <f t="shared" si="14"/>
        <v>2.5858507469500016E-3</v>
      </c>
      <c r="E127" s="523">
        <f t="shared" si="15"/>
        <v>-9.9093609868869913E-3</v>
      </c>
    </row>
    <row r="128" spans="1:5" s="506" customFormat="1" x14ac:dyDescent="0.2">
      <c r="A128" s="512"/>
      <c r="B128" s="516" t="s">
        <v>770</v>
      </c>
      <c r="C128" s="524">
        <f>SUM(C122+C123+C126)</f>
        <v>0.15089528056972262</v>
      </c>
      <c r="D128" s="524">
        <f>SUM(D122+D123+D126)</f>
        <v>0.15682756158281988</v>
      </c>
      <c r="E128" s="525">
        <f t="shared" si="15"/>
        <v>5.932281013097257E-3</v>
      </c>
    </row>
    <row r="129" spans="1:5" s="506" customFormat="1" x14ac:dyDescent="0.2">
      <c r="A129" s="512"/>
      <c r="B129" s="516" t="s">
        <v>771</v>
      </c>
      <c r="C129" s="524">
        <f>SUM(C121+C128)</f>
        <v>0.60609858500770497</v>
      </c>
      <c r="D129" s="524">
        <f>SUM(D121+D128)</f>
        <v>0.57459158635778929</v>
      </c>
      <c r="E129" s="525">
        <f t="shared" si="15"/>
        <v>-3.1506998649915685E-2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775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776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777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623</v>
      </c>
      <c r="C137" s="530">
        <v>1333</v>
      </c>
      <c r="D137" s="530">
        <v>1143</v>
      </c>
      <c r="E137" s="531">
        <f t="shared" ref="E137:E145" si="16">D137-C137</f>
        <v>-190</v>
      </c>
    </row>
    <row r="138" spans="1:5" s="506" customFormat="1" x14ac:dyDescent="0.2">
      <c r="A138" s="512">
        <v>2</v>
      </c>
      <c r="B138" s="511" t="s">
        <v>602</v>
      </c>
      <c r="C138" s="530">
        <v>1807</v>
      </c>
      <c r="D138" s="530">
        <v>1733</v>
      </c>
      <c r="E138" s="531">
        <f t="shared" si="16"/>
        <v>-74</v>
      </c>
    </row>
    <row r="139" spans="1:5" s="506" customFormat="1" x14ac:dyDescent="0.2">
      <c r="A139" s="512">
        <v>3</v>
      </c>
      <c r="B139" s="511" t="s">
        <v>748</v>
      </c>
      <c r="C139" s="530">
        <f>C140+C141</f>
        <v>456</v>
      </c>
      <c r="D139" s="530">
        <f>D140+D141</f>
        <v>541</v>
      </c>
      <c r="E139" s="531">
        <f t="shared" si="16"/>
        <v>85</v>
      </c>
    </row>
    <row r="140" spans="1:5" s="506" customFormat="1" x14ac:dyDescent="0.2">
      <c r="A140" s="512">
        <v>4</v>
      </c>
      <c r="B140" s="511" t="s">
        <v>114</v>
      </c>
      <c r="C140" s="530">
        <v>404</v>
      </c>
      <c r="D140" s="530">
        <v>509</v>
      </c>
      <c r="E140" s="531">
        <f t="shared" si="16"/>
        <v>105</v>
      </c>
    </row>
    <row r="141" spans="1:5" s="506" customFormat="1" x14ac:dyDescent="0.2">
      <c r="A141" s="512">
        <v>5</v>
      </c>
      <c r="B141" s="511" t="s">
        <v>715</v>
      </c>
      <c r="C141" s="530">
        <v>52</v>
      </c>
      <c r="D141" s="530">
        <v>32</v>
      </c>
      <c r="E141" s="531">
        <f t="shared" si="16"/>
        <v>-20</v>
      </c>
    </row>
    <row r="142" spans="1:5" s="506" customFormat="1" x14ac:dyDescent="0.2">
      <c r="A142" s="512">
        <v>6</v>
      </c>
      <c r="B142" s="511" t="s">
        <v>418</v>
      </c>
      <c r="C142" s="530">
        <v>22</v>
      </c>
      <c r="D142" s="530">
        <v>20</v>
      </c>
      <c r="E142" s="531">
        <f t="shared" si="16"/>
        <v>-2</v>
      </c>
    </row>
    <row r="143" spans="1:5" s="506" customFormat="1" x14ac:dyDescent="0.2">
      <c r="A143" s="512">
        <v>7</v>
      </c>
      <c r="B143" s="511" t="s">
        <v>730</v>
      </c>
      <c r="C143" s="530">
        <v>114</v>
      </c>
      <c r="D143" s="530">
        <v>46</v>
      </c>
      <c r="E143" s="531">
        <f t="shared" si="16"/>
        <v>-68</v>
      </c>
    </row>
    <row r="144" spans="1:5" s="506" customFormat="1" x14ac:dyDescent="0.2">
      <c r="A144" s="512"/>
      <c r="B144" s="516" t="s">
        <v>778</v>
      </c>
      <c r="C144" s="532">
        <f>SUM(C138+C139+C142)</f>
        <v>2285</v>
      </c>
      <c r="D144" s="532">
        <f>SUM(D138+D139+D142)</f>
        <v>2294</v>
      </c>
      <c r="E144" s="533">
        <f t="shared" si="16"/>
        <v>9</v>
      </c>
    </row>
    <row r="145" spans="1:5" s="506" customFormat="1" x14ac:dyDescent="0.2">
      <c r="A145" s="512"/>
      <c r="B145" s="516" t="s">
        <v>692</v>
      </c>
      <c r="C145" s="532">
        <f>SUM(C137+C144)</f>
        <v>3618</v>
      </c>
      <c r="D145" s="532">
        <f>SUM(D137+D144)</f>
        <v>3437</v>
      </c>
      <c r="E145" s="533">
        <f t="shared" si="16"/>
        <v>-181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623</v>
      </c>
      <c r="C149" s="534">
        <v>5221</v>
      </c>
      <c r="D149" s="534">
        <v>4527</v>
      </c>
      <c r="E149" s="531">
        <f t="shared" ref="E149:E157" si="17">D149-C149</f>
        <v>-694</v>
      </c>
    </row>
    <row r="150" spans="1:5" s="506" customFormat="1" x14ac:dyDescent="0.2">
      <c r="A150" s="512">
        <v>2</v>
      </c>
      <c r="B150" s="511" t="s">
        <v>602</v>
      </c>
      <c r="C150" s="534">
        <v>10623</v>
      </c>
      <c r="D150" s="534">
        <v>10783</v>
      </c>
      <c r="E150" s="531">
        <f t="shared" si="17"/>
        <v>160</v>
      </c>
    </row>
    <row r="151" spans="1:5" s="506" customFormat="1" x14ac:dyDescent="0.2">
      <c r="A151" s="512">
        <v>3</v>
      </c>
      <c r="B151" s="511" t="s">
        <v>748</v>
      </c>
      <c r="C151" s="534">
        <f>C152+C153</f>
        <v>2053</v>
      </c>
      <c r="D151" s="534">
        <f>D152+D153</f>
        <v>2348</v>
      </c>
      <c r="E151" s="531">
        <f t="shared" si="17"/>
        <v>295</v>
      </c>
    </row>
    <row r="152" spans="1:5" s="506" customFormat="1" x14ac:dyDescent="0.2">
      <c r="A152" s="512">
        <v>4</v>
      </c>
      <c r="B152" s="511" t="s">
        <v>114</v>
      </c>
      <c r="C152" s="534">
        <v>1718</v>
      </c>
      <c r="D152" s="534">
        <v>2146</v>
      </c>
      <c r="E152" s="531">
        <f t="shared" si="17"/>
        <v>428</v>
      </c>
    </row>
    <row r="153" spans="1:5" s="506" customFormat="1" x14ac:dyDescent="0.2">
      <c r="A153" s="512">
        <v>5</v>
      </c>
      <c r="B153" s="511" t="s">
        <v>715</v>
      </c>
      <c r="C153" s="535">
        <v>335</v>
      </c>
      <c r="D153" s="534">
        <v>202</v>
      </c>
      <c r="E153" s="531">
        <f t="shared" si="17"/>
        <v>-133</v>
      </c>
    </row>
    <row r="154" spans="1:5" s="506" customFormat="1" x14ac:dyDescent="0.2">
      <c r="A154" s="512">
        <v>6</v>
      </c>
      <c r="B154" s="511" t="s">
        <v>418</v>
      </c>
      <c r="C154" s="534">
        <v>101</v>
      </c>
      <c r="D154" s="534">
        <v>79</v>
      </c>
      <c r="E154" s="531">
        <f t="shared" si="17"/>
        <v>-22</v>
      </c>
    </row>
    <row r="155" spans="1:5" s="506" customFormat="1" x14ac:dyDescent="0.2">
      <c r="A155" s="512">
        <v>7</v>
      </c>
      <c r="B155" s="511" t="s">
        <v>730</v>
      </c>
      <c r="C155" s="534">
        <v>638</v>
      </c>
      <c r="D155" s="534">
        <v>177</v>
      </c>
      <c r="E155" s="531">
        <f t="shared" si="17"/>
        <v>-461</v>
      </c>
    </row>
    <row r="156" spans="1:5" s="506" customFormat="1" x14ac:dyDescent="0.2">
      <c r="A156" s="512"/>
      <c r="B156" s="516" t="s">
        <v>779</v>
      </c>
      <c r="C156" s="532">
        <f>SUM(C150+C151+C154)</f>
        <v>12777</v>
      </c>
      <c r="D156" s="532">
        <f>SUM(D150+D151+D154)</f>
        <v>13210</v>
      </c>
      <c r="E156" s="533">
        <f t="shared" si="17"/>
        <v>433</v>
      </c>
    </row>
    <row r="157" spans="1:5" s="506" customFormat="1" x14ac:dyDescent="0.2">
      <c r="A157" s="512"/>
      <c r="B157" s="516" t="s">
        <v>780</v>
      </c>
      <c r="C157" s="532">
        <f>SUM(C149+C156)</f>
        <v>17998</v>
      </c>
      <c r="D157" s="532">
        <f>SUM(D149+D156)</f>
        <v>17737</v>
      </c>
      <c r="E157" s="533">
        <f t="shared" si="17"/>
        <v>-261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781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623</v>
      </c>
      <c r="C161" s="536">
        <f t="shared" ref="C161:D169" si="18">IF(C137=0,0,C149/C137)</f>
        <v>3.9167291822955739</v>
      </c>
      <c r="D161" s="536">
        <f t="shared" si="18"/>
        <v>3.9606299212598426</v>
      </c>
      <c r="E161" s="537">
        <f t="shared" ref="E161:E169" si="19">D161-C161</f>
        <v>4.3900738964268715E-2</v>
      </c>
    </row>
    <row r="162" spans="1:5" s="506" customFormat="1" x14ac:dyDescent="0.2">
      <c r="A162" s="512">
        <v>2</v>
      </c>
      <c r="B162" s="511" t="s">
        <v>602</v>
      </c>
      <c r="C162" s="536">
        <f t="shared" si="18"/>
        <v>5.8788046485888215</v>
      </c>
      <c r="D162" s="536">
        <f t="shared" si="18"/>
        <v>6.2221581073283323</v>
      </c>
      <c r="E162" s="537">
        <f t="shared" si="19"/>
        <v>0.34335345873951084</v>
      </c>
    </row>
    <row r="163" spans="1:5" s="506" customFormat="1" x14ac:dyDescent="0.2">
      <c r="A163" s="512">
        <v>3</v>
      </c>
      <c r="B163" s="511" t="s">
        <v>748</v>
      </c>
      <c r="C163" s="536">
        <f t="shared" si="18"/>
        <v>4.5021929824561404</v>
      </c>
      <c r="D163" s="536">
        <f t="shared" si="18"/>
        <v>4.3401109057301293</v>
      </c>
      <c r="E163" s="537">
        <f t="shared" si="19"/>
        <v>-0.16208207672601116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4.2524752475247523</v>
      </c>
      <c r="D164" s="536">
        <f t="shared" si="18"/>
        <v>4.216110019646365</v>
      </c>
      <c r="E164" s="537">
        <f t="shared" si="19"/>
        <v>-3.6365227878387252E-2</v>
      </c>
    </row>
    <row r="165" spans="1:5" s="506" customFormat="1" x14ac:dyDescent="0.2">
      <c r="A165" s="512">
        <v>5</v>
      </c>
      <c r="B165" s="511" t="s">
        <v>715</v>
      </c>
      <c r="C165" s="536">
        <f t="shared" si="18"/>
        <v>6.4423076923076925</v>
      </c>
      <c r="D165" s="536">
        <f t="shared" si="18"/>
        <v>6.3125</v>
      </c>
      <c r="E165" s="537">
        <f t="shared" si="19"/>
        <v>-0.12980769230769251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4.5909090909090908</v>
      </c>
      <c r="D166" s="536">
        <f t="shared" si="18"/>
        <v>3.95</v>
      </c>
      <c r="E166" s="537">
        <f t="shared" si="19"/>
        <v>-0.64090909090909065</v>
      </c>
    </row>
    <row r="167" spans="1:5" s="506" customFormat="1" x14ac:dyDescent="0.2">
      <c r="A167" s="512">
        <v>7</v>
      </c>
      <c r="B167" s="511" t="s">
        <v>730</v>
      </c>
      <c r="C167" s="536">
        <f t="shared" si="18"/>
        <v>5.5964912280701755</v>
      </c>
      <c r="D167" s="536">
        <f t="shared" si="18"/>
        <v>3.847826086956522</v>
      </c>
      <c r="E167" s="537">
        <f t="shared" si="19"/>
        <v>-1.7486651411136536</v>
      </c>
    </row>
    <row r="168" spans="1:5" s="506" customFormat="1" x14ac:dyDescent="0.2">
      <c r="A168" s="512"/>
      <c r="B168" s="516" t="s">
        <v>782</v>
      </c>
      <c r="C168" s="538">
        <f t="shared" si="18"/>
        <v>5.5916849015317283</v>
      </c>
      <c r="D168" s="538">
        <f t="shared" si="18"/>
        <v>5.7585004359197907</v>
      </c>
      <c r="E168" s="539">
        <f t="shared" si="19"/>
        <v>0.1668155343880624</v>
      </c>
    </row>
    <row r="169" spans="1:5" s="506" customFormat="1" x14ac:dyDescent="0.2">
      <c r="A169" s="512"/>
      <c r="B169" s="516" t="s">
        <v>716</v>
      </c>
      <c r="C169" s="538">
        <f t="shared" si="18"/>
        <v>4.9745715865118854</v>
      </c>
      <c r="D169" s="538">
        <f t="shared" si="18"/>
        <v>5.1606051789351177</v>
      </c>
      <c r="E169" s="539">
        <f t="shared" si="19"/>
        <v>0.18603359242323236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783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623</v>
      </c>
      <c r="C173" s="541">
        <f t="shared" ref="C173:D181" si="20">IF(C137=0,0,C203/C137)</f>
        <v>1.0234000000000001</v>
      </c>
      <c r="D173" s="541">
        <f t="shared" si="20"/>
        <v>1.1677</v>
      </c>
      <c r="E173" s="542">
        <f t="shared" ref="E173:E181" si="21">D173-C173</f>
        <v>0.14429999999999987</v>
      </c>
    </row>
    <row r="174" spans="1:5" s="506" customFormat="1" x14ac:dyDescent="0.2">
      <c r="A174" s="512">
        <v>2</v>
      </c>
      <c r="B174" s="511" t="s">
        <v>602</v>
      </c>
      <c r="C174" s="541">
        <f t="shared" si="20"/>
        <v>1.2925199999999999</v>
      </c>
      <c r="D174" s="541">
        <f t="shared" si="20"/>
        <v>1.3520000000000001</v>
      </c>
      <c r="E174" s="542">
        <f t="shared" si="21"/>
        <v>5.9480000000000199E-2</v>
      </c>
    </row>
    <row r="175" spans="1:5" s="506" customFormat="1" x14ac:dyDescent="0.2">
      <c r="A175" s="512">
        <v>0</v>
      </c>
      <c r="B175" s="511" t="s">
        <v>748</v>
      </c>
      <c r="C175" s="541">
        <f t="shared" si="20"/>
        <v>0.96263184210526309</v>
      </c>
      <c r="D175" s="541">
        <f t="shared" si="20"/>
        <v>0.86672717190388171</v>
      </c>
      <c r="E175" s="542">
        <f t="shared" si="21"/>
        <v>-9.5904670201381381E-2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0.92720000000000002</v>
      </c>
      <c r="D176" s="541">
        <f t="shared" si="20"/>
        <v>0.85540000000000005</v>
      </c>
      <c r="E176" s="542">
        <f t="shared" si="21"/>
        <v>-7.1799999999999975E-2</v>
      </c>
    </row>
    <row r="177" spans="1:5" s="506" customFormat="1" x14ac:dyDescent="0.2">
      <c r="A177" s="512">
        <v>5</v>
      </c>
      <c r="B177" s="511" t="s">
        <v>715</v>
      </c>
      <c r="C177" s="541">
        <f t="shared" si="20"/>
        <v>1.2379099999999998</v>
      </c>
      <c r="D177" s="541">
        <f t="shared" si="20"/>
        <v>1.0468999999999999</v>
      </c>
      <c r="E177" s="542">
        <f t="shared" si="21"/>
        <v>-0.1910099999999999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1.1757</v>
      </c>
      <c r="D178" s="541">
        <f t="shared" si="20"/>
        <v>0.79500000000000004</v>
      </c>
      <c r="E178" s="542">
        <f t="shared" si="21"/>
        <v>-0.38069999999999993</v>
      </c>
    </row>
    <row r="179" spans="1:5" s="506" customFormat="1" x14ac:dyDescent="0.2">
      <c r="A179" s="512">
        <v>7</v>
      </c>
      <c r="B179" s="511" t="s">
        <v>730</v>
      </c>
      <c r="C179" s="541">
        <f t="shared" si="20"/>
        <v>1.1298000000000001</v>
      </c>
      <c r="D179" s="541">
        <f t="shared" si="20"/>
        <v>0.92269999999999985</v>
      </c>
      <c r="E179" s="542">
        <f t="shared" si="21"/>
        <v>-0.20710000000000028</v>
      </c>
    </row>
    <row r="180" spans="1:5" s="506" customFormat="1" x14ac:dyDescent="0.2">
      <c r="A180" s="512"/>
      <c r="B180" s="516" t="s">
        <v>784</v>
      </c>
      <c r="C180" s="543">
        <f t="shared" si="20"/>
        <v>1.2255619956236323</v>
      </c>
      <c r="D180" s="543">
        <f t="shared" si="20"/>
        <v>1.2327006974716652</v>
      </c>
      <c r="E180" s="544">
        <f t="shared" si="21"/>
        <v>7.1387018480328912E-3</v>
      </c>
    </row>
    <row r="181" spans="1:5" s="506" customFormat="1" x14ac:dyDescent="0.2">
      <c r="A181" s="512"/>
      <c r="B181" s="516" t="s">
        <v>693</v>
      </c>
      <c r="C181" s="543">
        <f t="shared" si="20"/>
        <v>1.1510783195135432</v>
      </c>
      <c r="D181" s="543">
        <f t="shared" si="20"/>
        <v>1.2110842304335177</v>
      </c>
      <c r="E181" s="544">
        <f t="shared" si="21"/>
        <v>6.0005910919974426E-2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785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786</v>
      </c>
      <c r="C185" s="513">
        <v>82051367</v>
      </c>
      <c r="D185" s="513">
        <v>64018828</v>
      </c>
      <c r="E185" s="514">
        <f>D185-C185</f>
        <v>-18032539</v>
      </c>
    </row>
    <row r="186" spans="1:5" s="506" customFormat="1" ht="25.5" x14ac:dyDescent="0.2">
      <c r="A186" s="512">
        <v>2</v>
      </c>
      <c r="B186" s="511" t="s">
        <v>787</v>
      </c>
      <c r="C186" s="513">
        <v>36791779</v>
      </c>
      <c r="D186" s="513">
        <v>35208809</v>
      </c>
      <c r="E186" s="514">
        <f>D186-C186</f>
        <v>-1582970</v>
      </c>
    </row>
    <row r="187" spans="1:5" s="506" customFormat="1" x14ac:dyDescent="0.2">
      <c r="A187" s="512"/>
      <c r="B187" s="511" t="s">
        <v>635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719</v>
      </c>
      <c r="C188" s="546">
        <f>+C185-C186</f>
        <v>45259588</v>
      </c>
      <c r="D188" s="546">
        <f>+D185-D186</f>
        <v>28810019</v>
      </c>
      <c r="E188" s="514">
        <f t="shared" ref="E188:E197" si="22">D188-C188</f>
        <v>-16449569</v>
      </c>
    </row>
    <row r="189" spans="1:5" s="506" customFormat="1" x14ac:dyDescent="0.2">
      <c r="A189" s="512">
        <v>4</v>
      </c>
      <c r="B189" s="511" t="s">
        <v>637</v>
      </c>
      <c r="C189" s="547">
        <f>IF(C185=0,0,+C188/C185)</f>
        <v>0.55160065767094413</v>
      </c>
      <c r="D189" s="547">
        <f>IF(D185=0,0,+D188/D185)</f>
        <v>0.4500241553937851</v>
      </c>
      <c r="E189" s="523">
        <f t="shared" si="22"/>
        <v>-0.10157650227715903</v>
      </c>
    </row>
    <row r="190" spans="1:5" s="506" customFormat="1" x14ac:dyDescent="0.2">
      <c r="A190" s="512">
        <v>5</v>
      </c>
      <c r="B190" s="511" t="s">
        <v>734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720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788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789</v>
      </c>
      <c r="C193" s="513">
        <v>559676</v>
      </c>
      <c r="D193" s="513">
        <v>280655</v>
      </c>
      <c r="E193" s="546">
        <f t="shared" si="22"/>
        <v>-279021</v>
      </c>
    </row>
    <row r="194" spans="1:5" s="506" customFormat="1" x14ac:dyDescent="0.2">
      <c r="A194" s="512">
        <v>9</v>
      </c>
      <c r="B194" s="511" t="s">
        <v>790</v>
      </c>
      <c r="C194" s="513">
        <v>7812094</v>
      </c>
      <c r="D194" s="513">
        <v>2544094</v>
      </c>
      <c r="E194" s="546">
        <f t="shared" si="22"/>
        <v>-5268000</v>
      </c>
    </row>
    <row r="195" spans="1:5" s="506" customFormat="1" x14ac:dyDescent="0.2">
      <c r="A195" s="512">
        <v>10</v>
      </c>
      <c r="B195" s="511" t="s">
        <v>791</v>
      </c>
      <c r="C195" s="513">
        <f>+C193+C194</f>
        <v>8371770</v>
      </c>
      <c r="D195" s="513">
        <f>+D193+D194</f>
        <v>2824749</v>
      </c>
      <c r="E195" s="549">
        <f t="shared" si="22"/>
        <v>-5547021</v>
      </c>
    </row>
    <row r="196" spans="1:5" s="506" customFormat="1" x14ac:dyDescent="0.2">
      <c r="A196" s="512">
        <v>11</v>
      </c>
      <c r="B196" s="511" t="s">
        <v>792</v>
      </c>
      <c r="C196" s="513">
        <v>82051367</v>
      </c>
      <c r="D196" s="513">
        <v>64018828</v>
      </c>
      <c r="E196" s="546">
        <f t="shared" si="22"/>
        <v>-18032539</v>
      </c>
    </row>
    <row r="197" spans="1:5" s="506" customFormat="1" x14ac:dyDescent="0.2">
      <c r="A197" s="512">
        <v>12</v>
      </c>
      <c r="B197" s="511" t="s">
        <v>677</v>
      </c>
      <c r="C197" s="513">
        <v>69149506</v>
      </c>
      <c r="D197" s="513">
        <v>67684735</v>
      </c>
      <c r="E197" s="546">
        <f t="shared" si="22"/>
        <v>-1464771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793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794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623</v>
      </c>
      <c r="C203" s="553">
        <v>1364.1922000000002</v>
      </c>
      <c r="D203" s="553">
        <v>1334.6811</v>
      </c>
      <c r="E203" s="554">
        <f t="shared" ref="E203:E211" si="23">D203-C203</f>
        <v>-29.51110000000017</v>
      </c>
    </row>
    <row r="204" spans="1:5" s="506" customFormat="1" x14ac:dyDescent="0.2">
      <c r="A204" s="512">
        <v>2</v>
      </c>
      <c r="B204" s="511" t="s">
        <v>602</v>
      </c>
      <c r="C204" s="553">
        <v>2335.5836399999998</v>
      </c>
      <c r="D204" s="553">
        <v>2343.0160000000001</v>
      </c>
      <c r="E204" s="554">
        <f t="shared" si="23"/>
        <v>7.4323600000002443</v>
      </c>
    </row>
    <row r="205" spans="1:5" s="506" customFormat="1" x14ac:dyDescent="0.2">
      <c r="A205" s="512">
        <v>3</v>
      </c>
      <c r="B205" s="511" t="s">
        <v>748</v>
      </c>
      <c r="C205" s="553">
        <f>C206+C207</f>
        <v>438.96011999999996</v>
      </c>
      <c r="D205" s="553">
        <f>D206+D207</f>
        <v>468.89940000000001</v>
      </c>
      <c r="E205" s="554">
        <f t="shared" si="23"/>
        <v>29.939280000000053</v>
      </c>
    </row>
    <row r="206" spans="1:5" s="506" customFormat="1" x14ac:dyDescent="0.2">
      <c r="A206" s="512">
        <v>4</v>
      </c>
      <c r="B206" s="511" t="s">
        <v>114</v>
      </c>
      <c r="C206" s="553">
        <v>374.58879999999999</v>
      </c>
      <c r="D206" s="553">
        <v>435.39860000000004</v>
      </c>
      <c r="E206" s="554">
        <f t="shared" si="23"/>
        <v>60.809800000000052</v>
      </c>
    </row>
    <row r="207" spans="1:5" s="506" customFormat="1" x14ac:dyDescent="0.2">
      <c r="A207" s="512">
        <v>5</v>
      </c>
      <c r="B207" s="511" t="s">
        <v>715</v>
      </c>
      <c r="C207" s="553">
        <v>64.371319999999997</v>
      </c>
      <c r="D207" s="553">
        <v>33.500799999999998</v>
      </c>
      <c r="E207" s="554">
        <f t="shared" si="23"/>
        <v>-30.870519999999999</v>
      </c>
    </row>
    <row r="208" spans="1:5" s="506" customFormat="1" x14ac:dyDescent="0.2">
      <c r="A208" s="512">
        <v>6</v>
      </c>
      <c r="B208" s="511" t="s">
        <v>418</v>
      </c>
      <c r="C208" s="553">
        <v>25.865400000000001</v>
      </c>
      <c r="D208" s="553">
        <v>15.9</v>
      </c>
      <c r="E208" s="554">
        <f t="shared" si="23"/>
        <v>-9.9654000000000007</v>
      </c>
    </row>
    <row r="209" spans="1:5" s="506" customFormat="1" x14ac:dyDescent="0.2">
      <c r="A209" s="512">
        <v>7</v>
      </c>
      <c r="B209" s="511" t="s">
        <v>730</v>
      </c>
      <c r="C209" s="553">
        <v>128.7972</v>
      </c>
      <c r="D209" s="553">
        <v>42.444199999999995</v>
      </c>
      <c r="E209" s="554">
        <f t="shared" si="23"/>
        <v>-86.353000000000009</v>
      </c>
    </row>
    <row r="210" spans="1:5" s="506" customFormat="1" x14ac:dyDescent="0.2">
      <c r="A210" s="512"/>
      <c r="B210" s="516" t="s">
        <v>795</v>
      </c>
      <c r="C210" s="555">
        <f>C204+C205+C208</f>
        <v>2800.4091599999997</v>
      </c>
      <c r="D210" s="555">
        <f>D204+D205+D208</f>
        <v>2827.8154</v>
      </c>
      <c r="E210" s="556">
        <f t="shared" si="23"/>
        <v>27.406240000000253</v>
      </c>
    </row>
    <row r="211" spans="1:5" s="506" customFormat="1" x14ac:dyDescent="0.2">
      <c r="A211" s="512"/>
      <c r="B211" s="516" t="s">
        <v>694</v>
      </c>
      <c r="C211" s="555">
        <f>C210+C203</f>
        <v>4164.6013599999997</v>
      </c>
      <c r="D211" s="555">
        <f>D210+D203</f>
        <v>4162.4965000000002</v>
      </c>
      <c r="E211" s="556">
        <f t="shared" si="23"/>
        <v>-2.1048599999994622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796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623</v>
      </c>
      <c r="C215" s="557">
        <f>IF(C14*C137=0,0,C25/C14*C137)</f>
        <v>3600.2217688548808</v>
      </c>
      <c r="D215" s="557">
        <f>IF(D14*D137=0,0,D25/D14*D137)</f>
        <v>3152.1660175656993</v>
      </c>
      <c r="E215" s="557">
        <f t="shared" ref="E215:E223" si="24">D215-C215</f>
        <v>-448.05575128918144</v>
      </c>
    </row>
    <row r="216" spans="1:5" s="506" customFormat="1" x14ac:dyDescent="0.2">
      <c r="A216" s="512">
        <v>2</v>
      </c>
      <c r="B216" s="511" t="s">
        <v>602</v>
      </c>
      <c r="C216" s="557">
        <f>IF(C15*C138=0,0,C26/C15*C138)</f>
        <v>1236.224818694539</v>
      </c>
      <c r="D216" s="557">
        <f>IF(D15*D138=0,0,D26/D15*D138)</f>
        <v>1066.4718754142048</v>
      </c>
      <c r="E216" s="557">
        <f t="shared" si="24"/>
        <v>-169.75294328033419</v>
      </c>
    </row>
    <row r="217" spans="1:5" s="506" customFormat="1" x14ac:dyDescent="0.2">
      <c r="A217" s="512">
        <v>3</v>
      </c>
      <c r="B217" s="511" t="s">
        <v>748</v>
      </c>
      <c r="C217" s="557">
        <f>C218+C219</f>
        <v>783.06217197184492</v>
      </c>
      <c r="D217" s="557">
        <f>D218+D219</f>
        <v>720.26590866571723</v>
      </c>
      <c r="E217" s="557">
        <f t="shared" si="24"/>
        <v>-62.796263306127685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717.56901659225309</v>
      </c>
      <c r="D218" s="557">
        <f t="shared" si="25"/>
        <v>675.502263931313</v>
      </c>
      <c r="E218" s="557">
        <f t="shared" si="24"/>
        <v>-42.066752660940097</v>
      </c>
    </row>
    <row r="219" spans="1:5" s="506" customFormat="1" x14ac:dyDescent="0.2">
      <c r="A219" s="512">
        <v>5</v>
      </c>
      <c r="B219" s="511" t="s">
        <v>715</v>
      </c>
      <c r="C219" s="557">
        <f t="shared" si="25"/>
        <v>65.493155379591798</v>
      </c>
      <c r="D219" s="557">
        <f t="shared" si="25"/>
        <v>44.76364473440421</v>
      </c>
      <c r="E219" s="557">
        <f t="shared" si="24"/>
        <v>-20.729510645187588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33.885959881329171</v>
      </c>
      <c r="D220" s="557">
        <f t="shared" si="25"/>
        <v>40.256817642874083</v>
      </c>
      <c r="E220" s="557">
        <f t="shared" si="24"/>
        <v>6.3708577615449116</v>
      </c>
    </row>
    <row r="221" spans="1:5" s="506" customFormat="1" x14ac:dyDescent="0.2">
      <c r="A221" s="512">
        <v>7</v>
      </c>
      <c r="B221" s="511" t="s">
        <v>730</v>
      </c>
      <c r="C221" s="557">
        <f t="shared" si="25"/>
        <v>204.42209216907477</v>
      </c>
      <c r="D221" s="557">
        <f t="shared" si="25"/>
        <v>144.81078026314714</v>
      </c>
      <c r="E221" s="557">
        <f t="shared" si="24"/>
        <v>-59.611311905927636</v>
      </c>
    </row>
    <row r="222" spans="1:5" s="506" customFormat="1" x14ac:dyDescent="0.2">
      <c r="A222" s="512"/>
      <c r="B222" s="516" t="s">
        <v>797</v>
      </c>
      <c r="C222" s="558">
        <f>C216+C218+C219+C220</f>
        <v>2053.1729505477128</v>
      </c>
      <c r="D222" s="558">
        <f>D216+D218+D219+D220</f>
        <v>1826.994601722796</v>
      </c>
      <c r="E222" s="558">
        <f t="shared" si="24"/>
        <v>-226.17834882491684</v>
      </c>
    </row>
    <row r="223" spans="1:5" s="506" customFormat="1" x14ac:dyDescent="0.2">
      <c r="A223" s="512"/>
      <c r="B223" s="516" t="s">
        <v>798</v>
      </c>
      <c r="C223" s="558">
        <f>C215+C222</f>
        <v>5653.3947194025932</v>
      </c>
      <c r="D223" s="558">
        <f>D215+D222</f>
        <v>4979.1606192884956</v>
      </c>
      <c r="E223" s="558">
        <f t="shared" si="24"/>
        <v>-674.2341001140976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799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623</v>
      </c>
      <c r="C227" s="560">
        <f t="shared" ref="C227:D235" si="26">IF(C203=0,0,C47/C203)</f>
        <v>6415.3152319739102</v>
      </c>
      <c r="D227" s="560">
        <f t="shared" si="26"/>
        <v>6958.5858374708387</v>
      </c>
      <c r="E227" s="560">
        <f t="shared" ref="E227:E235" si="27">D227-C227</f>
        <v>543.27060549692851</v>
      </c>
    </row>
    <row r="228" spans="1:5" s="506" customFormat="1" x14ac:dyDescent="0.2">
      <c r="A228" s="512">
        <v>2</v>
      </c>
      <c r="B228" s="511" t="s">
        <v>602</v>
      </c>
      <c r="C228" s="560">
        <f t="shared" si="26"/>
        <v>6267.6577919513093</v>
      </c>
      <c r="D228" s="560">
        <f t="shared" si="26"/>
        <v>6190.2987431583906</v>
      </c>
      <c r="E228" s="560">
        <f t="shared" si="27"/>
        <v>-77.359048792918657</v>
      </c>
    </row>
    <row r="229" spans="1:5" s="506" customFormat="1" x14ac:dyDescent="0.2">
      <c r="A229" s="512">
        <v>3</v>
      </c>
      <c r="B229" s="511" t="s">
        <v>748</v>
      </c>
      <c r="C229" s="560">
        <f t="shared" si="26"/>
        <v>3512.6698981219529</v>
      </c>
      <c r="D229" s="560">
        <f t="shared" si="26"/>
        <v>4702.3178106007381</v>
      </c>
      <c r="E229" s="560">
        <f t="shared" si="27"/>
        <v>1189.6479124787852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3721.1016453241527</v>
      </c>
      <c r="D230" s="560">
        <f t="shared" si="26"/>
        <v>4724.3606203602858</v>
      </c>
      <c r="E230" s="560">
        <f t="shared" si="27"/>
        <v>1003.2589750361331</v>
      </c>
    </row>
    <row r="231" spans="1:5" s="506" customFormat="1" x14ac:dyDescent="0.2">
      <c r="A231" s="512">
        <v>5</v>
      </c>
      <c r="B231" s="511" t="s">
        <v>715</v>
      </c>
      <c r="C231" s="560">
        <f t="shared" si="26"/>
        <v>2299.7664177152187</v>
      </c>
      <c r="D231" s="560">
        <f t="shared" si="26"/>
        <v>4415.8348457350276</v>
      </c>
      <c r="E231" s="560">
        <f t="shared" si="27"/>
        <v>2116.0684280198088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1544.4957356159193</v>
      </c>
      <c r="D232" s="560">
        <f t="shared" si="26"/>
        <v>6070.2515723270435</v>
      </c>
      <c r="E232" s="560">
        <f t="shared" si="27"/>
        <v>4525.7558367111242</v>
      </c>
    </row>
    <row r="233" spans="1:5" s="506" customFormat="1" x14ac:dyDescent="0.2">
      <c r="A233" s="512">
        <v>7</v>
      </c>
      <c r="B233" s="511" t="s">
        <v>730</v>
      </c>
      <c r="C233" s="560">
        <f t="shared" si="26"/>
        <v>204.83364545191975</v>
      </c>
      <c r="D233" s="560">
        <f t="shared" si="26"/>
        <v>1478.1760523228145</v>
      </c>
      <c r="E233" s="560">
        <f t="shared" si="27"/>
        <v>1273.3424068708948</v>
      </c>
    </row>
    <row r="234" spans="1:5" x14ac:dyDescent="0.2">
      <c r="A234" s="512"/>
      <c r="B234" s="516" t="s">
        <v>800</v>
      </c>
      <c r="C234" s="561">
        <f t="shared" si="26"/>
        <v>5792.1928808431703</v>
      </c>
      <c r="D234" s="561">
        <f t="shared" si="26"/>
        <v>5942.8914631414764</v>
      </c>
      <c r="E234" s="561">
        <f t="shared" si="27"/>
        <v>150.69858229830606</v>
      </c>
    </row>
    <row r="235" spans="1:5" s="506" customFormat="1" x14ac:dyDescent="0.2">
      <c r="A235" s="512"/>
      <c r="B235" s="516" t="s">
        <v>801</v>
      </c>
      <c r="C235" s="561">
        <f t="shared" si="26"/>
        <v>5996.3081316383186</v>
      </c>
      <c r="D235" s="561">
        <f t="shared" si="26"/>
        <v>6268.568153751</v>
      </c>
      <c r="E235" s="561">
        <f t="shared" si="27"/>
        <v>272.26002211268133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802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623</v>
      </c>
      <c r="C239" s="560">
        <f t="shared" ref="C239:D247" si="28">IF(C215=0,0,C58/C215)</f>
        <v>8015.7837080072504</v>
      </c>
      <c r="D239" s="560">
        <f t="shared" si="28"/>
        <v>8129.0185406504934</v>
      </c>
      <c r="E239" s="562">
        <f t="shared" ref="E239:E247" si="29">D239-C239</f>
        <v>113.23483264324295</v>
      </c>
    </row>
    <row r="240" spans="1:5" s="506" customFormat="1" x14ac:dyDescent="0.2">
      <c r="A240" s="512">
        <v>2</v>
      </c>
      <c r="B240" s="511" t="s">
        <v>602</v>
      </c>
      <c r="C240" s="560">
        <f t="shared" si="28"/>
        <v>5793.167142173018</v>
      </c>
      <c r="D240" s="560">
        <f t="shared" si="28"/>
        <v>6575.9586930280802</v>
      </c>
      <c r="E240" s="562">
        <f t="shared" si="29"/>
        <v>782.79155085506227</v>
      </c>
    </row>
    <row r="241" spans="1:5" x14ac:dyDescent="0.2">
      <c r="A241" s="512">
        <v>3</v>
      </c>
      <c r="B241" s="511" t="s">
        <v>748</v>
      </c>
      <c r="C241" s="560">
        <f t="shared" si="28"/>
        <v>2926.3436314765459</v>
      </c>
      <c r="D241" s="560">
        <f t="shared" si="28"/>
        <v>3318.6521411627273</v>
      </c>
      <c r="E241" s="562">
        <f t="shared" si="29"/>
        <v>392.30850968618142</v>
      </c>
    </row>
    <row r="242" spans="1:5" x14ac:dyDescent="0.2">
      <c r="A242" s="512">
        <v>4</v>
      </c>
      <c r="B242" s="511" t="s">
        <v>114</v>
      </c>
      <c r="C242" s="560">
        <f t="shared" si="28"/>
        <v>3033.1800142881166</v>
      </c>
      <c r="D242" s="560">
        <f t="shared" si="28"/>
        <v>3277.2177359054749</v>
      </c>
      <c r="E242" s="562">
        <f t="shared" si="29"/>
        <v>244.03772161735833</v>
      </c>
    </row>
    <row r="243" spans="1:5" x14ac:dyDescent="0.2">
      <c r="A243" s="512">
        <v>5</v>
      </c>
      <c r="B243" s="511" t="s">
        <v>715</v>
      </c>
      <c r="C243" s="560">
        <f t="shared" si="28"/>
        <v>1755.8017984247672</v>
      </c>
      <c r="D243" s="560">
        <f t="shared" si="28"/>
        <v>3943.9147783315493</v>
      </c>
      <c r="E243" s="562">
        <f t="shared" si="29"/>
        <v>2188.1129799067821</v>
      </c>
    </row>
    <row r="244" spans="1:5" x14ac:dyDescent="0.2">
      <c r="A244" s="512">
        <v>6</v>
      </c>
      <c r="B244" s="511" t="s">
        <v>418</v>
      </c>
      <c r="C244" s="560">
        <f t="shared" si="28"/>
        <v>3339.6427427854537</v>
      </c>
      <c r="D244" s="560">
        <f t="shared" si="28"/>
        <v>5360.6820567497034</v>
      </c>
      <c r="E244" s="562">
        <f t="shared" si="29"/>
        <v>2021.0393139642497</v>
      </c>
    </row>
    <row r="245" spans="1:5" x14ac:dyDescent="0.2">
      <c r="A245" s="512">
        <v>7</v>
      </c>
      <c r="B245" s="511" t="s">
        <v>730</v>
      </c>
      <c r="C245" s="560">
        <f t="shared" si="28"/>
        <v>3875.1242177132904</v>
      </c>
      <c r="D245" s="560">
        <f t="shared" si="28"/>
        <v>1095.2637622128993</v>
      </c>
      <c r="E245" s="562">
        <f t="shared" si="29"/>
        <v>-2779.8604555003913</v>
      </c>
    </row>
    <row r="246" spans="1:5" ht="25.5" x14ac:dyDescent="0.2">
      <c r="A246" s="512"/>
      <c r="B246" s="516" t="s">
        <v>803</v>
      </c>
      <c r="C246" s="561">
        <f t="shared" si="28"/>
        <v>4659.2923394242289</v>
      </c>
      <c r="D246" s="561">
        <f t="shared" si="28"/>
        <v>5265.0352611493317</v>
      </c>
      <c r="E246" s="563">
        <f t="shared" si="29"/>
        <v>605.74292172510286</v>
      </c>
    </row>
    <row r="247" spans="1:5" x14ac:dyDescent="0.2">
      <c r="A247" s="512"/>
      <c r="B247" s="516" t="s">
        <v>804</v>
      </c>
      <c r="C247" s="561">
        <f t="shared" si="28"/>
        <v>6796.7891695452763</v>
      </c>
      <c r="D247" s="561">
        <f t="shared" si="28"/>
        <v>7078.1422200909292</v>
      </c>
      <c r="E247" s="563">
        <f t="shared" si="29"/>
        <v>281.35305054565288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732</v>
      </c>
      <c r="B249" s="550" t="s">
        <v>729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1980481.2491636458</v>
      </c>
      <c r="D251" s="546">
        <f>((IF((IF(D15=0,0,D26/D15)*D138)=0,0,D59/(IF(D15=0,0,D26/D15)*D138)))-(IF((IF(D17=0,0,D28/D17)*D140)=0,0,D61/(IF(D17=0,0,D28/D17)*D140))))*(IF(D17=0,0,D28/D17)*D140)</f>
        <v>2228306.9846592662</v>
      </c>
      <c r="E251" s="546">
        <f>D251-C251</f>
        <v>247825.73549562041</v>
      </c>
    </row>
    <row r="252" spans="1:5" x14ac:dyDescent="0.2">
      <c r="A252" s="512">
        <v>2</v>
      </c>
      <c r="B252" s="511" t="s">
        <v>715</v>
      </c>
      <c r="C252" s="546">
        <f>IF(C231=0,0,(C228-C231)*C207)+IF(C243=0,0,(C240-C243)*C219)</f>
        <v>519838.20115847437</v>
      </c>
      <c r="D252" s="546">
        <f>IF(D231=0,0,(D228-D231)*D207)+IF(D243=0,0,(D240-D243)*D219)</f>
        <v>177265.8388576266</v>
      </c>
      <c r="E252" s="546">
        <f>D252-C252</f>
        <v>-342572.36230084777</v>
      </c>
    </row>
    <row r="253" spans="1:5" x14ac:dyDescent="0.2">
      <c r="A253" s="512">
        <v>3</v>
      </c>
      <c r="B253" s="511" t="s">
        <v>730</v>
      </c>
      <c r="C253" s="546">
        <f>IF(C233=0,0,(C228-C233)*C209+IF(C221=0,0,(C240-C245)*C221))</f>
        <v>1172965.1216496592</v>
      </c>
      <c r="D253" s="546">
        <f>IF(D233=0,0,(D228-D233)*D209+IF(D221=0,0,(D240-D245)*D221))</f>
        <v>993665.98722998495</v>
      </c>
      <c r="E253" s="546">
        <f>D253-C253</f>
        <v>-179299.13441967429</v>
      </c>
    </row>
    <row r="254" spans="1:5" ht="15" customHeight="1" x14ac:dyDescent="0.2">
      <c r="A254" s="512"/>
      <c r="B254" s="516" t="s">
        <v>731</v>
      </c>
      <c r="C254" s="564">
        <f>+C251+C252+C253</f>
        <v>3673284.5719717792</v>
      </c>
      <c r="D254" s="564">
        <f>+D251+D252+D253</f>
        <v>3399238.8107468775</v>
      </c>
      <c r="E254" s="564">
        <f>D254-C254</f>
        <v>-274045.76122490177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805</v>
      </c>
      <c r="B256" s="550" t="s">
        <v>806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697</v>
      </c>
      <c r="C258" s="546">
        <f>+C44</f>
        <v>195594535</v>
      </c>
      <c r="D258" s="549">
        <f>+D44</f>
        <v>151379867</v>
      </c>
      <c r="E258" s="546">
        <f t="shared" ref="E258:E271" si="30">D258-C258</f>
        <v>-44214668</v>
      </c>
    </row>
    <row r="259" spans="1:5" x14ac:dyDescent="0.2">
      <c r="A259" s="512">
        <v>2</v>
      </c>
      <c r="B259" s="511" t="s">
        <v>714</v>
      </c>
      <c r="C259" s="546">
        <f>+(C43-C76)</f>
        <v>80307558</v>
      </c>
      <c r="D259" s="549">
        <f>+(D43-D76)</f>
        <v>60935943</v>
      </c>
      <c r="E259" s="546">
        <f t="shared" si="30"/>
        <v>-19371615</v>
      </c>
    </row>
    <row r="260" spans="1:5" x14ac:dyDescent="0.2">
      <c r="A260" s="512">
        <v>3</v>
      </c>
      <c r="B260" s="511" t="s">
        <v>718</v>
      </c>
      <c r="C260" s="546">
        <f>C195</f>
        <v>8371770</v>
      </c>
      <c r="D260" s="546">
        <f>D195</f>
        <v>2824749</v>
      </c>
      <c r="E260" s="546">
        <f t="shared" si="30"/>
        <v>-5547021</v>
      </c>
    </row>
    <row r="261" spans="1:5" x14ac:dyDescent="0.2">
      <c r="A261" s="512">
        <v>4</v>
      </c>
      <c r="B261" s="511" t="s">
        <v>719</v>
      </c>
      <c r="C261" s="546">
        <f>C188</f>
        <v>45259588</v>
      </c>
      <c r="D261" s="546">
        <f>D188</f>
        <v>28810019</v>
      </c>
      <c r="E261" s="546">
        <f t="shared" si="30"/>
        <v>-16449569</v>
      </c>
    </row>
    <row r="262" spans="1:5" x14ac:dyDescent="0.2">
      <c r="A262" s="512">
        <v>5</v>
      </c>
      <c r="B262" s="511" t="s">
        <v>720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721</v>
      </c>
      <c r="C263" s="546">
        <f>+C259+C260+C261+C262</f>
        <v>133938916</v>
      </c>
      <c r="D263" s="546">
        <f>+D259+D260+D261+D262</f>
        <v>92570711</v>
      </c>
      <c r="E263" s="546">
        <f t="shared" si="30"/>
        <v>-41368205</v>
      </c>
    </row>
    <row r="264" spans="1:5" x14ac:dyDescent="0.2">
      <c r="A264" s="512">
        <v>7</v>
      </c>
      <c r="B264" s="511" t="s">
        <v>621</v>
      </c>
      <c r="C264" s="546">
        <f>+C258-C263</f>
        <v>61655619</v>
      </c>
      <c r="D264" s="546">
        <f>+D258-D263</f>
        <v>58809156</v>
      </c>
      <c r="E264" s="546">
        <f t="shared" si="30"/>
        <v>-2846463</v>
      </c>
    </row>
    <row r="265" spans="1:5" x14ac:dyDescent="0.2">
      <c r="A265" s="512">
        <v>8</v>
      </c>
      <c r="B265" s="511" t="s">
        <v>807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808</v>
      </c>
      <c r="C266" s="546">
        <f>+C264+C265</f>
        <v>61655619</v>
      </c>
      <c r="D266" s="546">
        <f>+D264+D265</f>
        <v>58809156</v>
      </c>
      <c r="E266" s="565">
        <f t="shared" si="30"/>
        <v>-2846463</v>
      </c>
    </row>
    <row r="267" spans="1:5" x14ac:dyDescent="0.2">
      <c r="A267" s="512">
        <v>10</v>
      </c>
      <c r="B267" s="511" t="s">
        <v>809</v>
      </c>
      <c r="C267" s="566">
        <f>IF(C258=0,0,C266/C258)</f>
        <v>0.31522158326151595</v>
      </c>
      <c r="D267" s="566">
        <f>IF(D258=0,0,D266/D258)</f>
        <v>0.38848730128690101</v>
      </c>
      <c r="E267" s="567">
        <f t="shared" si="30"/>
        <v>7.3265718025385063E-2</v>
      </c>
    </row>
    <row r="268" spans="1:5" x14ac:dyDescent="0.2">
      <c r="A268" s="512">
        <v>11</v>
      </c>
      <c r="B268" s="511" t="s">
        <v>683</v>
      </c>
      <c r="C268" s="546">
        <f>+C260*C267</f>
        <v>2638962.5941012613</v>
      </c>
      <c r="D268" s="568">
        <f>+D260*D267</f>
        <v>1097379.1158228724</v>
      </c>
      <c r="E268" s="546">
        <f t="shared" si="30"/>
        <v>-1541583.478278389</v>
      </c>
    </row>
    <row r="269" spans="1:5" x14ac:dyDescent="0.2">
      <c r="A269" s="512">
        <v>12</v>
      </c>
      <c r="B269" s="511" t="s">
        <v>810</v>
      </c>
      <c r="C269" s="546">
        <f>((C17+C18+C28+C29)*C267)-(C50+C51+C61+C62)</f>
        <v>1741153.6333121015</v>
      </c>
      <c r="D269" s="568">
        <f>((D17+D18+D28+D29)*D267)-(D50+D51+D61+D62)</f>
        <v>2177859.7391594881</v>
      </c>
      <c r="E269" s="546">
        <f t="shared" si="30"/>
        <v>436706.10584738664</v>
      </c>
    </row>
    <row r="270" spans="1:5" s="569" customFormat="1" x14ac:dyDescent="0.2">
      <c r="A270" s="570">
        <v>13</v>
      </c>
      <c r="B270" s="571" t="s">
        <v>811</v>
      </c>
      <c r="C270" s="572">
        <v>-4380116</v>
      </c>
      <c r="D270" s="572">
        <v>0</v>
      </c>
      <c r="E270" s="546">
        <f t="shared" si="30"/>
        <v>4380116</v>
      </c>
    </row>
    <row r="271" spans="1:5" ht="25.5" x14ac:dyDescent="0.2">
      <c r="A271" s="512">
        <v>14</v>
      </c>
      <c r="B271" s="511" t="s">
        <v>812</v>
      </c>
      <c r="C271" s="546">
        <f>+C268+C269+C270</f>
        <v>0.22741336282342672</v>
      </c>
      <c r="D271" s="546">
        <f>+D268+D269+D270</f>
        <v>3275238.8549823603</v>
      </c>
      <c r="E271" s="549">
        <f t="shared" si="30"/>
        <v>3275238.6275689974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813</v>
      </c>
      <c r="B273" s="550" t="s">
        <v>814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815</v>
      </c>
      <c r="C275" s="340"/>
      <c r="D275" s="340"/>
      <c r="E275" s="520"/>
    </row>
    <row r="276" spans="1:5" x14ac:dyDescent="0.2">
      <c r="A276" s="512">
        <v>1</v>
      </c>
      <c r="B276" s="511" t="s">
        <v>623</v>
      </c>
      <c r="C276" s="547">
        <f t="shared" ref="C276:D284" si="31">IF(C14=0,0,+C47/C14)</f>
        <v>0.36188482130027527</v>
      </c>
      <c r="D276" s="547">
        <f t="shared" si="31"/>
        <v>0.54515635477575519</v>
      </c>
      <c r="E276" s="574">
        <f t="shared" ref="E276:E284" si="32">D276-C276</f>
        <v>0.18327153347547992</v>
      </c>
    </row>
    <row r="277" spans="1:5" x14ac:dyDescent="0.2">
      <c r="A277" s="512">
        <v>2</v>
      </c>
      <c r="B277" s="511" t="s">
        <v>602</v>
      </c>
      <c r="C277" s="547">
        <f t="shared" si="31"/>
        <v>0.28229030224917584</v>
      </c>
      <c r="D277" s="547">
        <f t="shared" si="31"/>
        <v>0.33875529817198102</v>
      </c>
      <c r="E277" s="574">
        <f t="shared" si="32"/>
        <v>5.6464995922805183E-2</v>
      </c>
    </row>
    <row r="278" spans="1:5" x14ac:dyDescent="0.2">
      <c r="A278" s="512">
        <v>3</v>
      </c>
      <c r="B278" s="511" t="s">
        <v>748</v>
      </c>
      <c r="C278" s="547">
        <f t="shared" si="31"/>
        <v>0.23316771337853065</v>
      </c>
      <c r="D278" s="547">
        <f t="shared" si="31"/>
        <v>0.29517201569117996</v>
      </c>
      <c r="E278" s="574">
        <f t="shared" si="32"/>
        <v>6.2004302312649306E-2</v>
      </c>
    </row>
    <row r="279" spans="1:5" x14ac:dyDescent="0.2">
      <c r="A279" s="512">
        <v>4</v>
      </c>
      <c r="B279" s="511" t="s">
        <v>114</v>
      </c>
      <c r="C279" s="547">
        <f t="shared" si="31"/>
        <v>0.26256964613415684</v>
      </c>
      <c r="D279" s="547">
        <f t="shared" si="31"/>
        <v>0.30439987137241575</v>
      </c>
      <c r="E279" s="574">
        <f t="shared" si="32"/>
        <v>4.1830225238258911E-2</v>
      </c>
    </row>
    <row r="280" spans="1:5" x14ac:dyDescent="0.2">
      <c r="A280" s="512">
        <v>5</v>
      </c>
      <c r="B280" s="511" t="s">
        <v>715</v>
      </c>
      <c r="C280" s="547">
        <f t="shared" si="31"/>
        <v>0.11349994518170158</v>
      </c>
      <c r="D280" s="547">
        <f t="shared" si="31"/>
        <v>0.20764531831631192</v>
      </c>
      <c r="E280" s="574">
        <f t="shared" si="32"/>
        <v>9.4145373134610341E-2</v>
      </c>
    </row>
    <row r="281" spans="1:5" x14ac:dyDescent="0.2">
      <c r="A281" s="512">
        <v>6</v>
      </c>
      <c r="B281" s="511" t="s">
        <v>418</v>
      </c>
      <c r="C281" s="547">
        <f t="shared" si="31"/>
        <v>9.4287609188728638E-2</v>
      </c>
      <c r="D281" s="547">
        <f t="shared" si="31"/>
        <v>0.38145996363923801</v>
      </c>
      <c r="E281" s="574">
        <f t="shared" si="32"/>
        <v>0.28717235445050937</v>
      </c>
    </row>
    <row r="282" spans="1:5" x14ac:dyDescent="0.2">
      <c r="A282" s="512">
        <v>7</v>
      </c>
      <c r="B282" s="511" t="s">
        <v>730</v>
      </c>
      <c r="C282" s="547">
        <f t="shared" si="31"/>
        <v>9.8928555223860449E-3</v>
      </c>
      <c r="D282" s="547">
        <f t="shared" si="31"/>
        <v>8.5437030702315814E-2</v>
      </c>
      <c r="E282" s="574">
        <f t="shared" si="32"/>
        <v>7.5544175179929771E-2</v>
      </c>
    </row>
    <row r="283" spans="1:5" ht="29.25" customHeight="1" x14ac:dyDescent="0.2">
      <c r="A283" s="512"/>
      <c r="B283" s="516" t="s">
        <v>816</v>
      </c>
      <c r="C283" s="575">
        <f t="shared" si="31"/>
        <v>0.27542195456230784</v>
      </c>
      <c r="D283" s="575">
        <f t="shared" si="31"/>
        <v>0.33252718763054423</v>
      </c>
      <c r="E283" s="576">
        <f t="shared" si="32"/>
        <v>5.7105233068236394E-2</v>
      </c>
    </row>
    <row r="284" spans="1:5" x14ac:dyDescent="0.2">
      <c r="A284" s="512"/>
      <c r="B284" s="516" t="s">
        <v>817</v>
      </c>
      <c r="C284" s="575">
        <f t="shared" si="31"/>
        <v>0.30059129579170213</v>
      </c>
      <c r="D284" s="575">
        <f t="shared" si="31"/>
        <v>0.38613343895849472</v>
      </c>
      <c r="E284" s="576">
        <f t="shared" si="32"/>
        <v>8.5542143166792595E-2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818</v>
      </c>
      <c r="C286" s="520"/>
      <c r="D286" s="520"/>
      <c r="E286" s="520"/>
    </row>
    <row r="287" spans="1:5" x14ac:dyDescent="0.2">
      <c r="A287" s="512">
        <v>1</v>
      </c>
      <c r="B287" s="511" t="s">
        <v>623</v>
      </c>
      <c r="C287" s="547">
        <f t="shared" ref="C287:D295" si="33">IF(C25=0,0,+C58/C25)</f>
        <v>0.44182770366325558</v>
      </c>
      <c r="D287" s="547">
        <f t="shared" si="33"/>
        <v>0.54538969020441863</v>
      </c>
      <c r="E287" s="574">
        <f t="shared" ref="E287:E295" si="34">D287-C287</f>
        <v>0.10356198654116305</v>
      </c>
    </row>
    <row r="288" spans="1:5" x14ac:dyDescent="0.2">
      <c r="A288" s="512">
        <v>2</v>
      </c>
      <c r="B288" s="511" t="s">
        <v>602</v>
      </c>
      <c r="C288" s="547">
        <f t="shared" si="33"/>
        <v>0.20186892447474358</v>
      </c>
      <c r="D288" s="547">
        <f t="shared" si="33"/>
        <v>0.26616863213634001</v>
      </c>
      <c r="E288" s="574">
        <f t="shared" si="34"/>
        <v>6.4299707661596428E-2</v>
      </c>
    </row>
    <row r="289" spans="1:5" x14ac:dyDescent="0.2">
      <c r="A289" s="512">
        <v>3</v>
      </c>
      <c r="B289" s="511" t="s">
        <v>748</v>
      </c>
      <c r="C289" s="547">
        <f t="shared" si="33"/>
        <v>0.20696950239813622</v>
      </c>
      <c r="D289" s="547">
        <f t="shared" si="33"/>
        <v>0.23988083392568138</v>
      </c>
      <c r="E289" s="574">
        <f t="shared" si="34"/>
        <v>3.2911331527545162E-2</v>
      </c>
    </row>
    <row r="290" spans="1:5" x14ac:dyDescent="0.2">
      <c r="A290" s="512">
        <v>4</v>
      </c>
      <c r="B290" s="511" t="s">
        <v>114</v>
      </c>
      <c r="C290" s="547">
        <f t="shared" si="33"/>
        <v>0.23083292157030563</v>
      </c>
      <c r="D290" s="547">
        <f t="shared" si="33"/>
        <v>0.24685246844885916</v>
      </c>
      <c r="E290" s="574">
        <f t="shared" si="34"/>
        <v>1.6019546878553531E-2</v>
      </c>
    </row>
    <row r="291" spans="1:5" x14ac:dyDescent="0.2">
      <c r="A291" s="512">
        <v>5</v>
      </c>
      <c r="B291" s="511" t="s">
        <v>715</v>
      </c>
      <c r="C291" s="547">
        <f t="shared" si="33"/>
        <v>7.0000048698650313E-2</v>
      </c>
      <c r="D291" s="547">
        <f t="shared" si="33"/>
        <v>0.1771461196607268</v>
      </c>
      <c r="E291" s="574">
        <f t="shared" si="34"/>
        <v>0.10714607096207648</v>
      </c>
    </row>
    <row r="292" spans="1:5" x14ac:dyDescent="0.2">
      <c r="A292" s="512">
        <v>6</v>
      </c>
      <c r="B292" s="511" t="s">
        <v>418</v>
      </c>
      <c r="C292" s="547">
        <f t="shared" si="33"/>
        <v>0.1734089077263018</v>
      </c>
      <c r="D292" s="547">
        <f t="shared" si="33"/>
        <v>0.42373583564538014</v>
      </c>
      <c r="E292" s="574">
        <f t="shared" si="34"/>
        <v>0.25032692791907835</v>
      </c>
    </row>
    <row r="293" spans="1:5" x14ac:dyDescent="0.2">
      <c r="A293" s="512">
        <v>7</v>
      </c>
      <c r="B293" s="511" t="s">
        <v>730</v>
      </c>
      <c r="C293" s="547">
        <f t="shared" si="33"/>
        <v>0.16565495481591988</v>
      </c>
      <c r="D293" s="547">
        <f t="shared" si="33"/>
        <v>6.8608540791338865E-2</v>
      </c>
      <c r="E293" s="574">
        <f t="shared" si="34"/>
        <v>-9.7046414024581015E-2</v>
      </c>
    </row>
    <row r="294" spans="1:5" ht="29.25" customHeight="1" x14ac:dyDescent="0.2">
      <c r="A294" s="512"/>
      <c r="B294" s="516" t="s">
        <v>819</v>
      </c>
      <c r="C294" s="575">
        <f t="shared" si="33"/>
        <v>0.2026718533827172</v>
      </c>
      <c r="D294" s="575">
        <f t="shared" si="33"/>
        <v>0.26123410635620825</v>
      </c>
      <c r="E294" s="576">
        <f t="shared" si="34"/>
        <v>5.8562252973491047E-2</v>
      </c>
    </row>
    <row r="295" spans="1:5" x14ac:dyDescent="0.2">
      <c r="A295" s="512"/>
      <c r="B295" s="516" t="s">
        <v>820</v>
      </c>
      <c r="C295" s="575">
        <f t="shared" si="33"/>
        <v>0.34150182253424005</v>
      </c>
      <c r="D295" s="575">
        <f t="shared" si="33"/>
        <v>0.42053794151018975</v>
      </c>
      <c r="E295" s="576">
        <f t="shared" si="34"/>
        <v>7.9036118975949698E-2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821</v>
      </c>
      <c r="B297" s="501" t="s">
        <v>822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823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621</v>
      </c>
      <c r="C301" s="514">
        <f>+C48+C47+C50+C51+C52+C59+C58+C61+C62+C63</f>
        <v>63397165</v>
      </c>
      <c r="D301" s="514">
        <f>+D48+D47+D50+D51+D52+D59+D58+D61+D62+D63</f>
        <v>61336100</v>
      </c>
      <c r="E301" s="514">
        <f>D301-C301</f>
        <v>-2061065</v>
      </c>
    </row>
    <row r="302" spans="1:5" ht="25.5" x14ac:dyDescent="0.2">
      <c r="A302" s="512">
        <v>2</v>
      </c>
      <c r="B302" s="511" t="s">
        <v>824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825</v>
      </c>
      <c r="C303" s="517">
        <f>+C301+C302</f>
        <v>63397165</v>
      </c>
      <c r="D303" s="517">
        <f>+D301+D302</f>
        <v>61336100</v>
      </c>
      <c r="E303" s="517">
        <f>D303-C303</f>
        <v>-2061065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826</v>
      </c>
      <c r="C305" s="513">
        <v>0</v>
      </c>
      <c r="D305" s="578">
        <v>0</v>
      </c>
      <c r="E305" s="579">
        <f>D305-C305</f>
        <v>0</v>
      </c>
    </row>
    <row r="306" spans="1:5" x14ac:dyDescent="0.2">
      <c r="A306" s="512">
        <v>4</v>
      </c>
      <c r="B306" s="516" t="s">
        <v>827</v>
      </c>
      <c r="C306" s="580">
        <f>+C303+C305</f>
        <v>63397165</v>
      </c>
      <c r="D306" s="580">
        <f>+D303+D305</f>
        <v>61336100</v>
      </c>
      <c r="E306" s="580">
        <f>D306-C306</f>
        <v>-2061065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828</v>
      </c>
      <c r="C308" s="513">
        <v>63397165</v>
      </c>
      <c r="D308" s="513">
        <v>61336304</v>
      </c>
      <c r="E308" s="514">
        <f>D308-C308</f>
        <v>-2060861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829</v>
      </c>
      <c r="C310" s="581">
        <f>C306-C308</f>
        <v>0</v>
      </c>
      <c r="D310" s="582">
        <f>D306-D308</f>
        <v>-204</v>
      </c>
      <c r="E310" s="580">
        <f>D310-C310</f>
        <v>-204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830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831</v>
      </c>
      <c r="C314" s="514">
        <f>+C14+C15+C16+C19+C25+C26+C27+C30</f>
        <v>195594535</v>
      </c>
      <c r="D314" s="514">
        <f>+D14+D15+D16+D19+D25+D26+D27+D30</f>
        <v>151379867</v>
      </c>
      <c r="E314" s="514">
        <f>D314-C314</f>
        <v>-44214668</v>
      </c>
    </row>
    <row r="315" spans="1:5" x14ac:dyDescent="0.2">
      <c r="A315" s="512">
        <v>2</v>
      </c>
      <c r="B315" s="583" t="s">
        <v>832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833</v>
      </c>
      <c r="C316" s="581">
        <f>C314+C315</f>
        <v>195594535</v>
      </c>
      <c r="D316" s="581">
        <f>D314+D315</f>
        <v>151379867</v>
      </c>
      <c r="E316" s="517">
        <f>D316-C316</f>
        <v>-44214668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834</v>
      </c>
      <c r="C318" s="513">
        <v>195594535</v>
      </c>
      <c r="D318" s="513">
        <v>151379874</v>
      </c>
      <c r="E318" s="514">
        <f>D318-C318</f>
        <v>-44214661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829</v>
      </c>
      <c r="C320" s="581">
        <f>C316-C318</f>
        <v>0</v>
      </c>
      <c r="D320" s="581">
        <f>D316-D318</f>
        <v>-7</v>
      </c>
      <c r="E320" s="517">
        <f>D320-C320</f>
        <v>-7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835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836</v>
      </c>
      <c r="C324" s="513">
        <f>+C193+C194</f>
        <v>8371770</v>
      </c>
      <c r="D324" s="513">
        <f>+D193+D194</f>
        <v>2824749</v>
      </c>
      <c r="E324" s="514">
        <f>D324-C324</f>
        <v>-5547021</v>
      </c>
    </row>
    <row r="325" spans="1:5" x14ac:dyDescent="0.2">
      <c r="A325" s="512">
        <v>2</v>
      </c>
      <c r="B325" s="511" t="s">
        <v>837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838</v>
      </c>
      <c r="C326" s="581">
        <f>C324+C325</f>
        <v>8371770</v>
      </c>
      <c r="D326" s="581">
        <f>D324+D325</f>
        <v>2824749</v>
      </c>
      <c r="E326" s="517">
        <f>D326-C326</f>
        <v>-5547021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839</v>
      </c>
      <c r="C328" s="513">
        <v>8371770</v>
      </c>
      <c r="D328" s="513">
        <v>2824952</v>
      </c>
      <c r="E328" s="514">
        <f>D328-C328</f>
        <v>-5546818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840</v>
      </c>
      <c r="C330" s="581">
        <f>C326-C328</f>
        <v>0</v>
      </c>
      <c r="D330" s="581">
        <f>D326-D328</f>
        <v>-203</v>
      </c>
      <c r="E330" s="517">
        <f>D330-C330</f>
        <v>-203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FILING&amp;RJOHNSON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593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841</v>
      </c>
      <c r="B5" s="696"/>
      <c r="C5" s="697"/>
      <c r="D5" s="585"/>
    </row>
    <row r="6" spans="1:58" s="338" customFormat="1" ht="15.75" customHeight="1" x14ac:dyDescent="0.25">
      <c r="A6" s="695" t="s">
        <v>842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843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844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747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623</v>
      </c>
      <c r="C14" s="513">
        <v>17036384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602</v>
      </c>
      <c r="C15" s="515">
        <v>42815475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748</v>
      </c>
      <c r="C16" s="515">
        <v>7469929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6757493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715</v>
      </c>
      <c r="C18" s="515">
        <v>712436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253020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730</v>
      </c>
      <c r="C20" s="515">
        <v>734342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749</v>
      </c>
      <c r="C21" s="517">
        <f>SUM(C15+C16+C19)</f>
        <v>50538424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689</v>
      </c>
      <c r="C22" s="517">
        <f>SUM(C14+C21)</f>
        <v>67574808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750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623</v>
      </c>
      <c r="C25" s="513">
        <v>46982949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602</v>
      </c>
      <c r="C26" s="515">
        <v>26348240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748</v>
      </c>
      <c r="C27" s="515">
        <v>9964581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8967980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715</v>
      </c>
      <c r="C29" s="515">
        <v>996601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509289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730</v>
      </c>
      <c r="C31" s="518">
        <v>2311753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751</v>
      </c>
      <c r="C32" s="517">
        <f>SUM(C26+C27+C30)</f>
        <v>36822110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695</v>
      </c>
      <c r="C33" s="517">
        <f>SUM(C25+C32)</f>
        <v>83805059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620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845</v>
      </c>
      <c r="C36" s="514">
        <f>SUM(C14+C25)</f>
        <v>64019333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846</v>
      </c>
      <c r="C37" s="518">
        <f>SUM(C21+C32)</f>
        <v>87360534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620</v>
      </c>
      <c r="C38" s="517">
        <f>SUM(+C36+C37)</f>
        <v>151379867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760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623</v>
      </c>
      <c r="C41" s="513">
        <v>9287493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602</v>
      </c>
      <c r="C42" s="515">
        <v>14503969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748</v>
      </c>
      <c r="C43" s="515">
        <v>2204914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2056980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715</v>
      </c>
      <c r="C45" s="515">
        <v>147934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96517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730</v>
      </c>
      <c r="C47" s="515">
        <v>62740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761</v>
      </c>
      <c r="C48" s="517">
        <f>SUM(C42+C43+C46)</f>
        <v>16805400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690</v>
      </c>
      <c r="C49" s="517">
        <f>SUM(C41+C48)</f>
        <v>26092893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762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623</v>
      </c>
      <c r="C52" s="513">
        <v>25624016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602</v>
      </c>
      <c r="C53" s="515">
        <v>7013075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748</v>
      </c>
      <c r="C54" s="515">
        <v>2390312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2213768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715</v>
      </c>
      <c r="C56" s="515">
        <v>176544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215804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730</v>
      </c>
      <c r="C58" s="515">
        <v>158606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763</v>
      </c>
      <c r="C59" s="517">
        <f>SUM(C53+C54+C57)</f>
        <v>9619191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696</v>
      </c>
      <c r="C60" s="517">
        <f>SUM(C52+C59)</f>
        <v>35243207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621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847</v>
      </c>
      <c r="C63" s="514">
        <f>SUM(C41+C52)</f>
        <v>34911509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848</v>
      </c>
      <c r="C64" s="518">
        <f>SUM(C48+C59)</f>
        <v>26424591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621</v>
      </c>
      <c r="C65" s="517">
        <f>SUM(+C63+C64)</f>
        <v>61336100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849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850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623</v>
      </c>
      <c r="C70" s="530">
        <v>1143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602</v>
      </c>
      <c r="C71" s="530">
        <v>1733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748</v>
      </c>
      <c r="C72" s="530">
        <v>541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509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715</v>
      </c>
      <c r="C74" s="530">
        <v>32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20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730</v>
      </c>
      <c r="C76" s="545">
        <v>46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778</v>
      </c>
      <c r="C77" s="532">
        <f>SUM(C71+C72+C75)</f>
        <v>2294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692</v>
      </c>
      <c r="C78" s="596">
        <f>SUM(C70+C77)</f>
        <v>3437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783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623</v>
      </c>
      <c r="C81" s="541">
        <v>1.1677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602</v>
      </c>
      <c r="C82" s="541">
        <v>1.3520000000000001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748</v>
      </c>
      <c r="C83" s="541">
        <f>((C73*C84)+(C74*C85))/(C73+C74)</f>
        <v>0.86672717190388171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0.85540000000000005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715</v>
      </c>
      <c r="C85" s="541">
        <v>1.0468999999999999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0.79500000000000004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730</v>
      </c>
      <c r="C87" s="541">
        <v>0.92269999999999996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784</v>
      </c>
      <c r="C88" s="543">
        <f>((C71*C82)+(C73*C84)+(C74*C85)+(C75*C86))/(C71+C73+C74+C75)</f>
        <v>1.2327006974716652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693</v>
      </c>
      <c r="C89" s="543">
        <f>((C70*C81)+(C71*C82)+(C73*C84)+(C74*C85)+(C75*C86))/(C70+C71+C73+C74+C75)</f>
        <v>1.2110842304335177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785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786</v>
      </c>
      <c r="C92" s="513">
        <v>64018828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787</v>
      </c>
      <c r="C93" s="546">
        <v>35208809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635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719</v>
      </c>
      <c r="C95" s="513">
        <f>+C92-C93</f>
        <v>28810019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637</v>
      </c>
      <c r="C96" s="597">
        <f>(+C92-C93)/C92</f>
        <v>0.4500241553937851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734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720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851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789</v>
      </c>
      <c r="C103" s="513">
        <v>280655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790</v>
      </c>
      <c r="C104" s="513">
        <v>2544094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791</v>
      </c>
      <c r="C105" s="578">
        <f>+C103+C104</f>
        <v>2824749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792</v>
      </c>
      <c r="C107" s="513">
        <v>571177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677</v>
      </c>
      <c r="C108" s="513">
        <v>67684735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822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823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621</v>
      </c>
      <c r="C114" s="514">
        <f>+C65</f>
        <v>61336100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824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825</v>
      </c>
      <c r="C116" s="517">
        <f>+C114+C115</f>
        <v>61336100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826</v>
      </c>
      <c r="C118" s="578">
        <v>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827</v>
      </c>
      <c r="C119" s="580">
        <f>+C116+C118</f>
        <v>61336100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828</v>
      </c>
      <c r="C121" s="513">
        <v>61336304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829</v>
      </c>
      <c r="C123" s="582">
        <f>C119-C121</f>
        <v>-204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830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831</v>
      </c>
      <c r="C127" s="514">
        <f>+C38</f>
        <v>151379867</v>
      </c>
      <c r="D127" s="588"/>
      <c r="AR127" s="507"/>
    </row>
    <row r="128" spans="1:58" s="506" customFormat="1" x14ac:dyDescent="0.2">
      <c r="A128" s="512">
        <v>2</v>
      </c>
      <c r="B128" s="583" t="s">
        <v>832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833</v>
      </c>
      <c r="C129" s="581">
        <f>C127+C128</f>
        <v>151379867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834</v>
      </c>
      <c r="C131" s="513">
        <v>151379874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829</v>
      </c>
      <c r="C133" s="581">
        <f>C129-C131</f>
        <v>-7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835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836</v>
      </c>
      <c r="C137" s="513">
        <f>C105</f>
        <v>2824749</v>
      </c>
      <c r="D137" s="588"/>
      <c r="AR137" s="507"/>
    </row>
    <row r="138" spans="1:44" s="506" customFormat="1" x14ac:dyDescent="0.2">
      <c r="A138" s="512">
        <v>2</v>
      </c>
      <c r="B138" s="511" t="s">
        <v>852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838</v>
      </c>
      <c r="C139" s="581">
        <f>C137+C138</f>
        <v>2824749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853</v>
      </c>
      <c r="C141" s="513">
        <v>2824952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840</v>
      </c>
      <c r="C143" s="581">
        <f>C139-C141</f>
        <v>-203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FILING&amp;RJOHNSON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A2" sqref="A2:IV2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593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594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854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597</v>
      </c>
      <c r="D8" s="35" t="s">
        <v>597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599</v>
      </c>
      <c r="D9" s="607" t="s">
        <v>600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855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856</v>
      </c>
      <c r="C12" s="49">
        <v>256</v>
      </c>
      <c r="D12" s="49">
        <v>229</v>
      </c>
      <c r="E12" s="49">
        <f>+D12-C12</f>
        <v>-27</v>
      </c>
      <c r="F12" s="70">
        <f>IF(C12=0,0,+E12/C12)</f>
        <v>-0.10546875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857</v>
      </c>
      <c r="C13" s="49">
        <v>215</v>
      </c>
      <c r="D13" s="49">
        <v>209</v>
      </c>
      <c r="E13" s="49">
        <f>+D13-C13</f>
        <v>-6</v>
      </c>
      <c r="F13" s="70">
        <f>IF(C13=0,0,+E13/C13)</f>
        <v>-2.7906976744186046E-2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858</v>
      </c>
      <c r="C15" s="51">
        <v>559676</v>
      </c>
      <c r="D15" s="51">
        <v>280655</v>
      </c>
      <c r="E15" s="51">
        <f>+D15-C15</f>
        <v>-279021</v>
      </c>
      <c r="F15" s="70">
        <f>IF(C15=0,0,+E15/C15)</f>
        <v>-0.49854022684553206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859</v>
      </c>
      <c r="C16" s="27">
        <f>IF(C13=0,0,+C15/+C13)</f>
        <v>2603.1441860465115</v>
      </c>
      <c r="D16" s="27">
        <f>IF(D13=0,0,+D15/+D13)</f>
        <v>1342.8468899521531</v>
      </c>
      <c r="E16" s="27">
        <f>+D16-C16</f>
        <v>-1260.2972960943584</v>
      </c>
      <c r="F16" s="28">
        <f>IF(C16=0,0,+E16/C16)</f>
        <v>-0.48414425249659993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860</v>
      </c>
      <c r="C18" s="210">
        <v>0.31954300000000002</v>
      </c>
      <c r="D18" s="210">
        <v>0.351823</v>
      </c>
      <c r="E18" s="210">
        <f>+D18-C18</f>
        <v>3.2279999999999975E-2</v>
      </c>
      <c r="F18" s="70">
        <f>IF(C18=0,0,+E18/C18)</f>
        <v>0.10101926814231565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861</v>
      </c>
      <c r="C19" s="27">
        <f>+C15*C18</f>
        <v>178840.548068</v>
      </c>
      <c r="D19" s="27">
        <f>+D15*D18</f>
        <v>98740.884065000006</v>
      </c>
      <c r="E19" s="27">
        <f>+D19-C19</f>
        <v>-80099.664002999998</v>
      </c>
      <c r="F19" s="28">
        <f>IF(C19=0,0,+E19/C19)</f>
        <v>-0.447883127558656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862</v>
      </c>
      <c r="C20" s="27">
        <f>IF(C13=0,0,+C19/C13)</f>
        <v>831.81650264186044</v>
      </c>
      <c r="D20" s="27">
        <f>IF(D13=0,0,+D19/D13)</f>
        <v>472.44442136363637</v>
      </c>
      <c r="E20" s="27">
        <f>+D20-C20</f>
        <v>-359.37208127822407</v>
      </c>
      <c r="F20" s="28">
        <f>IF(C20=0,0,+E20/C20)</f>
        <v>-0.43203288241679927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863</v>
      </c>
      <c r="C22" s="51">
        <v>351141</v>
      </c>
      <c r="D22" s="51">
        <v>122446</v>
      </c>
      <c r="E22" s="51">
        <f>+D22-C22</f>
        <v>-228695</v>
      </c>
      <c r="F22" s="70">
        <f>IF(C22=0,0,+E22/C22)</f>
        <v>-0.65129107680390497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864</v>
      </c>
      <c r="C23" s="49">
        <v>158840</v>
      </c>
      <c r="D23" s="49">
        <v>91010</v>
      </c>
      <c r="E23" s="49">
        <f>+D23-C23</f>
        <v>-67830</v>
      </c>
      <c r="F23" s="70">
        <f>IF(C23=0,0,+E23/C23)</f>
        <v>-0.42703349282296649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865</v>
      </c>
      <c r="C24" s="49">
        <v>49695</v>
      </c>
      <c r="D24" s="49">
        <v>67199</v>
      </c>
      <c r="E24" s="49">
        <f>+D24-C24</f>
        <v>17504</v>
      </c>
      <c r="F24" s="70">
        <f>IF(C24=0,0,+E24/C24)</f>
        <v>0.35222859442599858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858</v>
      </c>
      <c r="C25" s="27">
        <f>+C22+C23+C24</f>
        <v>559676</v>
      </c>
      <c r="D25" s="27">
        <f>+D22+D23+D24</f>
        <v>280655</v>
      </c>
      <c r="E25" s="27">
        <f>+E22+E23+E24</f>
        <v>-279021</v>
      </c>
      <c r="F25" s="28">
        <f>IF(C25=0,0,+E25/C25)</f>
        <v>-0.49854022684553206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866</v>
      </c>
      <c r="C27" s="49">
        <v>67</v>
      </c>
      <c r="D27" s="49">
        <v>25</v>
      </c>
      <c r="E27" s="49">
        <f>+D27-C27</f>
        <v>-42</v>
      </c>
      <c r="F27" s="70">
        <f>IF(C27=0,0,+E27/C27)</f>
        <v>-0.62686567164179108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867</v>
      </c>
      <c r="C28" s="49">
        <v>34</v>
      </c>
      <c r="D28" s="49">
        <v>12</v>
      </c>
      <c r="E28" s="49">
        <f>+D28-C28</f>
        <v>-22</v>
      </c>
      <c r="F28" s="70">
        <f>IF(C28=0,0,+E28/C28)</f>
        <v>-0.6470588235294118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868</v>
      </c>
      <c r="C29" s="49">
        <v>99</v>
      </c>
      <c r="D29" s="49">
        <v>94</v>
      </c>
      <c r="E29" s="49">
        <f>+D29-C29</f>
        <v>-5</v>
      </c>
      <c r="F29" s="70">
        <f>IF(C29=0,0,+E29/C29)</f>
        <v>-5.0505050505050504E-2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869</v>
      </c>
      <c r="C30" s="49">
        <v>76</v>
      </c>
      <c r="D30" s="49">
        <v>57</v>
      </c>
      <c r="E30" s="49">
        <f>+D30-C30</f>
        <v>-19</v>
      </c>
      <c r="F30" s="70">
        <f>IF(C30=0,0,+E30/C30)</f>
        <v>-0.25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870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871</v>
      </c>
      <c r="C33" s="51">
        <v>1517208</v>
      </c>
      <c r="D33" s="51">
        <v>1135684</v>
      </c>
      <c r="E33" s="51">
        <f>+D33-C33</f>
        <v>-381524</v>
      </c>
      <c r="F33" s="70">
        <f>IF(C33=0,0,+E33/C33)</f>
        <v>-0.25146453221970883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872</v>
      </c>
      <c r="C34" s="49">
        <v>1510550</v>
      </c>
      <c r="D34" s="49">
        <v>205054</v>
      </c>
      <c r="E34" s="49">
        <f>+D34-C34</f>
        <v>-1305496</v>
      </c>
      <c r="F34" s="70">
        <f>IF(C34=0,0,+E34/C34)</f>
        <v>-0.86425209360828836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873</v>
      </c>
      <c r="C35" s="49">
        <v>4784336</v>
      </c>
      <c r="D35" s="49">
        <v>1203356</v>
      </c>
      <c r="E35" s="49">
        <f>+D35-C35</f>
        <v>-3580980</v>
      </c>
      <c r="F35" s="70">
        <f>IF(C35=0,0,+E35/C35)</f>
        <v>-0.74848003986342093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874</v>
      </c>
      <c r="C36" s="27">
        <f>+C33+C34+C35</f>
        <v>7812094</v>
      </c>
      <c r="D36" s="27">
        <f>+D33+D34+D35</f>
        <v>2544094</v>
      </c>
      <c r="E36" s="27">
        <f>+E33+E34+E35</f>
        <v>-5268000</v>
      </c>
      <c r="F36" s="28">
        <f>IF(C36=0,0,+E36/C36)</f>
        <v>-0.67433904405144129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875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876</v>
      </c>
      <c r="C39" s="51">
        <f>+C25</f>
        <v>559676</v>
      </c>
      <c r="D39" s="51">
        <f>+D25</f>
        <v>280655</v>
      </c>
      <c r="E39" s="51">
        <f>+D39-C39</f>
        <v>-279021</v>
      </c>
      <c r="F39" s="70">
        <f>IF(C39=0,0,+E39/C39)</f>
        <v>-0.49854022684553206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877</v>
      </c>
      <c r="C40" s="49">
        <f>+C36</f>
        <v>7812094</v>
      </c>
      <c r="D40" s="49">
        <f>+D36</f>
        <v>2544094</v>
      </c>
      <c r="E40" s="49">
        <f>+D40-C40</f>
        <v>-5268000</v>
      </c>
      <c r="F40" s="70">
        <f>IF(C40=0,0,+E40/C40)</f>
        <v>-0.67433904405144129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878</v>
      </c>
      <c r="C41" s="27">
        <f>+C39+C40</f>
        <v>8371770</v>
      </c>
      <c r="D41" s="27">
        <f>+D39+D40</f>
        <v>2824749</v>
      </c>
      <c r="E41" s="27">
        <f>+E39+E40</f>
        <v>-5547021</v>
      </c>
      <c r="F41" s="28">
        <f>IF(C41=0,0,+E41/C41)</f>
        <v>-0.66258640645884925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879</v>
      </c>
      <c r="C43" s="51">
        <f t="shared" ref="C43:D45" si="0">+C22+C33</f>
        <v>1868349</v>
      </c>
      <c r="D43" s="51">
        <f t="shared" si="0"/>
        <v>1258130</v>
      </c>
      <c r="E43" s="51">
        <f>+D43-C43</f>
        <v>-610219</v>
      </c>
      <c r="F43" s="70">
        <f>IF(C43=0,0,+E43/C43)</f>
        <v>-0.3266086796417586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880</v>
      </c>
      <c r="C44" s="49">
        <f t="shared" si="0"/>
        <v>1669390</v>
      </c>
      <c r="D44" s="49">
        <f t="shared" si="0"/>
        <v>296064</v>
      </c>
      <c r="E44" s="49">
        <f>+D44-C44</f>
        <v>-1373326</v>
      </c>
      <c r="F44" s="70">
        <f>IF(C44=0,0,+E44/C44)</f>
        <v>-0.82265138763260837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881</v>
      </c>
      <c r="C45" s="49">
        <f t="shared" si="0"/>
        <v>4834031</v>
      </c>
      <c r="D45" s="49">
        <f t="shared" si="0"/>
        <v>1270555</v>
      </c>
      <c r="E45" s="49">
        <f>+D45-C45</f>
        <v>-3563476</v>
      </c>
      <c r="F45" s="70">
        <f>IF(C45=0,0,+E45/C45)</f>
        <v>-0.73716449067041567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878</v>
      </c>
      <c r="C46" s="27">
        <f>+C43+C44+C45</f>
        <v>8371770</v>
      </c>
      <c r="D46" s="27">
        <f>+D43+D44+D45</f>
        <v>2824749</v>
      </c>
      <c r="E46" s="27">
        <f>+E43+E44+E45</f>
        <v>-5547021</v>
      </c>
      <c r="F46" s="28">
        <f>IF(C46=0,0,+E46/C46)</f>
        <v>-0.66258640645884925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882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FILING&amp;RJOHNSON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593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594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883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884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599</v>
      </c>
      <c r="D9" s="35" t="s">
        <v>600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885</v>
      </c>
      <c r="D10" s="35" t="s">
        <v>885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886</v>
      </c>
      <c r="D11" s="605" t="s">
        <v>886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887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82051367</v>
      </c>
      <c r="D15" s="51">
        <v>64018828</v>
      </c>
      <c r="E15" s="51">
        <f>+D15-C15</f>
        <v>-18032539</v>
      </c>
      <c r="F15" s="70">
        <f>+E15/C15</f>
        <v>-0.21977134153048297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888</v>
      </c>
      <c r="C17" s="51">
        <v>45259588</v>
      </c>
      <c r="D17" s="51">
        <v>28810019</v>
      </c>
      <c r="E17" s="51">
        <f>+D17-C17</f>
        <v>-16449569</v>
      </c>
      <c r="F17" s="70">
        <f>+E17/C17</f>
        <v>-0.36344937563284935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889</v>
      </c>
      <c r="C19" s="27">
        <f>+C15-C17</f>
        <v>36791779</v>
      </c>
      <c r="D19" s="27">
        <f>+D15-D17</f>
        <v>35208809</v>
      </c>
      <c r="E19" s="27">
        <f>+D19-C19</f>
        <v>-1582970</v>
      </c>
      <c r="F19" s="28">
        <f>+E19/C19</f>
        <v>-4.3025100797653738E-2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890</v>
      </c>
      <c r="C21" s="628">
        <f>+C17/C15</f>
        <v>0.55160065767094413</v>
      </c>
      <c r="D21" s="628">
        <f>+D17/D15</f>
        <v>0.4500241553937851</v>
      </c>
      <c r="E21" s="628">
        <f>+D21-C21</f>
        <v>-0.10157650227715903</v>
      </c>
      <c r="F21" s="28">
        <f>+E21/C21</f>
        <v>-0.18414862430739562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891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FILING&amp;R&amp;12JOHNSON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892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893</v>
      </c>
      <c r="B6" s="632" t="s">
        <v>894</v>
      </c>
      <c r="C6" s="632" t="s">
        <v>895</v>
      </c>
      <c r="D6" s="632" t="s">
        <v>896</v>
      </c>
      <c r="E6" s="632" t="s">
        <v>897</v>
      </c>
    </row>
    <row r="7" spans="1:6" ht="37.5" customHeight="1" x14ac:dyDescent="0.25">
      <c r="A7" s="633" t="s">
        <v>8</v>
      </c>
      <c r="B7" s="634" t="s">
        <v>898</v>
      </c>
      <c r="C7" s="631" t="s">
        <v>899</v>
      </c>
      <c r="D7" s="631" t="s">
        <v>900</v>
      </c>
      <c r="E7" s="631" t="s">
        <v>901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902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903</v>
      </c>
      <c r="C10" s="641">
        <v>100081615</v>
      </c>
      <c r="D10" s="641">
        <v>83077033</v>
      </c>
      <c r="E10" s="641">
        <v>67574808</v>
      </c>
    </row>
    <row r="11" spans="1:6" ht="26.1" customHeight="1" x14ac:dyDescent="0.25">
      <c r="A11" s="639">
        <v>2</v>
      </c>
      <c r="B11" s="640" t="s">
        <v>904</v>
      </c>
      <c r="C11" s="641">
        <v>136523764</v>
      </c>
      <c r="D11" s="641">
        <v>112517502</v>
      </c>
      <c r="E11" s="641">
        <v>83805059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236605379</v>
      </c>
      <c r="D12" s="641">
        <f>+D11+D10</f>
        <v>195594535</v>
      </c>
      <c r="E12" s="641">
        <f>+E11+E10</f>
        <v>151379867</v>
      </c>
    </row>
    <row r="13" spans="1:6" ht="26.1" customHeight="1" x14ac:dyDescent="0.25">
      <c r="A13" s="639">
        <v>4</v>
      </c>
      <c r="B13" s="640" t="s">
        <v>484</v>
      </c>
      <c r="C13" s="641">
        <v>71034672</v>
      </c>
      <c r="D13" s="641">
        <v>62785887</v>
      </c>
      <c r="E13" s="641">
        <v>61336304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905</v>
      </c>
      <c r="C16" s="641">
        <v>75843310</v>
      </c>
      <c r="D16" s="641">
        <v>66396980</v>
      </c>
      <c r="E16" s="641">
        <v>67684735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906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21656</v>
      </c>
      <c r="D19" s="644">
        <v>17998</v>
      </c>
      <c r="E19" s="644">
        <v>17737</v>
      </c>
    </row>
    <row r="20" spans="1:5" ht="26.1" customHeight="1" x14ac:dyDescent="0.25">
      <c r="A20" s="639">
        <v>2</v>
      </c>
      <c r="B20" s="640" t="s">
        <v>373</v>
      </c>
      <c r="C20" s="645">
        <v>4087</v>
      </c>
      <c r="D20" s="645">
        <v>3618</v>
      </c>
      <c r="E20" s="645">
        <v>3437</v>
      </c>
    </row>
    <row r="21" spans="1:5" ht="26.1" customHeight="1" x14ac:dyDescent="0.25">
      <c r="A21" s="639">
        <v>3</v>
      </c>
      <c r="B21" s="640" t="s">
        <v>907</v>
      </c>
      <c r="C21" s="646">
        <f>IF(C20=0,0,+C19/C20)</f>
        <v>5.2987521409346705</v>
      </c>
      <c r="D21" s="646">
        <f>IF(D20=0,0,+D19/D20)</f>
        <v>4.9745715865118854</v>
      </c>
      <c r="E21" s="646">
        <f>IF(E20=0,0,+E19/E20)</f>
        <v>5.1606051789351177</v>
      </c>
    </row>
    <row r="22" spans="1:5" ht="26.1" customHeight="1" x14ac:dyDescent="0.25">
      <c r="A22" s="639">
        <v>4</v>
      </c>
      <c r="B22" s="640" t="s">
        <v>908</v>
      </c>
      <c r="C22" s="645">
        <f>IF(C10=0,0,C19*(C12/C10))</f>
        <v>51197.476056156767</v>
      </c>
      <c r="D22" s="645">
        <f>IF(D10=0,0,D19*(D12/D10))</f>
        <v>42374.051092195361</v>
      </c>
      <c r="E22" s="645">
        <f>IF(E10=0,0,E19*(E12/E10))</f>
        <v>39734.107731079312</v>
      </c>
    </row>
    <row r="23" spans="1:5" ht="26.1" customHeight="1" x14ac:dyDescent="0.25">
      <c r="A23" s="639">
        <v>0</v>
      </c>
      <c r="B23" s="640" t="s">
        <v>909</v>
      </c>
      <c r="C23" s="645">
        <f>IF(C10=0,0,C20*(C12/C10))</f>
        <v>9662.1760547429221</v>
      </c>
      <c r="D23" s="645">
        <f>IF(D10=0,0,D20*(D12/D10))</f>
        <v>8518.1307285011007</v>
      </c>
      <c r="E23" s="645">
        <f>IF(E10=0,0,E20*(E12/E10))</f>
        <v>7699.5054559237515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910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1.1018927819916811</v>
      </c>
      <c r="D26" s="647">
        <v>1.1510783195135432</v>
      </c>
      <c r="E26" s="647">
        <v>1.2110842304335177</v>
      </c>
    </row>
    <row r="27" spans="1:5" ht="26.1" customHeight="1" x14ac:dyDescent="0.25">
      <c r="A27" s="639">
        <v>2</v>
      </c>
      <c r="B27" s="640" t="s">
        <v>911</v>
      </c>
      <c r="C27" s="645">
        <f>C19*C26</f>
        <v>23862.590086811844</v>
      </c>
      <c r="D27" s="645">
        <f>D19*D26</f>
        <v>20717.107594604749</v>
      </c>
      <c r="E27" s="645">
        <f>E19*E26</f>
        <v>21481.000995199302</v>
      </c>
    </row>
    <row r="28" spans="1:5" ht="26.1" customHeight="1" x14ac:dyDescent="0.25">
      <c r="A28" s="639">
        <v>3</v>
      </c>
      <c r="B28" s="640" t="s">
        <v>912</v>
      </c>
      <c r="C28" s="645">
        <f>C20*C26</f>
        <v>4503.4358000000002</v>
      </c>
      <c r="D28" s="645">
        <f>D20*D26</f>
        <v>4164.6013599999997</v>
      </c>
      <c r="E28" s="645">
        <f>E20*E26</f>
        <v>4162.4965000000002</v>
      </c>
    </row>
    <row r="29" spans="1:5" ht="26.1" customHeight="1" x14ac:dyDescent="0.25">
      <c r="A29" s="639">
        <v>4</v>
      </c>
      <c r="B29" s="640" t="s">
        <v>913</v>
      </c>
      <c r="C29" s="645">
        <f>C22*C26</f>
        <v>56414.129322471061</v>
      </c>
      <c r="D29" s="645">
        <f>D22*D26</f>
        <v>48775.851522185258</v>
      </c>
      <c r="E29" s="645">
        <f>E22*E26</f>
        <v>48121.351283456672</v>
      </c>
    </row>
    <row r="30" spans="1:5" ht="26.1" customHeight="1" x14ac:dyDescent="0.25">
      <c r="A30" s="639">
        <v>5</v>
      </c>
      <c r="B30" s="640" t="s">
        <v>914</v>
      </c>
      <c r="C30" s="645">
        <f>C23*C26</f>
        <v>10646.682053054084</v>
      </c>
      <c r="D30" s="645">
        <f>D23*D26</f>
        <v>9805.0356043597203</v>
      </c>
      <c r="E30" s="645">
        <f>E23*E26</f>
        <v>9324.7496398060866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915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916</v>
      </c>
      <c r="C33" s="641">
        <f>IF(C19=0,0,C12/C19)</f>
        <v>10925.627031769487</v>
      </c>
      <c r="D33" s="641">
        <f>IF(D19=0,0,D12/D19)</f>
        <v>10867.570563395933</v>
      </c>
      <c r="E33" s="641">
        <f>IF(E19=0,0,E12/E19)</f>
        <v>8534.6939730506856</v>
      </c>
    </row>
    <row r="34" spans="1:5" ht="26.1" customHeight="1" x14ac:dyDescent="0.25">
      <c r="A34" s="639">
        <v>2</v>
      </c>
      <c r="B34" s="640" t="s">
        <v>917</v>
      </c>
      <c r="C34" s="641">
        <f>IF(C20=0,0,C12/C20)</f>
        <v>57892.189625642277</v>
      </c>
      <c r="D34" s="641">
        <f>IF(D20=0,0,D12/D20)</f>
        <v>54061.507739082364</v>
      </c>
      <c r="E34" s="641">
        <f>IF(E20=0,0,E12/E20)</f>
        <v>44044.185917951705</v>
      </c>
    </row>
    <row r="35" spans="1:5" ht="26.1" customHeight="1" x14ac:dyDescent="0.25">
      <c r="A35" s="639">
        <v>3</v>
      </c>
      <c r="B35" s="640" t="s">
        <v>918</v>
      </c>
      <c r="C35" s="641">
        <f>IF(C22=0,0,C12/C22)</f>
        <v>4621.4266254155891</v>
      </c>
      <c r="D35" s="641">
        <f>IF(D22=0,0,D12/D22)</f>
        <v>4615.9036004000445</v>
      </c>
      <c r="E35" s="641">
        <f>IF(E22=0,0,E12/E22)</f>
        <v>3809.8217285899532</v>
      </c>
    </row>
    <row r="36" spans="1:5" ht="26.1" customHeight="1" x14ac:dyDescent="0.25">
      <c r="A36" s="639">
        <v>4</v>
      </c>
      <c r="B36" s="640" t="s">
        <v>919</v>
      </c>
      <c r="C36" s="641">
        <f>IF(C23=0,0,C12/C23)</f>
        <v>24487.794225593345</v>
      </c>
      <c r="D36" s="641">
        <f>IF(D23=0,0,D12/D23)</f>
        <v>22962.142896627971</v>
      </c>
      <c r="E36" s="641">
        <f>IF(E23=0,0,E12/E23)</f>
        <v>19660.985743380857</v>
      </c>
    </row>
    <row r="37" spans="1:5" ht="26.1" customHeight="1" x14ac:dyDescent="0.25">
      <c r="A37" s="639">
        <v>5</v>
      </c>
      <c r="B37" s="640" t="s">
        <v>920</v>
      </c>
      <c r="C37" s="641">
        <f>IF(C29=0,0,C12/C29)</f>
        <v>4194.0801327896161</v>
      </c>
      <c r="D37" s="641">
        <f>IF(D29=0,0,D12/D29)</f>
        <v>4010.0690996862572</v>
      </c>
      <c r="E37" s="641">
        <f>IF(E29=0,0,E12/E29)</f>
        <v>3145.7941841305255</v>
      </c>
    </row>
    <row r="38" spans="1:5" ht="26.1" customHeight="1" x14ac:dyDescent="0.25">
      <c r="A38" s="639">
        <v>6</v>
      </c>
      <c r="B38" s="640" t="s">
        <v>921</v>
      </c>
      <c r="C38" s="641">
        <f>IF(C30=0,0,C12/C30)</f>
        <v>22223.391082870545</v>
      </c>
      <c r="D38" s="641">
        <f>IF(D30=0,0,D12/D30)</f>
        <v>19948.375803248553</v>
      </c>
      <c r="E38" s="641">
        <f>IF(E30=0,0,E12/E30)</f>
        <v>16234.201758487967</v>
      </c>
    </row>
    <row r="39" spans="1:5" ht="26.1" customHeight="1" x14ac:dyDescent="0.25">
      <c r="A39" s="639">
        <v>7</v>
      </c>
      <c r="B39" s="640" t="s">
        <v>922</v>
      </c>
      <c r="C39" s="641">
        <f>IF(C22=0,0,C10/C22)</f>
        <v>1954.8154071154579</v>
      </c>
      <c r="D39" s="641">
        <f>IF(D22=0,0,D10/D22)</f>
        <v>1960.5638559137315</v>
      </c>
      <c r="E39" s="641">
        <f>IF(E22=0,0,E10/E22)</f>
        <v>1700.6751090862974</v>
      </c>
    </row>
    <row r="40" spans="1:5" ht="26.1" customHeight="1" x14ac:dyDescent="0.25">
      <c r="A40" s="639">
        <v>8</v>
      </c>
      <c r="B40" s="640" t="s">
        <v>923</v>
      </c>
      <c r="C40" s="641">
        <f>IF(C23=0,0,C10/C23)</f>
        <v>10358.082323585113</v>
      </c>
      <c r="D40" s="641">
        <f>IF(D23=0,0,D10/D23)</f>
        <v>9752.9652511706299</v>
      </c>
      <c r="E40" s="641">
        <f>IF(E23=0,0,E10/E23)</f>
        <v>8776.5127756367929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924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925</v>
      </c>
      <c r="C43" s="641">
        <f>IF(C19=0,0,C13/C19)</f>
        <v>3280.1381603250829</v>
      </c>
      <c r="D43" s="641">
        <f>IF(D19=0,0,D13/D19)</f>
        <v>3488.492443604845</v>
      </c>
      <c r="E43" s="641">
        <f>IF(E19=0,0,E13/E19)</f>
        <v>3458.0991148446751</v>
      </c>
    </row>
    <row r="44" spans="1:5" ht="26.1" customHeight="1" x14ac:dyDescent="0.25">
      <c r="A44" s="639">
        <v>2</v>
      </c>
      <c r="B44" s="640" t="s">
        <v>926</v>
      </c>
      <c r="C44" s="641">
        <f>IF(C20=0,0,C13/C20)</f>
        <v>17380.639099584048</v>
      </c>
      <c r="D44" s="641">
        <f>IF(D20=0,0,D13/D20)</f>
        <v>17353.755389718077</v>
      </c>
      <c r="E44" s="641">
        <f>IF(E20=0,0,E13/E20)</f>
        <v>17845.884201338376</v>
      </c>
    </row>
    <row r="45" spans="1:5" ht="26.1" customHeight="1" x14ac:dyDescent="0.25">
      <c r="A45" s="639">
        <v>3</v>
      </c>
      <c r="B45" s="640" t="s">
        <v>927</v>
      </c>
      <c r="C45" s="641">
        <f>IF(C22=0,0,C13/C22)</f>
        <v>1387.4643336340348</v>
      </c>
      <c r="D45" s="641">
        <f>IF(D22=0,0,D13/D22)</f>
        <v>1481.7060295555309</v>
      </c>
      <c r="E45" s="641">
        <f>IF(E22=0,0,E13/E22)</f>
        <v>1543.6688402599723</v>
      </c>
    </row>
    <row r="46" spans="1:5" ht="26.1" customHeight="1" x14ac:dyDescent="0.25">
      <c r="A46" s="639">
        <v>4</v>
      </c>
      <c r="B46" s="640" t="s">
        <v>928</v>
      </c>
      <c r="C46" s="641">
        <f>IF(C23=0,0,C13/C23)</f>
        <v>7351.8296083138375</v>
      </c>
      <c r="D46" s="641">
        <f>IF(D23=0,0,D13/D23)</f>
        <v>7370.8527141902841</v>
      </c>
      <c r="E46" s="641">
        <f>IF(E23=0,0,E13/E23)</f>
        <v>7966.2654116063813</v>
      </c>
    </row>
    <row r="47" spans="1:5" ht="26.1" customHeight="1" x14ac:dyDescent="0.25">
      <c r="A47" s="639">
        <v>5</v>
      </c>
      <c r="B47" s="640" t="s">
        <v>929</v>
      </c>
      <c r="C47" s="641">
        <f>IF(C29=0,0,C13/C29)</f>
        <v>1259.1645542193139</v>
      </c>
      <c r="D47" s="641">
        <f>IF(D29=0,0,D13/D29)</f>
        <v>1287.2330270121968</v>
      </c>
      <c r="E47" s="641">
        <f>IF(E29=0,0,E13/E29)</f>
        <v>1274.6172408730013</v>
      </c>
    </row>
    <row r="48" spans="1:5" ht="26.1" customHeight="1" x14ac:dyDescent="0.25">
      <c r="A48" s="639">
        <v>6</v>
      </c>
      <c r="B48" s="640" t="s">
        <v>930</v>
      </c>
      <c r="C48" s="641">
        <f>IF(C30=0,0,C13/C30)</f>
        <v>6672.0008774586395</v>
      </c>
      <c r="D48" s="641">
        <f>IF(D30=0,0,D13/D30)</f>
        <v>6403.4328413945614</v>
      </c>
      <c r="E48" s="641">
        <f>IF(E30=0,0,E13/E30)</f>
        <v>6577.7963344092013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931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932</v>
      </c>
      <c r="C51" s="641">
        <f>IF(C19=0,0,C16/C19)</f>
        <v>3502.1846139637973</v>
      </c>
      <c r="D51" s="641">
        <f>IF(D19=0,0,D16/D19)</f>
        <v>3689.1310145571729</v>
      </c>
      <c r="E51" s="641">
        <f>IF(E19=0,0,E16/E19)</f>
        <v>3816.0193381067825</v>
      </c>
    </row>
    <row r="52" spans="1:6" ht="26.1" customHeight="1" x14ac:dyDescent="0.25">
      <c r="A52" s="639">
        <v>2</v>
      </c>
      <c r="B52" s="640" t="s">
        <v>933</v>
      </c>
      <c r="C52" s="641">
        <f>IF(C20=0,0,C16/C20)</f>
        <v>18557.208221189136</v>
      </c>
      <c r="D52" s="641">
        <f>IF(D20=0,0,D16/D20)</f>
        <v>18351.846323935875</v>
      </c>
      <c r="E52" s="641">
        <f>IF(E20=0,0,E16/E20)</f>
        <v>19692.969159150423</v>
      </c>
    </row>
    <row r="53" spans="1:6" ht="26.1" customHeight="1" x14ac:dyDescent="0.25">
      <c r="A53" s="639">
        <v>3</v>
      </c>
      <c r="B53" s="640" t="s">
        <v>934</v>
      </c>
      <c r="C53" s="641">
        <f>IF(C22=0,0,C16/C22)</f>
        <v>1481.3876745957175</v>
      </c>
      <c r="D53" s="641">
        <f>IF(D22=0,0,D16/D22)</f>
        <v>1566.9254718067134</v>
      </c>
      <c r="E53" s="641">
        <f>IF(E22=0,0,E16/E22)</f>
        <v>1703.4416742938008</v>
      </c>
    </row>
    <row r="54" spans="1:6" ht="26.1" customHeight="1" x14ac:dyDescent="0.25">
      <c r="A54" s="639">
        <v>4</v>
      </c>
      <c r="B54" s="640" t="s">
        <v>935</v>
      </c>
      <c r="C54" s="641">
        <f>IF(C23=0,0,C16/C23)</f>
        <v>7849.5061123182913</v>
      </c>
      <c r="D54" s="641">
        <f>IF(D23=0,0,D16/D23)</f>
        <v>7794.7829302314067</v>
      </c>
      <c r="E54" s="641">
        <f>IF(E23=0,0,E16/E23)</f>
        <v>8790.7899263744985</v>
      </c>
    </row>
    <row r="55" spans="1:6" ht="26.1" customHeight="1" x14ac:dyDescent="0.25">
      <c r="A55" s="639">
        <v>5</v>
      </c>
      <c r="B55" s="640" t="s">
        <v>936</v>
      </c>
      <c r="C55" s="641">
        <f>IF(C29=0,0,C16/C29)</f>
        <v>1344.4027393646195</v>
      </c>
      <c r="D55" s="641">
        <f>IF(D29=0,0,D16/D29)</f>
        <v>1361.2674700266366</v>
      </c>
      <c r="E55" s="641">
        <f>IF(E29=0,0,E16/E29)</f>
        <v>1406.5426924798119</v>
      </c>
    </row>
    <row r="56" spans="1:6" ht="26.1" customHeight="1" x14ac:dyDescent="0.25">
      <c r="A56" s="639">
        <v>6</v>
      </c>
      <c r="B56" s="640" t="s">
        <v>937</v>
      </c>
      <c r="C56" s="641">
        <f>IF(C30=0,0,C16/C30)</f>
        <v>7123.6568934867128</v>
      </c>
      <c r="D56" s="641">
        <f>IF(D30=0,0,D16/D30)</f>
        <v>6771.7224780374263</v>
      </c>
      <c r="E56" s="641">
        <f>IF(E30=0,0,E16/E30)</f>
        <v>7258.6115032046628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938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939</v>
      </c>
      <c r="C59" s="649">
        <v>10310688</v>
      </c>
      <c r="D59" s="649">
        <v>9164680</v>
      </c>
      <c r="E59" s="649">
        <v>10037829</v>
      </c>
    </row>
    <row r="60" spans="1:6" ht="26.1" customHeight="1" x14ac:dyDescent="0.25">
      <c r="A60" s="639">
        <v>2</v>
      </c>
      <c r="B60" s="640" t="s">
        <v>940</v>
      </c>
      <c r="C60" s="649">
        <v>2483912</v>
      </c>
      <c r="D60" s="649">
        <v>2424561</v>
      </c>
      <c r="E60" s="649">
        <v>3137311</v>
      </c>
    </row>
    <row r="61" spans="1:6" ht="26.1" customHeight="1" x14ac:dyDescent="0.25">
      <c r="A61" s="650">
        <v>3</v>
      </c>
      <c r="B61" s="651" t="s">
        <v>941</v>
      </c>
      <c r="C61" s="652">
        <f>C59+C60</f>
        <v>12794600</v>
      </c>
      <c r="D61" s="652">
        <f>D59+D60</f>
        <v>11589241</v>
      </c>
      <c r="E61" s="652">
        <f>E59+E60</f>
        <v>13175140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942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943</v>
      </c>
      <c r="C64" s="641">
        <v>2409938</v>
      </c>
      <c r="D64" s="641">
        <v>2541554</v>
      </c>
      <c r="E64" s="649">
        <v>692376</v>
      </c>
      <c r="F64" s="653"/>
    </row>
    <row r="65" spans="1:6" ht="26.1" customHeight="1" x14ac:dyDescent="0.25">
      <c r="A65" s="639">
        <v>2</v>
      </c>
      <c r="B65" s="640" t="s">
        <v>944</v>
      </c>
      <c r="C65" s="649">
        <v>580570</v>
      </c>
      <c r="D65" s="649">
        <v>672381</v>
      </c>
      <c r="E65" s="649">
        <v>216401</v>
      </c>
      <c r="F65" s="653"/>
    </row>
    <row r="66" spans="1:6" ht="26.1" customHeight="1" x14ac:dyDescent="0.25">
      <c r="A66" s="650">
        <v>3</v>
      </c>
      <c r="B66" s="651" t="s">
        <v>945</v>
      </c>
      <c r="C66" s="654">
        <f>C64+C65</f>
        <v>2990508</v>
      </c>
      <c r="D66" s="654">
        <f>D64+D65</f>
        <v>3213935</v>
      </c>
      <c r="E66" s="654">
        <f>E64+E65</f>
        <v>908777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946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947</v>
      </c>
      <c r="C69" s="649">
        <v>17101496</v>
      </c>
      <c r="D69" s="649">
        <v>15030923</v>
      </c>
      <c r="E69" s="649">
        <v>15934731</v>
      </c>
    </row>
    <row r="70" spans="1:6" ht="26.1" customHeight="1" x14ac:dyDescent="0.25">
      <c r="A70" s="639">
        <v>2</v>
      </c>
      <c r="B70" s="640" t="s">
        <v>948</v>
      </c>
      <c r="C70" s="649">
        <v>4119862</v>
      </c>
      <c r="D70" s="649">
        <v>3931568</v>
      </c>
      <c r="E70" s="649">
        <v>5033765</v>
      </c>
    </row>
    <row r="71" spans="1:6" ht="26.1" customHeight="1" x14ac:dyDescent="0.25">
      <c r="A71" s="650">
        <v>3</v>
      </c>
      <c r="B71" s="651" t="s">
        <v>949</v>
      </c>
      <c r="C71" s="652">
        <f>C69+C70</f>
        <v>21221358</v>
      </c>
      <c r="D71" s="652">
        <f>D69+D70</f>
        <v>18962491</v>
      </c>
      <c r="E71" s="652">
        <f>E69+E70</f>
        <v>20968496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950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951</v>
      </c>
      <c r="C75" s="641">
        <f t="shared" ref="C75:E76" si="0">+C59+C64+C69</f>
        <v>29822122</v>
      </c>
      <c r="D75" s="641">
        <f t="shared" si="0"/>
        <v>26737157</v>
      </c>
      <c r="E75" s="641">
        <f t="shared" si="0"/>
        <v>26664936</v>
      </c>
    </row>
    <row r="76" spans="1:6" ht="26.1" customHeight="1" x14ac:dyDescent="0.25">
      <c r="A76" s="639">
        <v>2</v>
      </c>
      <c r="B76" s="640" t="s">
        <v>952</v>
      </c>
      <c r="C76" s="641">
        <f t="shared" si="0"/>
        <v>7184344</v>
      </c>
      <c r="D76" s="641">
        <f t="shared" si="0"/>
        <v>7028510</v>
      </c>
      <c r="E76" s="641">
        <f t="shared" si="0"/>
        <v>8387477</v>
      </c>
    </row>
    <row r="77" spans="1:6" ht="26.1" customHeight="1" x14ac:dyDescent="0.25">
      <c r="A77" s="650">
        <v>3</v>
      </c>
      <c r="B77" s="651" t="s">
        <v>950</v>
      </c>
      <c r="C77" s="654">
        <f>C75+C76</f>
        <v>37006466</v>
      </c>
      <c r="D77" s="654">
        <f>D75+D76</f>
        <v>33765667</v>
      </c>
      <c r="E77" s="654">
        <f>E75+E76</f>
        <v>35052413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953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132.30000000000001</v>
      </c>
      <c r="D80" s="646">
        <v>119</v>
      </c>
      <c r="E80" s="646">
        <v>125.4</v>
      </c>
    </row>
    <row r="81" spans="1:5" ht="26.1" customHeight="1" x14ac:dyDescent="0.25">
      <c r="A81" s="639">
        <v>2</v>
      </c>
      <c r="B81" s="640" t="s">
        <v>579</v>
      </c>
      <c r="C81" s="646">
        <v>10.4</v>
      </c>
      <c r="D81" s="646">
        <v>11.3</v>
      </c>
      <c r="E81" s="646">
        <v>5.9</v>
      </c>
    </row>
    <row r="82" spans="1:5" ht="26.1" customHeight="1" x14ac:dyDescent="0.25">
      <c r="A82" s="639">
        <v>3</v>
      </c>
      <c r="B82" s="640" t="s">
        <v>954</v>
      </c>
      <c r="C82" s="646">
        <v>409.9</v>
      </c>
      <c r="D82" s="646">
        <v>338.9</v>
      </c>
      <c r="E82" s="646">
        <v>344.4</v>
      </c>
    </row>
    <row r="83" spans="1:5" ht="26.1" customHeight="1" x14ac:dyDescent="0.25">
      <c r="A83" s="650">
        <v>4</v>
      </c>
      <c r="B83" s="651" t="s">
        <v>953</v>
      </c>
      <c r="C83" s="656">
        <f>C80+C81+C82</f>
        <v>552.6</v>
      </c>
      <c r="D83" s="656">
        <f>D80+D81+D82</f>
        <v>469.2</v>
      </c>
      <c r="E83" s="656">
        <f>E80+E81+E82</f>
        <v>475.7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955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956</v>
      </c>
      <c r="C86" s="649">
        <f>IF(C80=0,0,C59/C80)</f>
        <v>77934.149659863935</v>
      </c>
      <c r="D86" s="649">
        <f>IF(D80=0,0,D59/D80)</f>
        <v>77014.117647058825</v>
      </c>
      <c r="E86" s="649">
        <f>IF(E80=0,0,E59/E80)</f>
        <v>80046.483253588507</v>
      </c>
    </row>
    <row r="87" spans="1:5" ht="26.1" customHeight="1" x14ac:dyDescent="0.25">
      <c r="A87" s="639">
        <v>2</v>
      </c>
      <c r="B87" s="640" t="s">
        <v>957</v>
      </c>
      <c r="C87" s="649">
        <f>IF(C80=0,0,C60/C80)</f>
        <v>18774.845049130763</v>
      </c>
      <c r="D87" s="649">
        <f>IF(D80=0,0,D60/D80)</f>
        <v>20374.462184873948</v>
      </c>
      <c r="E87" s="649">
        <f>IF(E80=0,0,E60/E80)</f>
        <v>25018.429027113238</v>
      </c>
    </row>
    <row r="88" spans="1:5" ht="26.1" customHeight="1" x14ac:dyDescent="0.25">
      <c r="A88" s="650">
        <v>3</v>
      </c>
      <c r="B88" s="651" t="s">
        <v>958</v>
      </c>
      <c r="C88" s="652">
        <f>+C86+C87</f>
        <v>96708.994708994695</v>
      </c>
      <c r="D88" s="652">
        <f>+D86+D87</f>
        <v>97388.579831932773</v>
      </c>
      <c r="E88" s="652">
        <f>+E86+E87</f>
        <v>105064.91228070174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959</v>
      </c>
    </row>
    <row r="91" spans="1:5" ht="26.1" customHeight="1" x14ac:dyDescent="0.25">
      <c r="A91" s="639">
        <v>1</v>
      </c>
      <c r="B91" s="640" t="s">
        <v>960</v>
      </c>
      <c r="C91" s="641">
        <f>IF(C81=0,0,C64/C81)</f>
        <v>231724.80769230769</v>
      </c>
      <c r="D91" s="641">
        <f>IF(D81=0,0,D64/D81)</f>
        <v>224916.2831858407</v>
      </c>
      <c r="E91" s="641">
        <f>IF(E81=0,0,E64/E81)</f>
        <v>117351.86440677966</v>
      </c>
    </row>
    <row r="92" spans="1:5" ht="26.1" customHeight="1" x14ac:dyDescent="0.25">
      <c r="A92" s="639">
        <v>2</v>
      </c>
      <c r="B92" s="640" t="s">
        <v>961</v>
      </c>
      <c r="C92" s="641">
        <f>IF(C81=0,0,C65/C81)</f>
        <v>55824.038461538461</v>
      </c>
      <c r="D92" s="641">
        <f>IF(D81=0,0,D65/D81)</f>
        <v>59502.743362831854</v>
      </c>
      <c r="E92" s="641">
        <f>IF(E81=0,0,E65/E81)</f>
        <v>36678.135593220337</v>
      </c>
    </row>
    <row r="93" spans="1:5" ht="26.1" customHeight="1" x14ac:dyDescent="0.25">
      <c r="A93" s="650">
        <v>3</v>
      </c>
      <c r="B93" s="651" t="s">
        <v>962</v>
      </c>
      <c r="C93" s="654">
        <f>+C91+C92</f>
        <v>287548.84615384613</v>
      </c>
      <c r="D93" s="654">
        <f>+D91+D92</f>
        <v>284419.02654867258</v>
      </c>
      <c r="E93" s="654">
        <f>+E91+E92</f>
        <v>154030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963</v>
      </c>
      <c r="B95" s="642" t="s">
        <v>964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965</v>
      </c>
      <c r="C96" s="649">
        <f>IF(C82=0,0,C69/C82)</f>
        <v>41721.14174188827</v>
      </c>
      <c r="D96" s="649">
        <f>IF(D82=0,0,D69/D82)</f>
        <v>44352.0891118324</v>
      </c>
      <c r="E96" s="649">
        <f>IF(E82=0,0,E69/E82)</f>
        <v>46268.092334494773</v>
      </c>
    </row>
    <row r="97" spans="1:5" ht="26.1" customHeight="1" x14ac:dyDescent="0.25">
      <c r="A97" s="639">
        <v>2</v>
      </c>
      <c r="B97" s="640" t="s">
        <v>966</v>
      </c>
      <c r="C97" s="649">
        <f>IF(C82=0,0,C70/C82)</f>
        <v>10050.89534032691</v>
      </c>
      <c r="D97" s="649">
        <f>IF(D82=0,0,D70/D82)</f>
        <v>11600.967837120095</v>
      </c>
      <c r="E97" s="649">
        <f>IF(E82=0,0,E70/E82)</f>
        <v>14616.042392566784</v>
      </c>
    </row>
    <row r="98" spans="1:5" ht="26.1" customHeight="1" x14ac:dyDescent="0.25">
      <c r="A98" s="650">
        <v>3</v>
      </c>
      <c r="B98" s="651" t="s">
        <v>967</v>
      </c>
      <c r="C98" s="654">
        <f>+C96+C97</f>
        <v>51772.037082215182</v>
      </c>
      <c r="D98" s="654">
        <f>+D96+D97</f>
        <v>55953.056948952493</v>
      </c>
      <c r="E98" s="654">
        <f>+E96+E97</f>
        <v>60884.134727061559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968</v>
      </c>
      <c r="B100" s="642" t="s">
        <v>969</v>
      </c>
    </row>
    <row r="101" spans="1:5" ht="26.1" customHeight="1" x14ac:dyDescent="0.25">
      <c r="A101" s="639">
        <v>1</v>
      </c>
      <c r="B101" s="640" t="s">
        <v>970</v>
      </c>
      <c r="C101" s="641">
        <f>IF(C83=0,0,C75/C83)</f>
        <v>53966.923633731451</v>
      </c>
      <c r="D101" s="641">
        <f>IF(D83=0,0,D75/D83)</f>
        <v>56984.563086104012</v>
      </c>
      <c r="E101" s="641">
        <f>IF(E83=0,0,E75/E83)</f>
        <v>56054.101324364099</v>
      </c>
    </row>
    <row r="102" spans="1:5" ht="26.1" customHeight="1" x14ac:dyDescent="0.25">
      <c r="A102" s="639">
        <v>2</v>
      </c>
      <c r="B102" s="640" t="s">
        <v>971</v>
      </c>
      <c r="C102" s="658">
        <f>IF(C83=0,0,C76/C83)</f>
        <v>13000.984437205934</v>
      </c>
      <c r="D102" s="658">
        <f>IF(D83=0,0,D76/D83)</f>
        <v>14979.774083546463</v>
      </c>
      <c r="E102" s="658">
        <f>IF(E83=0,0,E76/E83)</f>
        <v>17631.862518393948</v>
      </c>
    </row>
    <row r="103" spans="1:5" ht="26.1" customHeight="1" x14ac:dyDescent="0.25">
      <c r="A103" s="650">
        <v>3</v>
      </c>
      <c r="B103" s="651" t="s">
        <v>969</v>
      </c>
      <c r="C103" s="654">
        <f>+C101+C102</f>
        <v>66967.908070937381</v>
      </c>
      <c r="D103" s="654">
        <f>+D101+D102</f>
        <v>71964.337169650476</v>
      </c>
      <c r="E103" s="654">
        <f>+E101+E102</f>
        <v>73685.96384275805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972</v>
      </c>
      <c r="B107" s="634" t="s">
        <v>973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974</v>
      </c>
      <c r="C108" s="641">
        <f>IF(C19=0,0,C77/C19)</f>
        <v>1708.8320096047285</v>
      </c>
      <c r="D108" s="641">
        <f>IF(D19=0,0,D77/D19)</f>
        <v>1876.078842093566</v>
      </c>
      <c r="E108" s="641">
        <f>IF(E19=0,0,E77/E19)</f>
        <v>1976.2312115915881</v>
      </c>
    </row>
    <row r="109" spans="1:5" ht="26.1" customHeight="1" x14ac:dyDescent="0.25">
      <c r="A109" s="639">
        <v>2</v>
      </c>
      <c r="B109" s="640" t="s">
        <v>975</v>
      </c>
      <c r="C109" s="641">
        <f>IF(C20=0,0,C77/C20)</f>
        <v>9054.6772693907515</v>
      </c>
      <c r="D109" s="641">
        <f>IF(D20=0,0,D77/D20)</f>
        <v>9332.6885019347701</v>
      </c>
      <c r="E109" s="641">
        <f>IF(E20=0,0,E77/E20)</f>
        <v>10198.549025312774</v>
      </c>
    </row>
    <row r="110" spans="1:5" ht="26.1" customHeight="1" x14ac:dyDescent="0.25">
      <c r="A110" s="639">
        <v>3</v>
      </c>
      <c r="B110" s="640" t="s">
        <v>976</v>
      </c>
      <c r="C110" s="641">
        <f>IF(C22=0,0,C77/C22)</f>
        <v>722.81817094672533</v>
      </c>
      <c r="D110" s="641">
        <f>IF(D22=0,0,D77/D22)</f>
        <v>796.8477435998351</v>
      </c>
      <c r="E110" s="641">
        <f>IF(E22=0,0,E77/E22)</f>
        <v>882.17440887901523</v>
      </c>
    </row>
    <row r="111" spans="1:5" ht="26.1" customHeight="1" x14ac:dyDescent="0.25">
      <c r="A111" s="639">
        <v>4</v>
      </c>
      <c r="B111" s="640" t="s">
        <v>977</v>
      </c>
      <c r="C111" s="641">
        <f>IF(C23=0,0,C77/C23)</f>
        <v>3830.0343308104434</v>
      </c>
      <c r="D111" s="641">
        <f>IF(D23=0,0,D77/D23)</f>
        <v>3963.9761440878474</v>
      </c>
      <c r="E111" s="641">
        <f>IF(E23=0,0,E77/E23)</f>
        <v>4552.5538231850724</v>
      </c>
    </row>
    <row r="112" spans="1:5" ht="26.1" customHeight="1" x14ac:dyDescent="0.25">
      <c r="A112" s="639">
        <v>5</v>
      </c>
      <c r="B112" s="640" t="s">
        <v>978</v>
      </c>
      <c r="C112" s="641">
        <f>IF(C29=0,0,C77/C29)</f>
        <v>655.97867847017301</v>
      </c>
      <c r="D112" s="641">
        <f>IF(D29=0,0,D77/D29)</f>
        <v>692.26196870477986</v>
      </c>
      <c r="E112" s="641">
        <f>IF(E29=0,0,E77/E29)</f>
        <v>728.41705532177025</v>
      </c>
    </row>
    <row r="113" spans="1:7" ht="25.5" customHeight="1" x14ac:dyDescent="0.25">
      <c r="A113" s="639">
        <v>6</v>
      </c>
      <c r="B113" s="640" t="s">
        <v>979</v>
      </c>
      <c r="C113" s="641">
        <f>IF(C30=0,0,C77/C30)</f>
        <v>3475.8684269513246</v>
      </c>
      <c r="D113" s="641">
        <f>IF(D30=0,0,D77/D30)</f>
        <v>3443.7067199415778</v>
      </c>
      <c r="E113" s="641">
        <f>IF(E30=0,0,E77/E30)</f>
        <v>3759.0728281181964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FILING&amp;R&amp;12JOHNSON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2" sqref="A2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195580846</v>
      </c>
      <c r="D12" s="51">
        <v>151379874</v>
      </c>
      <c r="E12" s="51">
        <f t="shared" ref="E12:E19" si="0">D12-C12</f>
        <v>-44200972</v>
      </c>
      <c r="F12" s="70">
        <f t="shared" ref="F12:F19" si="1">IF(C12=0,0,E12/C12)</f>
        <v>-0.22599847021829531</v>
      </c>
    </row>
    <row r="13" spans="1:8" ht="23.1" customHeight="1" x14ac:dyDescent="0.2">
      <c r="A13" s="25">
        <v>2</v>
      </c>
      <c r="B13" s="48" t="s">
        <v>72</v>
      </c>
      <c r="C13" s="51">
        <v>132235283</v>
      </c>
      <c r="D13" s="51">
        <v>89762915</v>
      </c>
      <c r="E13" s="51">
        <f t="shared" si="0"/>
        <v>-42472368</v>
      </c>
      <c r="F13" s="70">
        <f t="shared" si="1"/>
        <v>-0.32118786330271626</v>
      </c>
    </row>
    <row r="14" spans="1:8" ht="23.1" customHeight="1" x14ac:dyDescent="0.2">
      <c r="A14" s="25">
        <v>3</v>
      </c>
      <c r="B14" s="48" t="s">
        <v>73</v>
      </c>
      <c r="C14" s="51">
        <v>559676</v>
      </c>
      <c r="D14" s="51">
        <v>280655</v>
      </c>
      <c r="E14" s="51">
        <f t="shared" si="0"/>
        <v>-279021</v>
      </c>
      <c r="F14" s="70">
        <f t="shared" si="1"/>
        <v>-0.49854022684553206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62785887</v>
      </c>
      <c r="D16" s="27">
        <f>D12-D13-D14-D15</f>
        <v>61336304</v>
      </c>
      <c r="E16" s="27">
        <f t="shared" si="0"/>
        <v>-1449583</v>
      </c>
      <c r="F16" s="28">
        <f t="shared" si="1"/>
        <v>-2.3087720334348385E-2</v>
      </c>
    </row>
    <row r="17" spans="1:7" ht="23.1" customHeight="1" x14ac:dyDescent="0.2">
      <c r="A17" s="25">
        <v>5</v>
      </c>
      <c r="B17" s="48" t="s">
        <v>76</v>
      </c>
      <c r="C17" s="51">
        <v>54542</v>
      </c>
      <c r="D17" s="51">
        <v>252845</v>
      </c>
      <c r="E17" s="51">
        <f t="shared" si="0"/>
        <v>198303</v>
      </c>
      <c r="F17" s="70">
        <f t="shared" si="1"/>
        <v>3.6357852664002053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62840429</v>
      </c>
      <c r="D19" s="27">
        <f>SUM(D16:D18)</f>
        <v>61589149</v>
      </c>
      <c r="E19" s="27">
        <f t="shared" si="0"/>
        <v>-1251280</v>
      </c>
      <c r="F19" s="28">
        <f t="shared" si="1"/>
        <v>-1.9912021924611622E-2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26737157</v>
      </c>
      <c r="D22" s="51">
        <v>26664936</v>
      </c>
      <c r="E22" s="51">
        <f t="shared" ref="E22:E31" si="2">D22-C22</f>
        <v>-72221</v>
      </c>
      <c r="F22" s="70">
        <f t="shared" ref="F22:F31" si="3">IF(C22=0,0,E22/C22)</f>
        <v>-2.7011473209361788E-3</v>
      </c>
    </row>
    <row r="23" spans="1:7" ht="23.1" customHeight="1" x14ac:dyDescent="0.2">
      <c r="A23" s="25">
        <v>2</v>
      </c>
      <c r="B23" s="48" t="s">
        <v>81</v>
      </c>
      <c r="C23" s="51">
        <v>7028510</v>
      </c>
      <c r="D23" s="51">
        <v>8387477</v>
      </c>
      <c r="E23" s="51">
        <f t="shared" si="2"/>
        <v>1358967</v>
      </c>
      <c r="F23" s="70">
        <f t="shared" si="3"/>
        <v>0.19335065326790457</v>
      </c>
    </row>
    <row r="24" spans="1:7" ht="23.1" customHeight="1" x14ac:dyDescent="0.2">
      <c r="A24" s="25">
        <v>3</v>
      </c>
      <c r="B24" s="48" t="s">
        <v>82</v>
      </c>
      <c r="C24" s="51">
        <v>212632</v>
      </c>
      <c r="D24" s="51">
        <v>387251</v>
      </c>
      <c r="E24" s="51">
        <f t="shared" si="2"/>
        <v>174619</v>
      </c>
      <c r="F24" s="70">
        <f t="shared" si="3"/>
        <v>0.82122634410624928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7709947</v>
      </c>
      <c r="D25" s="51">
        <v>9882840</v>
      </c>
      <c r="E25" s="51">
        <f t="shared" si="2"/>
        <v>2172893</v>
      </c>
      <c r="F25" s="70">
        <f t="shared" si="3"/>
        <v>0.28182982321408956</v>
      </c>
    </row>
    <row r="26" spans="1:7" ht="23.1" customHeight="1" x14ac:dyDescent="0.2">
      <c r="A26" s="25">
        <v>5</v>
      </c>
      <c r="B26" s="48" t="s">
        <v>84</v>
      </c>
      <c r="C26" s="51">
        <v>2971658</v>
      </c>
      <c r="D26" s="51">
        <v>3172136</v>
      </c>
      <c r="E26" s="51">
        <f t="shared" si="2"/>
        <v>200478</v>
      </c>
      <c r="F26" s="70">
        <f t="shared" si="3"/>
        <v>6.7463348743361448E-2</v>
      </c>
    </row>
    <row r="27" spans="1:7" ht="23.1" customHeight="1" x14ac:dyDescent="0.2">
      <c r="A27" s="25">
        <v>6</v>
      </c>
      <c r="B27" s="48" t="s">
        <v>85</v>
      </c>
      <c r="C27" s="51">
        <v>5104950</v>
      </c>
      <c r="D27" s="51">
        <v>2544297</v>
      </c>
      <c r="E27" s="51">
        <f t="shared" si="2"/>
        <v>-2560653</v>
      </c>
      <c r="F27" s="70">
        <f t="shared" si="3"/>
        <v>-0.50160197455410926</v>
      </c>
    </row>
    <row r="28" spans="1:7" ht="23.1" customHeight="1" x14ac:dyDescent="0.2">
      <c r="A28" s="25">
        <v>7</v>
      </c>
      <c r="B28" s="48" t="s">
        <v>86</v>
      </c>
      <c r="C28" s="51">
        <v>845087</v>
      </c>
      <c r="D28" s="51">
        <v>592676</v>
      </c>
      <c r="E28" s="51">
        <f t="shared" si="2"/>
        <v>-252411</v>
      </c>
      <c r="F28" s="70">
        <f t="shared" si="3"/>
        <v>-0.29868049088437049</v>
      </c>
    </row>
    <row r="29" spans="1:7" ht="23.1" customHeight="1" x14ac:dyDescent="0.2">
      <c r="A29" s="25">
        <v>8</v>
      </c>
      <c r="B29" s="48" t="s">
        <v>87</v>
      </c>
      <c r="C29" s="51">
        <v>421101</v>
      </c>
      <c r="D29" s="51">
        <v>322204</v>
      </c>
      <c r="E29" s="51">
        <f t="shared" si="2"/>
        <v>-98897</v>
      </c>
      <c r="F29" s="70">
        <f t="shared" si="3"/>
        <v>-0.23485339621610968</v>
      </c>
    </row>
    <row r="30" spans="1:7" ht="23.1" customHeight="1" x14ac:dyDescent="0.2">
      <c r="A30" s="25">
        <v>9</v>
      </c>
      <c r="B30" s="48" t="s">
        <v>88</v>
      </c>
      <c r="C30" s="51">
        <v>15365938</v>
      </c>
      <c r="D30" s="51">
        <v>15730918</v>
      </c>
      <c r="E30" s="51">
        <f t="shared" si="2"/>
        <v>364980</v>
      </c>
      <c r="F30" s="70">
        <f t="shared" si="3"/>
        <v>2.3752536291634131E-2</v>
      </c>
    </row>
    <row r="31" spans="1:7" ht="23.1" customHeight="1" x14ac:dyDescent="0.25">
      <c r="A31" s="29"/>
      <c r="B31" s="71" t="s">
        <v>89</v>
      </c>
      <c r="C31" s="27">
        <f>SUM(C22:C30)</f>
        <v>66396980</v>
      </c>
      <c r="D31" s="27">
        <f>SUM(D22:D30)</f>
        <v>67684735</v>
      </c>
      <c r="E31" s="27">
        <f t="shared" si="2"/>
        <v>1287755</v>
      </c>
      <c r="F31" s="28">
        <f t="shared" si="3"/>
        <v>1.9394782714515026E-2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-3556551</v>
      </c>
      <c r="D33" s="27">
        <f>+D19-D31</f>
        <v>-6095586</v>
      </c>
      <c r="E33" s="27">
        <f>D33-C33</f>
        <v>-2539035</v>
      </c>
      <c r="F33" s="28">
        <f>IF(C33=0,0,E33/C33)</f>
        <v>0.71390372301704652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88502</v>
      </c>
      <c r="D36" s="51">
        <v>450042</v>
      </c>
      <c r="E36" s="51">
        <f>D36-C36</f>
        <v>361540</v>
      </c>
      <c r="F36" s="70">
        <f>IF(C36=0,0,E36/C36)</f>
        <v>4.0851054213464106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88502</v>
      </c>
      <c r="D39" s="27">
        <f>SUM(D36:D38)</f>
        <v>450042</v>
      </c>
      <c r="E39" s="27">
        <f>D39-C39</f>
        <v>361540</v>
      </c>
      <c r="F39" s="28">
        <f>IF(C39=0,0,E39/C39)</f>
        <v>4.0851054213464106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-3468049</v>
      </c>
      <c r="D41" s="27">
        <f>D33+D39</f>
        <v>-5645544</v>
      </c>
      <c r="E41" s="27">
        <f>D41-C41</f>
        <v>-2177495</v>
      </c>
      <c r="F41" s="28">
        <f>IF(C41=0,0,E41/C41)</f>
        <v>0.62787319325649671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-2376932</v>
      </c>
      <c r="D45" s="51">
        <v>33017171</v>
      </c>
      <c r="E45" s="51">
        <f>D45-C45</f>
        <v>35394103</v>
      </c>
      <c r="F45" s="70">
        <f>IF(C45=0,0,E45/C45)</f>
        <v>-14.890667044745074</v>
      </c>
    </row>
    <row r="46" spans="1:6" ht="23.1" customHeight="1" x14ac:dyDescent="0.25">
      <c r="A46" s="20"/>
      <c r="B46" s="74" t="s">
        <v>100</v>
      </c>
      <c r="C46" s="27">
        <f>SUM(C44:C45)</f>
        <v>-2376932</v>
      </c>
      <c r="D46" s="27">
        <f>SUM(D44:D45)</f>
        <v>33017171</v>
      </c>
      <c r="E46" s="27">
        <f>D46-C46</f>
        <v>35394103</v>
      </c>
      <c r="F46" s="28">
        <f>IF(C46=0,0,E46/C46)</f>
        <v>-14.890667044745074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-5844981</v>
      </c>
      <c r="D48" s="27">
        <f>D41+D46</f>
        <v>27371627</v>
      </c>
      <c r="E48" s="27">
        <f>D48-C48</f>
        <v>33216608</v>
      </c>
      <c r="F48" s="28">
        <f>IF(C48=0,0,E48/C48)</f>
        <v>-5.6829283106309498</v>
      </c>
    </row>
    <row r="49" spans="1:6" ht="23.1" customHeight="1" x14ac:dyDescent="0.2">
      <c r="A49" s="44"/>
      <c r="B49" s="48" t="s">
        <v>102</v>
      </c>
      <c r="C49" s="51">
        <v>715486</v>
      </c>
      <c r="D49" s="51">
        <v>484562</v>
      </c>
      <c r="E49" s="51">
        <f>D49-C49</f>
        <v>-230924</v>
      </c>
      <c r="F49" s="70">
        <f>IF(C49=0,0,E49/C49)</f>
        <v>-0.32275124880151396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FILING&amp;RJOHNSON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6.8554687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45504217</v>
      </c>
      <c r="D14" s="97">
        <v>35797385</v>
      </c>
      <c r="E14" s="97">
        <f t="shared" ref="E14:E25" si="0">D14-C14</f>
        <v>-9706832</v>
      </c>
      <c r="F14" s="98">
        <f t="shared" ref="F14:F25" si="1">IF(C14=0,0,E14/C14)</f>
        <v>-0.21331719651389672</v>
      </c>
    </row>
    <row r="15" spans="1:6" ht="18" customHeight="1" x14ac:dyDescent="0.25">
      <c r="A15" s="99">
        <v>2</v>
      </c>
      <c r="B15" s="100" t="s">
        <v>113</v>
      </c>
      <c r="C15" s="97">
        <v>6338778</v>
      </c>
      <c r="D15" s="97">
        <v>7018090</v>
      </c>
      <c r="E15" s="97">
        <f t="shared" si="0"/>
        <v>679312</v>
      </c>
      <c r="F15" s="98">
        <f t="shared" si="1"/>
        <v>0.10716765912925173</v>
      </c>
    </row>
    <row r="16" spans="1:6" ht="18" customHeight="1" x14ac:dyDescent="0.25">
      <c r="A16" s="99">
        <v>3</v>
      </c>
      <c r="B16" s="100" t="s">
        <v>114</v>
      </c>
      <c r="C16" s="97">
        <v>2226464</v>
      </c>
      <c r="D16" s="97">
        <v>3664534</v>
      </c>
      <c r="E16" s="97">
        <f t="shared" si="0"/>
        <v>1438070</v>
      </c>
      <c r="F16" s="98">
        <f t="shared" si="1"/>
        <v>0.64589860873564542</v>
      </c>
    </row>
    <row r="17" spans="1:6" ht="18" customHeight="1" x14ac:dyDescent="0.25">
      <c r="A17" s="99">
        <v>4</v>
      </c>
      <c r="B17" s="100" t="s">
        <v>115</v>
      </c>
      <c r="C17" s="97">
        <v>3082158</v>
      </c>
      <c r="D17" s="97">
        <v>3092959</v>
      </c>
      <c r="E17" s="97">
        <f t="shared" si="0"/>
        <v>10801</v>
      </c>
      <c r="F17" s="98">
        <f t="shared" si="1"/>
        <v>3.5043628522613054E-3</v>
      </c>
    </row>
    <row r="18" spans="1:6" ht="18" customHeight="1" x14ac:dyDescent="0.25">
      <c r="A18" s="99">
        <v>5</v>
      </c>
      <c r="B18" s="100" t="s">
        <v>116</v>
      </c>
      <c r="C18" s="97">
        <v>423693</v>
      </c>
      <c r="D18" s="97">
        <v>253020</v>
      </c>
      <c r="E18" s="97">
        <f t="shared" si="0"/>
        <v>-170673</v>
      </c>
      <c r="F18" s="98">
        <f t="shared" si="1"/>
        <v>-0.4028223265430394</v>
      </c>
    </row>
    <row r="19" spans="1:6" ht="18" customHeight="1" x14ac:dyDescent="0.25">
      <c r="A19" s="99">
        <v>6</v>
      </c>
      <c r="B19" s="100" t="s">
        <v>117</v>
      </c>
      <c r="C19" s="97">
        <v>407077</v>
      </c>
      <c r="D19" s="97">
        <v>445621</v>
      </c>
      <c r="E19" s="97">
        <f t="shared" si="0"/>
        <v>38544</v>
      </c>
      <c r="F19" s="98">
        <f t="shared" si="1"/>
        <v>9.4684789364174349E-2</v>
      </c>
    </row>
    <row r="20" spans="1:6" ht="18" customHeight="1" x14ac:dyDescent="0.25">
      <c r="A20" s="99">
        <v>7</v>
      </c>
      <c r="B20" s="100" t="s">
        <v>118</v>
      </c>
      <c r="C20" s="97">
        <v>20827413</v>
      </c>
      <c r="D20" s="97">
        <v>15504223</v>
      </c>
      <c r="E20" s="97">
        <f t="shared" si="0"/>
        <v>-5323190</v>
      </c>
      <c r="F20" s="98">
        <f t="shared" si="1"/>
        <v>-0.25558575133647177</v>
      </c>
    </row>
    <row r="21" spans="1:6" ht="18" customHeight="1" x14ac:dyDescent="0.25">
      <c r="A21" s="99">
        <v>8</v>
      </c>
      <c r="B21" s="100" t="s">
        <v>119</v>
      </c>
      <c r="C21" s="97">
        <v>282462</v>
      </c>
      <c r="D21" s="97">
        <v>352198</v>
      </c>
      <c r="E21" s="97">
        <f t="shared" si="0"/>
        <v>69736</v>
      </c>
      <c r="F21" s="98">
        <f t="shared" si="1"/>
        <v>0.24688630683065332</v>
      </c>
    </row>
    <row r="22" spans="1:6" ht="18" customHeight="1" x14ac:dyDescent="0.25">
      <c r="A22" s="99">
        <v>9</v>
      </c>
      <c r="B22" s="100" t="s">
        <v>120</v>
      </c>
      <c r="C22" s="97">
        <v>2666773</v>
      </c>
      <c r="D22" s="97">
        <v>734342</v>
      </c>
      <c r="E22" s="97">
        <f t="shared" si="0"/>
        <v>-1932431</v>
      </c>
      <c r="F22" s="98">
        <f t="shared" si="1"/>
        <v>-0.72463273026988051</v>
      </c>
    </row>
    <row r="23" spans="1:6" ht="18" customHeight="1" x14ac:dyDescent="0.25">
      <c r="A23" s="99">
        <v>10</v>
      </c>
      <c r="B23" s="100" t="s">
        <v>121</v>
      </c>
      <c r="C23" s="97">
        <v>1304309</v>
      </c>
      <c r="D23" s="97">
        <v>712436</v>
      </c>
      <c r="E23" s="97">
        <f t="shared" si="0"/>
        <v>-591873</v>
      </c>
      <c r="F23" s="98">
        <f t="shared" si="1"/>
        <v>-0.45378280760157291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83063344</v>
      </c>
      <c r="D25" s="103">
        <f>SUM(D14:D24)</f>
        <v>67574808</v>
      </c>
      <c r="E25" s="103">
        <f t="shared" si="0"/>
        <v>-15488536</v>
      </c>
      <c r="F25" s="104">
        <f t="shared" si="1"/>
        <v>-0.18646655978598695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29513340</v>
      </c>
      <c r="D27" s="97">
        <v>20613356</v>
      </c>
      <c r="E27" s="97">
        <f t="shared" ref="E27:E38" si="2">D27-C27</f>
        <v>-8899984</v>
      </c>
      <c r="F27" s="98">
        <f t="shared" ref="F27:F38" si="3">IF(C27=0,0,E27/C27)</f>
        <v>-0.30155800732821159</v>
      </c>
    </row>
    <row r="28" spans="1:6" ht="18" customHeight="1" x14ac:dyDescent="0.25">
      <c r="A28" s="99">
        <v>2</v>
      </c>
      <c r="B28" s="100" t="s">
        <v>113</v>
      </c>
      <c r="C28" s="97">
        <v>5963428</v>
      </c>
      <c r="D28" s="97">
        <v>5734884</v>
      </c>
      <c r="E28" s="97">
        <f t="shared" si="2"/>
        <v>-228544</v>
      </c>
      <c r="F28" s="98">
        <f t="shared" si="3"/>
        <v>-3.8324265841727274E-2</v>
      </c>
    </row>
    <row r="29" spans="1:6" ht="18" customHeight="1" x14ac:dyDescent="0.25">
      <c r="A29" s="99">
        <v>3</v>
      </c>
      <c r="B29" s="100" t="s">
        <v>114</v>
      </c>
      <c r="C29" s="97">
        <v>2497889</v>
      </c>
      <c r="D29" s="97">
        <v>2525676</v>
      </c>
      <c r="E29" s="97">
        <f t="shared" si="2"/>
        <v>27787</v>
      </c>
      <c r="F29" s="98">
        <f t="shared" si="3"/>
        <v>1.1124193268796172E-2</v>
      </c>
    </row>
    <row r="30" spans="1:6" ht="18" customHeight="1" x14ac:dyDescent="0.25">
      <c r="A30" s="99">
        <v>4</v>
      </c>
      <c r="B30" s="100" t="s">
        <v>115</v>
      </c>
      <c r="C30" s="97">
        <v>6931078</v>
      </c>
      <c r="D30" s="97">
        <v>6442304</v>
      </c>
      <c r="E30" s="97">
        <f t="shared" si="2"/>
        <v>-488774</v>
      </c>
      <c r="F30" s="98">
        <f t="shared" si="3"/>
        <v>-7.0519189078524294E-2</v>
      </c>
    </row>
    <row r="31" spans="1:6" ht="18" customHeight="1" x14ac:dyDescent="0.25">
      <c r="A31" s="99">
        <v>5</v>
      </c>
      <c r="B31" s="100" t="s">
        <v>116</v>
      </c>
      <c r="C31" s="97">
        <v>652602</v>
      </c>
      <c r="D31" s="97">
        <v>509289</v>
      </c>
      <c r="E31" s="97">
        <f t="shared" si="2"/>
        <v>-143313</v>
      </c>
      <c r="F31" s="98">
        <f t="shared" si="3"/>
        <v>-0.2196024529498837</v>
      </c>
    </row>
    <row r="32" spans="1:6" ht="18" customHeight="1" x14ac:dyDescent="0.25">
      <c r="A32" s="99">
        <v>6</v>
      </c>
      <c r="B32" s="100" t="s">
        <v>117</v>
      </c>
      <c r="C32" s="97">
        <v>1530238</v>
      </c>
      <c r="D32" s="97">
        <v>1335478</v>
      </c>
      <c r="E32" s="97">
        <f t="shared" si="2"/>
        <v>-194760</v>
      </c>
      <c r="F32" s="98">
        <f t="shared" si="3"/>
        <v>-0.12727431941959355</v>
      </c>
    </row>
    <row r="33" spans="1:6" ht="18" customHeight="1" x14ac:dyDescent="0.25">
      <c r="A33" s="99">
        <v>7</v>
      </c>
      <c r="B33" s="100" t="s">
        <v>118</v>
      </c>
      <c r="C33" s="97">
        <v>56551295</v>
      </c>
      <c r="D33" s="97">
        <v>41451908</v>
      </c>
      <c r="E33" s="97">
        <f t="shared" si="2"/>
        <v>-15099387</v>
      </c>
      <c r="F33" s="98">
        <f t="shared" si="3"/>
        <v>-0.26700338162017334</v>
      </c>
    </row>
    <row r="34" spans="1:6" ht="18" customHeight="1" x14ac:dyDescent="0.25">
      <c r="A34" s="99">
        <v>8</v>
      </c>
      <c r="B34" s="100" t="s">
        <v>119</v>
      </c>
      <c r="C34" s="97">
        <v>2452882</v>
      </c>
      <c r="D34" s="97">
        <v>1883810</v>
      </c>
      <c r="E34" s="97">
        <f t="shared" si="2"/>
        <v>-569072</v>
      </c>
      <c r="F34" s="98">
        <f t="shared" si="3"/>
        <v>-0.23200137634015824</v>
      </c>
    </row>
    <row r="35" spans="1:6" ht="18" customHeight="1" x14ac:dyDescent="0.25">
      <c r="A35" s="99">
        <v>9</v>
      </c>
      <c r="B35" s="100" t="s">
        <v>120</v>
      </c>
      <c r="C35" s="97">
        <v>4781994</v>
      </c>
      <c r="D35" s="97">
        <v>2311753</v>
      </c>
      <c r="E35" s="97">
        <f t="shared" si="2"/>
        <v>-2470241</v>
      </c>
      <c r="F35" s="98">
        <f t="shared" si="3"/>
        <v>-0.51657132986783338</v>
      </c>
    </row>
    <row r="36" spans="1:6" ht="18" customHeight="1" x14ac:dyDescent="0.25">
      <c r="A36" s="99">
        <v>10</v>
      </c>
      <c r="B36" s="100" t="s">
        <v>121</v>
      </c>
      <c r="C36" s="97">
        <v>1642756</v>
      </c>
      <c r="D36" s="97">
        <v>996601</v>
      </c>
      <c r="E36" s="97">
        <f t="shared" si="2"/>
        <v>-646155</v>
      </c>
      <c r="F36" s="98">
        <f t="shared" si="3"/>
        <v>-0.39333595494400875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112517502</v>
      </c>
      <c r="D38" s="103">
        <f>SUM(D27:D37)</f>
        <v>83805059</v>
      </c>
      <c r="E38" s="103">
        <f t="shared" si="2"/>
        <v>-28712443</v>
      </c>
      <c r="F38" s="104">
        <f t="shared" si="3"/>
        <v>-0.25518201603871371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75017557</v>
      </c>
      <c r="D41" s="103">
        <f t="shared" si="4"/>
        <v>56410741</v>
      </c>
      <c r="E41" s="107">
        <f t="shared" ref="E41:E52" si="5">D41-C41</f>
        <v>-18606816</v>
      </c>
      <c r="F41" s="108">
        <f t="shared" ref="F41:F52" si="6">IF(C41=0,0,E41/C41)</f>
        <v>-0.24803281717105238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12302206</v>
      </c>
      <c r="D42" s="103">
        <f t="shared" si="4"/>
        <v>12752974</v>
      </c>
      <c r="E42" s="107">
        <f t="shared" si="5"/>
        <v>450768</v>
      </c>
      <c r="F42" s="108">
        <f t="shared" si="6"/>
        <v>3.6641233287753434E-2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4724353</v>
      </c>
      <c r="D43" s="103">
        <f t="shared" si="4"/>
        <v>6190210</v>
      </c>
      <c r="E43" s="107">
        <f t="shared" si="5"/>
        <v>1465857</v>
      </c>
      <c r="F43" s="108">
        <f t="shared" si="6"/>
        <v>0.31027677229030093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10013236</v>
      </c>
      <c r="D44" s="103">
        <f t="shared" si="4"/>
        <v>9535263</v>
      </c>
      <c r="E44" s="107">
        <f t="shared" si="5"/>
        <v>-477973</v>
      </c>
      <c r="F44" s="108">
        <f t="shared" si="6"/>
        <v>-4.7734119119932854E-2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1076295</v>
      </c>
      <c r="D45" s="103">
        <f t="shared" si="4"/>
        <v>762309</v>
      </c>
      <c r="E45" s="107">
        <f t="shared" si="5"/>
        <v>-313986</v>
      </c>
      <c r="F45" s="108">
        <f t="shared" si="6"/>
        <v>-0.29172856884032722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1937315</v>
      </c>
      <c r="D46" s="103">
        <f t="shared" si="4"/>
        <v>1781099</v>
      </c>
      <c r="E46" s="107">
        <f t="shared" si="5"/>
        <v>-156216</v>
      </c>
      <c r="F46" s="108">
        <f t="shared" si="6"/>
        <v>-8.0635312274978513E-2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77378708</v>
      </c>
      <c r="D47" s="103">
        <f t="shared" si="4"/>
        <v>56956131</v>
      </c>
      <c r="E47" s="107">
        <f t="shared" si="5"/>
        <v>-20422577</v>
      </c>
      <c r="F47" s="108">
        <f t="shared" si="6"/>
        <v>-0.26393018865086243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2735344</v>
      </c>
      <c r="D48" s="103">
        <f t="shared" si="4"/>
        <v>2236008</v>
      </c>
      <c r="E48" s="107">
        <f t="shared" si="5"/>
        <v>-499336</v>
      </c>
      <c r="F48" s="108">
        <f t="shared" si="6"/>
        <v>-0.18254961715966986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7448767</v>
      </c>
      <c r="D49" s="103">
        <f t="shared" si="4"/>
        <v>3046095</v>
      </c>
      <c r="E49" s="107">
        <f t="shared" si="5"/>
        <v>-4402672</v>
      </c>
      <c r="F49" s="108">
        <f t="shared" si="6"/>
        <v>-0.59106050706110147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2947065</v>
      </c>
      <c r="D50" s="103">
        <f t="shared" si="4"/>
        <v>1709037</v>
      </c>
      <c r="E50" s="107">
        <f t="shared" si="5"/>
        <v>-1238028</v>
      </c>
      <c r="F50" s="108">
        <f t="shared" si="6"/>
        <v>-0.42008846089244722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195580846</v>
      </c>
      <c r="D52" s="112">
        <f>SUM(D41:D51)</f>
        <v>151379867</v>
      </c>
      <c r="E52" s="111">
        <f t="shared" si="5"/>
        <v>-44200979</v>
      </c>
      <c r="F52" s="113">
        <f t="shared" si="6"/>
        <v>-0.22599850600912116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12280933</v>
      </c>
      <c r="D57" s="97">
        <v>12127091</v>
      </c>
      <c r="E57" s="97">
        <f t="shared" ref="E57:E68" si="7">D57-C57</f>
        <v>-153842</v>
      </c>
      <c r="F57" s="98">
        <f t="shared" ref="F57:F68" si="8">IF(C57=0,0,E57/C57)</f>
        <v>-1.2526898404217335E-2</v>
      </c>
    </row>
    <row r="58" spans="1:6" ht="18" customHeight="1" x14ac:dyDescent="0.25">
      <c r="A58" s="99">
        <v>2</v>
      </c>
      <c r="B58" s="100" t="s">
        <v>113</v>
      </c>
      <c r="C58" s="97">
        <v>1746428</v>
      </c>
      <c r="D58" s="97">
        <v>2376878</v>
      </c>
      <c r="E58" s="97">
        <f t="shared" si="7"/>
        <v>630450</v>
      </c>
      <c r="F58" s="98">
        <f t="shared" si="8"/>
        <v>0.36099398314731557</v>
      </c>
    </row>
    <row r="59" spans="1:6" ht="18" customHeight="1" x14ac:dyDescent="0.25">
      <c r="A59" s="99">
        <v>3</v>
      </c>
      <c r="B59" s="100" t="s">
        <v>114</v>
      </c>
      <c r="C59" s="97">
        <v>649237</v>
      </c>
      <c r="D59" s="97">
        <v>1188539</v>
      </c>
      <c r="E59" s="97">
        <f t="shared" si="7"/>
        <v>539302</v>
      </c>
      <c r="F59" s="98">
        <f t="shared" si="8"/>
        <v>0.83067046394459954</v>
      </c>
    </row>
    <row r="60" spans="1:6" ht="18" customHeight="1" x14ac:dyDescent="0.25">
      <c r="A60" s="99">
        <v>4</v>
      </c>
      <c r="B60" s="100" t="s">
        <v>115</v>
      </c>
      <c r="C60" s="97">
        <v>744646</v>
      </c>
      <c r="D60" s="97">
        <v>868441</v>
      </c>
      <c r="E60" s="97">
        <f t="shared" si="7"/>
        <v>123795</v>
      </c>
      <c r="F60" s="98">
        <f t="shared" si="8"/>
        <v>0.16624678034932036</v>
      </c>
    </row>
    <row r="61" spans="1:6" ht="18" customHeight="1" x14ac:dyDescent="0.25">
      <c r="A61" s="99">
        <v>5</v>
      </c>
      <c r="B61" s="100" t="s">
        <v>116</v>
      </c>
      <c r="C61" s="97">
        <v>39949</v>
      </c>
      <c r="D61" s="97">
        <v>96517</v>
      </c>
      <c r="E61" s="97">
        <f t="shared" si="7"/>
        <v>56568</v>
      </c>
      <c r="F61" s="98">
        <f t="shared" si="8"/>
        <v>1.4160054068937895</v>
      </c>
    </row>
    <row r="62" spans="1:6" ht="18" customHeight="1" x14ac:dyDescent="0.25">
      <c r="A62" s="99">
        <v>6</v>
      </c>
      <c r="B62" s="100" t="s">
        <v>117</v>
      </c>
      <c r="C62" s="97">
        <v>309925</v>
      </c>
      <c r="D62" s="97">
        <v>228180</v>
      </c>
      <c r="E62" s="97">
        <f t="shared" si="7"/>
        <v>-81745</v>
      </c>
      <c r="F62" s="98">
        <f t="shared" si="8"/>
        <v>-0.26375736065177058</v>
      </c>
    </row>
    <row r="63" spans="1:6" ht="18" customHeight="1" x14ac:dyDescent="0.25">
      <c r="A63" s="99">
        <v>7</v>
      </c>
      <c r="B63" s="100" t="s">
        <v>118</v>
      </c>
      <c r="C63" s="97">
        <v>8128207</v>
      </c>
      <c r="D63" s="97">
        <v>8714722</v>
      </c>
      <c r="E63" s="97">
        <f t="shared" si="7"/>
        <v>586515</v>
      </c>
      <c r="F63" s="98">
        <f t="shared" si="8"/>
        <v>7.2157980228603924E-2</v>
      </c>
    </row>
    <row r="64" spans="1:6" ht="18" customHeight="1" x14ac:dyDescent="0.25">
      <c r="A64" s="99">
        <v>8</v>
      </c>
      <c r="B64" s="100" t="s">
        <v>119</v>
      </c>
      <c r="C64" s="97">
        <v>287209</v>
      </c>
      <c r="D64" s="97">
        <v>281851</v>
      </c>
      <c r="E64" s="97">
        <f t="shared" si="7"/>
        <v>-5358</v>
      </c>
      <c r="F64" s="98">
        <f t="shared" si="8"/>
        <v>-1.865540425265225E-2</v>
      </c>
    </row>
    <row r="65" spans="1:6" ht="18" customHeight="1" x14ac:dyDescent="0.25">
      <c r="A65" s="99">
        <v>9</v>
      </c>
      <c r="B65" s="100" t="s">
        <v>120</v>
      </c>
      <c r="C65" s="97">
        <v>26382</v>
      </c>
      <c r="D65" s="97">
        <v>62740</v>
      </c>
      <c r="E65" s="97">
        <f t="shared" si="7"/>
        <v>36358</v>
      </c>
      <c r="F65" s="98">
        <f t="shared" si="8"/>
        <v>1.3781366082935336</v>
      </c>
    </row>
    <row r="66" spans="1:6" ht="18" customHeight="1" x14ac:dyDescent="0.25">
      <c r="A66" s="99">
        <v>10</v>
      </c>
      <c r="B66" s="100" t="s">
        <v>121</v>
      </c>
      <c r="C66" s="97">
        <v>148039</v>
      </c>
      <c r="D66" s="97">
        <v>147935</v>
      </c>
      <c r="E66" s="97">
        <f t="shared" si="7"/>
        <v>-104</v>
      </c>
      <c r="F66" s="98">
        <f t="shared" si="8"/>
        <v>-7.0251757982693749E-4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24360955</v>
      </c>
      <c r="D68" s="103">
        <f>SUM(D57:D67)</f>
        <v>26092894</v>
      </c>
      <c r="E68" s="103">
        <f t="shared" si="7"/>
        <v>1731939</v>
      </c>
      <c r="F68" s="104">
        <f t="shared" si="8"/>
        <v>7.1094872922674829E-2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5979453</v>
      </c>
      <c r="D70" s="97">
        <v>5423543</v>
      </c>
      <c r="E70" s="97">
        <f t="shared" ref="E70:E81" si="9">D70-C70</f>
        <v>-555910</v>
      </c>
      <c r="F70" s="98">
        <f t="shared" ref="F70:F81" si="10">IF(C70=0,0,E70/C70)</f>
        <v>-9.2970042577473225E-2</v>
      </c>
    </row>
    <row r="71" spans="1:6" ht="18" customHeight="1" x14ac:dyDescent="0.25">
      <c r="A71" s="99">
        <v>2</v>
      </c>
      <c r="B71" s="100" t="s">
        <v>113</v>
      </c>
      <c r="C71" s="97">
        <v>1182204</v>
      </c>
      <c r="D71" s="97">
        <v>1589532</v>
      </c>
      <c r="E71" s="97">
        <f t="shared" si="9"/>
        <v>407328</v>
      </c>
      <c r="F71" s="98">
        <f t="shared" si="10"/>
        <v>0.344549671630277</v>
      </c>
    </row>
    <row r="72" spans="1:6" ht="18" customHeight="1" x14ac:dyDescent="0.25">
      <c r="A72" s="99">
        <v>3</v>
      </c>
      <c r="B72" s="100" t="s">
        <v>114</v>
      </c>
      <c r="C72" s="97">
        <v>561775</v>
      </c>
      <c r="D72" s="97">
        <v>380810</v>
      </c>
      <c r="E72" s="97">
        <f t="shared" si="9"/>
        <v>-180965</v>
      </c>
      <c r="F72" s="98">
        <f t="shared" si="10"/>
        <v>-0.32213074629522498</v>
      </c>
    </row>
    <row r="73" spans="1:6" ht="18" customHeight="1" x14ac:dyDescent="0.25">
      <c r="A73" s="99">
        <v>4</v>
      </c>
      <c r="B73" s="100" t="s">
        <v>115</v>
      </c>
      <c r="C73" s="97">
        <v>1614741</v>
      </c>
      <c r="D73" s="97">
        <v>1832958</v>
      </c>
      <c r="E73" s="97">
        <f t="shared" si="9"/>
        <v>218217</v>
      </c>
      <c r="F73" s="98">
        <f t="shared" si="10"/>
        <v>0.13514055814523815</v>
      </c>
    </row>
    <row r="74" spans="1:6" ht="18" customHeight="1" x14ac:dyDescent="0.25">
      <c r="A74" s="99">
        <v>5</v>
      </c>
      <c r="B74" s="100" t="s">
        <v>116</v>
      </c>
      <c r="C74" s="97">
        <v>113167</v>
      </c>
      <c r="D74" s="97">
        <v>215804</v>
      </c>
      <c r="E74" s="97">
        <f t="shared" si="9"/>
        <v>102637</v>
      </c>
      <c r="F74" s="98">
        <f t="shared" si="10"/>
        <v>0.90695167319094794</v>
      </c>
    </row>
    <row r="75" spans="1:6" ht="18" customHeight="1" x14ac:dyDescent="0.25">
      <c r="A75" s="99">
        <v>6</v>
      </c>
      <c r="B75" s="100" t="s">
        <v>117</v>
      </c>
      <c r="C75" s="97">
        <v>1024658</v>
      </c>
      <c r="D75" s="97">
        <v>909911</v>
      </c>
      <c r="E75" s="97">
        <f t="shared" si="9"/>
        <v>-114747</v>
      </c>
      <c r="F75" s="98">
        <f t="shared" si="10"/>
        <v>-0.11198565765357807</v>
      </c>
    </row>
    <row r="76" spans="1:6" ht="18" customHeight="1" x14ac:dyDescent="0.25">
      <c r="A76" s="99">
        <v>7</v>
      </c>
      <c r="B76" s="100" t="s">
        <v>118</v>
      </c>
      <c r="C76" s="97">
        <v>24912607</v>
      </c>
      <c r="D76" s="97">
        <v>23321310</v>
      </c>
      <c r="E76" s="97">
        <f t="shared" si="9"/>
        <v>-1591297</v>
      </c>
      <c r="F76" s="98">
        <f t="shared" si="10"/>
        <v>-6.3875169708252535E-2</v>
      </c>
    </row>
    <row r="77" spans="1:6" ht="18" customHeight="1" x14ac:dyDescent="0.25">
      <c r="A77" s="99">
        <v>8</v>
      </c>
      <c r="B77" s="100" t="s">
        <v>119</v>
      </c>
      <c r="C77" s="97">
        <v>2129173</v>
      </c>
      <c r="D77" s="97">
        <v>1234189</v>
      </c>
      <c r="E77" s="97">
        <f t="shared" si="9"/>
        <v>-894984</v>
      </c>
      <c r="F77" s="98">
        <f t="shared" si="10"/>
        <v>-0.42034348547534656</v>
      </c>
    </row>
    <row r="78" spans="1:6" ht="18" customHeight="1" x14ac:dyDescent="0.25">
      <c r="A78" s="99">
        <v>9</v>
      </c>
      <c r="B78" s="100" t="s">
        <v>120</v>
      </c>
      <c r="C78" s="97">
        <v>792161</v>
      </c>
      <c r="D78" s="97">
        <v>158606</v>
      </c>
      <c r="E78" s="97">
        <f t="shared" si="9"/>
        <v>-633555</v>
      </c>
      <c r="F78" s="98">
        <f t="shared" si="10"/>
        <v>-0.79978060015577646</v>
      </c>
    </row>
    <row r="79" spans="1:6" ht="18" customHeight="1" x14ac:dyDescent="0.25">
      <c r="A79" s="99">
        <v>10</v>
      </c>
      <c r="B79" s="100" t="s">
        <v>121</v>
      </c>
      <c r="C79" s="97">
        <v>114993</v>
      </c>
      <c r="D79" s="97">
        <v>176535</v>
      </c>
      <c r="E79" s="97">
        <f t="shared" si="9"/>
        <v>61542</v>
      </c>
      <c r="F79" s="98">
        <f t="shared" si="10"/>
        <v>0.53518040228535646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38424932</v>
      </c>
      <c r="D81" s="103">
        <f>SUM(D70:D80)</f>
        <v>35243198</v>
      </c>
      <c r="E81" s="103">
        <f t="shared" si="9"/>
        <v>-3181734</v>
      </c>
      <c r="F81" s="104">
        <f t="shared" si="10"/>
        <v>-8.28038940966766E-2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18260386</v>
      </c>
      <c r="D84" s="103">
        <f t="shared" si="11"/>
        <v>17550634</v>
      </c>
      <c r="E84" s="103">
        <f t="shared" ref="E84:E95" si="12">D84-C84</f>
        <v>-709752</v>
      </c>
      <c r="F84" s="104">
        <f t="shared" ref="F84:F95" si="13">IF(C84=0,0,E84/C84)</f>
        <v>-3.8868400700839509E-2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2928632</v>
      </c>
      <c r="D85" s="103">
        <f t="shared" si="11"/>
        <v>3966410</v>
      </c>
      <c r="E85" s="103">
        <f t="shared" si="12"/>
        <v>1037778</v>
      </c>
      <c r="F85" s="104">
        <f t="shared" si="13"/>
        <v>0.35435589039524257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1211012</v>
      </c>
      <c r="D86" s="103">
        <f t="shared" si="11"/>
        <v>1569349</v>
      </c>
      <c r="E86" s="103">
        <f t="shared" si="12"/>
        <v>358337</v>
      </c>
      <c r="F86" s="104">
        <f t="shared" si="13"/>
        <v>0.29589880199370444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2359387</v>
      </c>
      <c r="D87" s="103">
        <f t="shared" si="11"/>
        <v>2701399</v>
      </c>
      <c r="E87" s="103">
        <f t="shared" si="12"/>
        <v>342012</v>
      </c>
      <c r="F87" s="104">
        <f t="shared" si="13"/>
        <v>0.14495799120703809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153116</v>
      </c>
      <c r="D88" s="103">
        <f t="shared" si="11"/>
        <v>312321</v>
      </c>
      <c r="E88" s="103">
        <f t="shared" si="12"/>
        <v>159205</v>
      </c>
      <c r="F88" s="104">
        <f t="shared" si="13"/>
        <v>1.0397672352987277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1334583</v>
      </c>
      <c r="D89" s="103">
        <f t="shared" si="11"/>
        <v>1138091</v>
      </c>
      <c r="E89" s="103">
        <f t="shared" si="12"/>
        <v>-196492</v>
      </c>
      <c r="F89" s="104">
        <f t="shared" si="13"/>
        <v>-0.14723100773799755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33040814</v>
      </c>
      <c r="D90" s="103">
        <f t="shared" si="11"/>
        <v>32036032</v>
      </c>
      <c r="E90" s="103">
        <f t="shared" si="12"/>
        <v>-1004782</v>
      </c>
      <c r="F90" s="104">
        <f t="shared" si="13"/>
        <v>-3.0410328268546893E-2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2416382</v>
      </c>
      <c r="D91" s="103">
        <f t="shared" si="11"/>
        <v>1516040</v>
      </c>
      <c r="E91" s="103">
        <f t="shared" si="12"/>
        <v>-900342</v>
      </c>
      <c r="F91" s="104">
        <f t="shared" si="13"/>
        <v>-0.37259919996093332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818543</v>
      </c>
      <c r="D92" s="103">
        <f t="shared" si="11"/>
        <v>221346</v>
      </c>
      <c r="E92" s="103">
        <f t="shared" si="12"/>
        <v>-597197</v>
      </c>
      <c r="F92" s="104">
        <f t="shared" si="13"/>
        <v>-0.72958537303477033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263032</v>
      </c>
      <c r="D93" s="103">
        <f t="shared" si="11"/>
        <v>324470</v>
      </c>
      <c r="E93" s="103">
        <f t="shared" si="12"/>
        <v>61438</v>
      </c>
      <c r="F93" s="104">
        <f t="shared" si="13"/>
        <v>0.23357614282672831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62785887</v>
      </c>
      <c r="D95" s="112">
        <f>SUM(D84:D94)</f>
        <v>61336092</v>
      </c>
      <c r="E95" s="112">
        <f t="shared" si="12"/>
        <v>-1449795</v>
      </c>
      <c r="F95" s="113">
        <f t="shared" si="13"/>
        <v>-2.3091096889337567E-2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1591</v>
      </c>
      <c r="D100" s="117">
        <v>1457</v>
      </c>
      <c r="E100" s="117">
        <f t="shared" ref="E100:E111" si="14">D100-C100</f>
        <v>-134</v>
      </c>
      <c r="F100" s="98">
        <f t="shared" ref="F100:F111" si="15">IF(C100=0,0,E100/C100)</f>
        <v>-8.4223758642363297E-2</v>
      </c>
    </row>
    <row r="101" spans="1:6" ht="18" customHeight="1" x14ac:dyDescent="0.25">
      <c r="A101" s="99">
        <v>2</v>
      </c>
      <c r="B101" s="100" t="s">
        <v>113</v>
      </c>
      <c r="C101" s="117">
        <v>216</v>
      </c>
      <c r="D101" s="117">
        <v>276</v>
      </c>
      <c r="E101" s="117">
        <f t="shared" si="14"/>
        <v>60</v>
      </c>
      <c r="F101" s="98">
        <f t="shared" si="15"/>
        <v>0.27777777777777779</v>
      </c>
    </row>
    <row r="102" spans="1:6" ht="18" customHeight="1" x14ac:dyDescent="0.25">
      <c r="A102" s="99">
        <v>3</v>
      </c>
      <c r="B102" s="100" t="s">
        <v>114</v>
      </c>
      <c r="C102" s="117">
        <v>119</v>
      </c>
      <c r="D102" s="117">
        <v>182</v>
      </c>
      <c r="E102" s="117">
        <f t="shared" si="14"/>
        <v>63</v>
      </c>
      <c r="F102" s="98">
        <f t="shared" si="15"/>
        <v>0.52941176470588236</v>
      </c>
    </row>
    <row r="103" spans="1:6" ht="18" customHeight="1" x14ac:dyDescent="0.25">
      <c r="A103" s="99">
        <v>4</v>
      </c>
      <c r="B103" s="100" t="s">
        <v>115</v>
      </c>
      <c r="C103" s="117">
        <v>285</v>
      </c>
      <c r="D103" s="117">
        <v>327</v>
      </c>
      <c r="E103" s="117">
        <f t="shared" si="14"/>
        <v>42</v>
      </c>
      <c r="F103" s="98">
        <f t="shared" si="15"/>
        <v>0.14736842105263157</v>
      </c>
    </row>
    <row r="104" spans="1:6" ht="18" customHeight="1" x14ac:dyDescent="0.25">
      <c r="A104" s="99">
        <v>5</v>
      </c>
      <c r="B104" s="100" t="s">
        <v>116</v>
      </c>
      <c r="C104" s="117">
        <v>22</v>
      </c>
      <c r="D104" s="117">
        <v>20</v>
      </c>
      <c r="E104" s="117">
        <f t="shared" si="14"/>
        <v>-2</v>
      </c>
      <c r="F104" s="98">
        <f t="shared" si="15"/>
        <v>-9.0909090909090912E-2</v>
      </c>
    </row>
    <row r="105" spans="1:6" ht="18" customHeight="1" x14ac:dyDescent="0.25">
      <c r="A105" s="99">
        <v>6</v>
      </c>
      <c r="B105" s="100" t="s">
        <v>117</v>
      </c>
      <c r="C105" s="117">
        <v>43</v>
      </c>
      <c r="D105" s="117">
        <v>38</v>
      </c>
      <c r="E105" s="117">
        <f t="shared" si="14"/>
        <v>-5</v>
      </c>
      <c r="F105" s="98">
        <f t="shared" si="15"/>
        <v>-0.11627906976744186</v>
      </c>
    </row>
    <row r="106" spans="1:6" ht="18" customHeight="1" x14ac:dyDescent="0.25">
      <c r="A106" s="99">
        <v>7</v>
      </c>
      <c r="B106" s="100" t="s">
        <v>118</v>
      </c>
      <c r="C106" s="117">
        <v>1169</v>
      </c>
      <c r="D106" s="117">
        <v>1047</v>
      </c>
      <c r="E106" s="117">
        <f t="shared" si="14"/>
        <v>-122</v>
      </c>
      <c r="F106" s="98">
        <f t="shared" si="15"/>
        <v>-0.10436270316509838</v>
      </c>
    </row>
    <row r="107" spans="1:6" ht="18" customHeight="1" x14ac:dyDescent="0.25">
      <c r="A107" s="99">
        <v>8</v>
      </c>
      <c r="B107" s="100" t="s">
        <v>119</v>
      </c>
      <c r="C107" s="117">
        <v>7</v>
      </c>
      <c r="D107" s="117">
        <v>12</v>
      </c>
      <c r="E107" s="117">
        <f t="shared" si="14"/>
        <v>5</v>
      </c>
      <c r="F107" s="98">
        <f t="shared" si="15"/>
        <v>0.7142857142857143</v>
      </c>
    </row>
    <row r="108" spans="1:6" ht="18" customHeight="1" x14ac:dyDescent="0.25">
      <c r="A108" s="99">
        <v>9</v>
      </c>
      <c r="B108" s="100" t="s">
        <v>120</v>
      </c>
      <c r="C108" s="117">
        <v>114</v>
      </c>
      <c r="D108" s="117">
        <v>46</v>
      </c>
      <c r="E108" s="117">
        <f t="shared" si="14"/>
        <v>-68</v>
      </c>
      <c r="F108" s="98">
        <f t="shared" si="15"/>
        <v>-0.59649122807017541</v>
      </c>
    </row>
    <row r="109" spans="1:6" ht="18" customHeight="1" x14ac:dyDescent="0.25">
      <c r="A109" s="99">
        <v>10</v>
      </c>
      <c r="B109" s="100" t="s">
        <v>121</v>
      </c>
      <c r="C109" s="117">
        <v>52</v>
      </c>
      <c r="D109" s="117">
        <v>32</v>
      </c>
      <c r="E109" s="117">
        <f t="shared" si="14"/>
        <v>-20</v>
      </c>
      <c r="F109" s="98">
        <f t="shared" si="15"/>
        <v>-0.38461538461538464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3618</v>
      </c>
      <c r="D111" s="118">
        <f>SUM(D100:D110)</f>
        <v>3437</v>
      </c>
      <c r="E111" s="118">
        <f t="shared" si="14"/>
        <v>-181</v>
      </c>
      <c r="F111" s="104">
        <f t="shared" si="15"/>
        <v>-5.0027639579878387E-2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9453</v>
      </c>
      <c r="D113" s="117">
        <v>9192</v>
      </c>
      <c r="E113" s="117">
        <f t="shared" ref="E113:E124" si="16">D113-C113</f>
        <v>-261</v>
      </c>
      <c r="F113" s="98">
        <f t="shared" ref="F113:F124" si="17">IF(C113=0,0,E113/C113)</f>
        <v>-2.7610282450015868E-2</v>
      </c>
    </row>
    <row r="114" spans="1:6" ht="18" customHeight="1" x14ac:dyDescent="0.25">
      <c r="A114" s="99">
        <v>2</v>
      </c>
      <c r="B114" s="100" t="s">
        <v>113</v>
      </c>
      <c r="C114" s="117">
        <v>1170</v>
      </c>
      <c r="D114" s="117">
        <v>1591</v>
      </c>
      <c r="E114" s="117">
        <f t="shared" si="16"/>
        <v>421</v>
      </c>
      <c r="F114" s="98">
        <f t="shared" si="17"/>
        <v>0.35982905982905983</v>
      </c>
    </row>
    <row r="115" spans="1:6" ht="18" customHeight="1" x14ac:dyDescent="0.25">
      <c r="A115" s="99">
        <v>3</v>
      </c>
      <c r="B115" s="100" t="s">
        <v>114</v>
      </c>
      <c r="C115" s="117">
        <v>756</v>
      </c>
      <c r="D115" s="117">
        <v>1112</v>
      </c>
      <c r="E115" s="117">
        <f t="shared" si="16"/>
        <v>356</v>
      </c>
      <c r="F115" s="98">
        <f t="shared" si="17"/>
        <v>0.47089947089947087</v>
      </c>
    </row>
    <row r="116" spans="1:6" ht="18" customHeight="1" x14ac:dyDescent="0.25">
      <c r="A116" s="99">
        <v>4</v>
      </c>
      <c r="B116" s="100" t="s">
        <v>115</v>
      </c>
      <c r="C116" s="117">
        <v>962</v>
      </c>
      <c r="D116" s="117">
        <v>1034</v>
      </c>
      <c r="E116" s="117">
        <f t="shared" si="16"/>
        <v>72</v>
      </c>
      <c r="F116" s="98">
        <f t="shared" si="17"/>
        <v>7.4844074844074848E-2</v>
      </c>
    </row>
    <row r="117" spans="1:6" ht="18" customHeight="1" x14ac:dyDescent="0.25">
      <c r="A117" s="99">
        <v>5</v>
      </c>
      <c r="B117" s="100" t="s">
        <v>116</v>
      </c>
      <c r="C117" s="117">
        <v>101</v>
      </c>
      <c r="D117" s="117">
        <v>79</v>
      </c>
      <c r="E117" s="117">
        <f t="shared" si="16"/>
        <v>-22</v>
      </c>
      <c r="F117" s="98">
        <f t="shared" si="17"/>
        <v>-0.21782178217821782</v>
      </c>
    </row>
    <row r="118" spans="1:6" ht="18" customHeight="1" x14ac:dyDescent="0.25">
      <c r="A118" s="99">
        <v>6</v>
      </c>
      <c r="B118" s="100" t="s">
        <v>117</v>
      </c>
      <c r="C118" s="117">
        <v>150</v>
      </c>
      <c r="D118" s="117">
        <v>134</v>
      </c>
      <c r="E118" s="117">
        <f t="shared" si="16"/>
        <v>-16</v>
      </c>
      <c r="F118" s="98">
        <f t="shared" si="17"/>
        <v>-0.10666666666666667</v>
      </c>
    </row>
    <row r="119" spans="1:6" ht="18" customHeight="1" x14ac:dyDescent="0.25">
      <c r="A119" s="99">
        <v>7</v>
      </c>
      <c r="B119" s="100" t="s">
        <v>118</v>
      </c>
      <c r="C119" s="117">
        <v>4411</v>
      </c>
      <c r="D119" s="117">
        <v>4139</v>
      </c>
      <c r="E119" s="117">
        <f t="shared" si="16"/>
        <v>-272</v>
      </c>
      <c r="F119" s="98">
        <f t="shared" si="17"/>
        <v>-6.1664021763772385E-2</v>
      </c>
    </row>
    <row r="120" spans="1:6" ht="18" customHeight="1" x14ac:dyDescent="0.25">
      <c r="A120" s="99">
        <v>8</v>
      </c>
      <c r="B120" s="100" t="s">
        <v>119</v>
      </c>
      <c r="C120" s="117">
        <v>22</v>
      </c>
      <c r="D120" s="117">
        <v>77</v>
      </c>
      <c r="E120" s="117">
        <f t="shared" si="16"/>
        <v>55</v>
      </c>
      <c r="F120" s="98">
        <f t="shared" si="17"/>
        <v>2.5</v>
      </c>
    </row>
    <row r="121" spans="1:6" ht="18" customHeight="1" x14ac:dyDescent="0.25">
      <c r="A121" s="99">
        <v>9</v>
      </c>
      <c r="B121" s="100" t="s">
        <v>120</v>
      </c>
      <c r="C121" s="117">
        <v>638</v>
      </c>
      <c r="D121" s="117">
        <v>177</v>
      </c>
      <c r="E121" s="117">
        <f t="shared" si="16"/>
        <v>-461</v>
      </c>
      <c r="F121" s="98">
        <f t="shared" si="17"/>
        <v>-0.72257053291536055</v>
      </c>
    </row>
    <row r="122" spans="1:6" ht="18" customHeight="1" x14ac:dyDescent="0.25">
      <c r="A122" s="99">
        <v>10</v>
      </c>
      <c r="B122" s="100" t="s">
        <v>121</v>
      </c>
      <c r="C122" s="117">
        <v>335</v>
      </c>
      <c r="D122" s="117">
        <v>202</v>
      </c>
      <c r="E122" s="117">
        <f t="shared" si="16"/>
        <v>-133</v>
      </c>
      <c r="F122" s="98">
        <f t="shared" si="17"/>
        <v>-0.39701492537313432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17998</v>
      </c>
      <c r="D124" s="118">
        <f>SUM(D113:D123)</f>
        <v>17737</v>
      </c>
      <c r="E124" s="118">
        <f t="shared" si="16"/>
        <v>-261</v>
      </c>
      <c r="F124" s="104">
        <f t="shared" si="17"/>
        <v>-1.450161129014335E-2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25197</v>
      </c>
      <c r="D126" s="117">
        <v>23877</v>
      </c>
      <c r="E126" s="117">
        <f t="shared" ref="E126:E137" si="18">D126-C126</f>
        <v>-1320</v>
      </c>
      <c r="F126" s="98">
        <f t="shared" ref="F126:F137" si="19">IF(C126=0,0,E126/C126)</f>
        <v>-5.2387188951065602E-2</v>
      </c>
    </row>
    <row r="127" spans="1:6" ht="18" customHeight="1" x14ac:dyDescent="0.25">
      <c r="A127" s="99">
        <v>2</v>
      </c>
      <c r="B127" s="100" t="s">
        <v>113</v>
      </c>
      <c r="C127" s="117">
        <v>5291</v>
      </c>
      <c r="D127" s="117">
        <v>6416</v>
      </c>
      <c r="E127" s="117">
        <f t="shared" si="18"/>
        <v>1125</v>
      </c>
      <c r="F127" s="98">
        <f t="shared" si="19"/>
        <v>0.21262521262521261</v>
      </c>
    </row>
    <row r="128" spans="1:6" ht="18" customHeight="1" x14ac:dyDescent="0.25">
      <c r="A128" s="99">
        <v>3</v>
      </c>
      <c r="B128" s="100" t="s">
        <v>114</v>
      </c>
      <c r="C128" s="117">
        <v>1995</v>
      </c>
      <c r="D128" s="117">
        <v>2038</v>
      </c>
      <c r="E128" s="117">
        <f t="shared" si="18"/>
        <v>43</v>
      </c>
      <c r="F128" s="98">
        <f t="shared" si="19"/>
        <v>2.155388471177945E-2</v>
      </c>
    </row>
    <row r="129" spans="1:6" ht="18" customHeight="1" x14ac:dyDescent="0.25">
      <c r="A129" s="99">
        <v>4</v>
      </c>
      <c r="B129" s="100" t="s">
        <v>115</v>
      </c>
      <c r="C129" s="117">
        <v>5404</v>
      </c>
      <c r="D129" s="117">
        <v>6715</v>
      </c>
      <c r="E129" s="117">
        <f t="shared" si="18"/>
        <v>1311</v>
      </c>
      <c r="F129" s="98">
        <f t="shared" si="19"/>
        <v>0.24259807549962992</v>
      </c>
    </row>
    <row r="130" spans="1:6" ht="18" customHeight="1" x14ac:dyDescent="0.25">
      <c r="A130" s="99">
        <v>5</v>
      </c>
      <c r="B130" s="100" t="s">
        <v>116</v>
      </c>
      <c r="C130" s="117">
        <v>438</v>
      </c>
      <c r="D130" s="117">
        <v>482</v>
      </c>
      <c r="E130" s="117">
        <f t="shared" si="18"/>
        <v>44</v>
      </c>
      <c r="F130" s="98">
        <f t="shared" si="19"/>
        <v>0.1004566210045662</v>
      </c>
    </row>
    <row r="131" spans="1:6" ht="18" customHeight="1" x14ac:dyDescent="0.25">
      <c r="A131" s="99">
        <v>6</v>
      </c>
      <c r="B131" s="100" t="s">
        <v>117</v>
      </c>
      <c r="C131" s="117">
        <v>1174</v>
      </c>
      <c r="D131" s="117">
        <v>1135</v>
      </c>
      <c r="E131" s="117">
        <f t="shared" si="18"/>
        <v>-39</v>
      </c>
      <c r="F131" s="98">
        <f t="shared" si="19"/>
        <v>-3.3219761499148209E-2</v>
      </c>
    </row>
    <row r="132" spans="1:6" ht="18" customHeight="1" x14ac:dyDescent="0.25">
      <c r="A132" s="99">
        <v>7</v>
      </c>
      <c r="B132" s="100" t="s">
        <v>118</v>
      </c>
      <c r="C132" s="117">
        <v>38044</v>
      </c>
      <c r="D132" s="117">
        <v>37328</v>
      </c>
      <c r="E132" s="117">
        <f t="shared" si="18"/>
        <v>-716</v>
      </c>
      <c r="F132" s="98">
        <f t="shared" si="19"/>
        <v>-1.8820313321417308E-2</v>
      </c>
    </row>
    <row r="133" spans="1:6" ht="18" customHeight="1" x14ac:dyDescent="0.25">
      <c r="A133" s="99">
        <v>8</v>
      </c>
      <c r="B133" s="100" t="s">
        <v>119</v>
      </c>
      <c r="C133" s="117">
        <v>1394</v>
      </c>
      <c r="D133" s="117">
        <v>1358</v>
      </c>
      <c r="E133" s="117">
        <f t="shared" si="18"/>
        <v>-36</v>
      </c>
      <c r="F133" s="98">
        <f t="shared" si="19"/>
        <v>-2.5824964131994262E-2</v>
      </c>
    </row>
    <row r="134" spans="1:6" ht="18" customHeight="1" x14ac:dyDescent="0.25">
      <c r="A134" s="99">
        <v>9</v>
      </c>
      <c r="B134" s="100" t="s">
        <v>120</v>
      </c>
      <c r="C134" s="117">
        <v>4001</v>
      </c>
      <c r="D134" s="117">
        <v>2215</v>
      </c>
      <c r="E134" s="117">
        <f t="shared" si="18"/>
        <v>-1786</v>
      </c>
      <c r="F134" s="98">
        <f t="shared" si="19"/>
        <v>-0.44638840289927517</v>
      </c>
    </row>
    <row r="135" spans="1:6" ht="18" customHeight="1" x14ac:dyDescent="0.25">
      <c r="A135" s="99">
        <v>10</v>
      </c>
      <c r="B135" s="100" t="s">
        <v>121</v>
      </c>
      <c r="C135" s="117">
        <v>1243</v>
      </c>
      <c r="D135" s="117">
        <v>861</v>
      </c>
      <c r="E135" s="117">
        <f t="shared" si="18"/>
        <v>-382</v>
      </c>
      <c r="F135" s="98">
        <f t="shared" si="19"/>
        <v>-0.30732099758648429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84181</v>
      </c>
      <c r="D137" s="118">
        <f>SUM(D126:D136)</f>
        <v>82425</v>
      </c>
      <c r="E137" s="118">
        <f t="shared" si="18"/>
        <v>-1756</v>
      </c>
      <c r="F137" s="104">
        <f t="shared" si="19"/>
        <v>-2.085981397227403E-2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2201529</v>
      </c>
      <c r="D142" s="97">
        <v>2378345</v>
      </c>
      <c r="E142" s="97">
        <f t="shared" ref="E142:E153" si="20">D142-C142</f>
        <v>176816</v>
      </c>
      <c r="F142" s="98">
        <f t="shared" ref="F142:F153" si="21">IF(C142=0,0,E142/C142)</f>
        <v>8.0315090103287301E-2</v>
      </c>
    </row>
    <row r="143" spans="1:6" ht="18" customHeight="1" x14ac:dyDescent="0.25">
      <c r="A143" s="99">
        <v>2</v>
      </c>
      <c r="B143" s="100" t="s">
        <v>113</v>
      </c>
      <c r="C143" s="97">
        <v>378539</v>
      </c>
      <c r="D143" s="97">
        <v>499086</v>
      </c>
      <c r="E143" s="97">
        <f t="shared" si="20"/>
        <v>120547</v>
      </c>
      <c r="F143" s="98">
        <f t="shared" si="21"/>
        <v>0.31845331656711728</v>
      </c>
    </row>
    <row r="144" spans="1:6" ht="18" customHeight="1" x14ac:dyDescent="0.25">
      <c r="A144" s="99">
        <v>3</v>
      </c>
      <c r="B144" s="100" t="s">
        <v>114</v>
      </c>
      <c r="C144" s="97">
        <v>773431</v>
      </c>
      <c r="D144" s="97">
        <v>698350</v>
      </c>
      <c r="E144" s="97">
        <f t="shared" si="20"/>
        <v>-75081</v>
      </c>
      <c r="F144" s="98">
        <f t="shared" si="21"/>
        <v>-9.7075240066664001E-2</v>
      </c>
    </row>
    <row r="145" spans="1:6" ht="18" customHeight="1" x14ac:dyDescent="0.25">
      <c r="A145" s="99">
        <v>4</v>
      </c>
      <c r="B145" s="100" t="s">
        <v>115</v>
      </c>
      <c r="C145" s="97">
        <v>1203483</v>
      </c>
      <c r="D145" s="97">
        <v>1552025</v>
      </c>
      <c r="E145" s="97">
        <f t="shared" si="20"/>
        <v>348542</v>
      </c>
      <c r="F145" s="98">
        <f t="shared" si="21"/>
        <v>0.28961107053444046</v>
      </c>
    </row>
    <row r="146" spans="1:6" ht="18" customHeight="1" x14ac:dyDescent="0.25">
      <c r="A146" s="99">
        <v>5</v>
      </c>
      <c r="B146" s="100" t="s">
        <v>116</v>
      </c>
      <c r="C146" s="97">
        <v>100605</v>
      </c>
      <c r="D146" s="97">
        <v>91717</v>
      </c>
      <c r="E146" s="97">
        <f t="shared" si="20"/>
        <v>-8888</v>
      </c>
      <c r="F146" s="98">
        <f t="shared" si="21"/>
        <v>-8.8345509666517566E-2</v>
      </c>
    </row>
    <row r="147" spans="1:6" ht="18" customHeight="1" x14ac:dyDescent="0.25">
      <c r="A147" s="99">
        <v>6</v>
      </c>
      <c r="B147" s="100" t="s">
        <v>117</v>
      </c>
      <c r="C147" s="97">
        <v>226863</v>
      </c>
      <c r="D147" s="97">
        <v>366933</v>
      </c>
      <c r="E147" s="97">
        <f t="shared" si="20"/>
        <v>140070</v>
      </c>
      <c r="F147" s="98">
        <f t="shared" si="21"/>
        <v>0.61742108673516616</v>
      </c>
    </row>
    <row r="148" spans="1:6" ht="18" customHeight="1" x14ac:dyDescent="0.25">
      <c r="A148" s="99">
        <v>7</v>
      </c>
      <c r="B148" s="100" t="s">
        <v>118</v>
      </c>
      <c r="C148" s="97">
        <v>4792619</v>
      </c>
      <c r="D148" s="97">
        <v>5008185</v>
      </c>
      <c r="E148" s="97">
        <f t="shared" si="20"/>
        <v>215566</v>
      </c>
      <c r="F148" s="98">
        <f t="shared" si="21"/>
        <v>4.4978747528230389E-2</v>
      </c>
    </row>
    <row r="149" spans="1:6" ht="18" customHeight="1" x14ac:dyDescent="0.25">
      <c r="A149" s="99">
        <v>8</v>
      </c>
      <c r="B149" s="100" t="s">
        <v>119</v>
      </c>
      <c r="C149" s="97">
        <v>268127</v>
      </c>
      <c r="D149" s="97">
        <v>291906</v>
      </c>
      <c r="E149" s="97">
        <f t="shared" si="20"/>
        <v>23779</v>
      </c>
      <c r="F149" s="98">
        <f t="shared" si="21"/>
        <v>8.8685585562065739E-2</v>
      </c>
    </row>
    <row r="150" spans="1:6" ht="18" customHeight="1" x14ac:dyDescent="0.25">
      <c r="A150" s="99">
        <v>9</v>
      </c>
      <c r="B150" s="100" t="s">
        <v>120</v>
      </c>
      <c r="C150" s="97">
        <v>1104506</v>
      </c>
      <c r="D150" s="97">
        <v>1248488</v>
      </c>
      <c r="E150" s="97">
        <f t="shared" si="20"/>
        <v>143982</v>
      </c>
      <c r="F150" s="98">
        <f t="shared" si="21"/>
        <v>0.13035873050938609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77594</v>
      </c>
      <c r="E151" s="97">
        <f t="shared" si="20"/>
        <v>77594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11049702</v>
      </c>
      <c r="D153" s="103">
        <f>SUM(D142:D152)</f>
        <v>12212629</v>
      </c>
      <c r="E153" s="103">
        <f t="shared" si="20"/>
        <v>1162927</v>
      </c>
      <c r="F153" s="104">
        <f t="shared" si="21"/>
        <v>0.10524510072760333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525285</v>
      </c>
      <c r="D155" s="97">
        <v>641202</v>
      </c>
      <c r="E155" s="97">
        <f t="shared" ref="E155:E166" si="22">D155-C155</f>
        <v>115917</v>
      </c>
      <c r="F155" s="98">
        <f t="shared" ref="F155:F166" si="23">IF(C155=0,0,E155/C155)</f>
        <v>0.2206744909906051</v>
      </c>
    </row>
    <row r="156" spans="1:6" ht="18" customHeight="1" x14ac:dyDescent="0.25">
      <c r="A156" s="99">
        <v>2</v>
      </c>
      <c r="B156" s="100" t="s">
        <v>113</v>
      </c>
      <c r="C156" s="97">
        <v>90547</v>
      </c>
      <c r="D156" s="97">
        <v>144036</v>
      </c>
      <c r="E156" s="97">
        <f t="shared" si="22"/>
        <v>53489</v>
      </c>
      <c r="F156" s="98">
        <f t="shared" si="23"/>
        <v>0.59073188509834673</v>
      </c>
    </row>
    <row r="157" spans="1:6" ht="18" customHeight="1" x14ac:dyDescent="0.25">
      <c r="A157" s="99">
        <v>3</v>
      </c>
      <c r="B157" s="100" t="s">
        <v>114</v>
      </c>
      <c r="C157" s="97">
        <v>100743</v>
      </c>
      <c r="D157" s="97">
        <v>137715</v>
      </c>
      <c r="E157" s="97">
        <f t="shared" si="22"/>
        <v>36972</v>
      </c>
      <c r="F157" s="98">
        <f t="shared" si="23"/>
        <v>0.3669932402251273</v>
      </c>
    </row>
    <row r="158" spans="1:6" ht="18" customHeight="1" x14ac:dyDescent="0.25">
      <c r="A158" s="99">
        <v>4</v>
      </c>
      <c r="B158" s="100" t="s">
        <v>115</v>
      </c>
      <c r="C158" s="97">
        <v>289799</v>
      </c>
      <c r="D158" s="97">
        <v>404768</v>
      </c>
      <c r="E158" s="97">
        <f t="shared" si="22"/>
        <v>114969</v>
      </c>
      <c r="F158" s="98">
        <f t="shared" si="23"/>
        <v>0.3967197954444287</v>
      </c>
    </row>
    <row r="159" spans="1:6" ht="18" customHeight="1" x14ac:dyDescent="0.25">
      <c r="A159" s="99">
        <v>5</v>
      </c>
      <c r="B159" s="100" t="s">
        <v>116</v>
      </c>
      <c r="C159" s="97">
        <v>34497</v>
      </c>
      <c r="D159" s="97">
        <v>31615</v>
      </c>
      <c r="E159" s="97">
        <f t="shared" si="22"/>
        <v>-2882</v>
      </c>
      <c r="F159" s="98">
        <f t="shared" si="23"/>
        <v>-8.3543496535930656E-2</v>
      </c>
    </row>
    <row r="160" spans="1:6" ht="18" customHeight="1" x14ac:dyDescent="0.25">
      <c r="A160" s="99">
        <v>6</v>
      </c>
      <c r="B160" s="100" t="s">
        <v>117</v>
      </c>
      <c r="C160" s="97">
        <v>147733</v>
      </c>
      <c r="D160" s="97">
        <v>192200</v>
      </c>
      <c r="E160" s="97">
        <f t="shared" si="22"/>
        <v>44467</v>
      </c>
      <c r="F160" s="98">
        <f t="shared" si="23"/>
        <v>0.30099571524303981</v>
      </c>
    </row>
    <row r="161" spans="1:6" ht="18" customHeight="1" x14ac:dyDescent="0.25">
      <c r="A161" s="99">
        <v>7</v>
      </c>
      <c r="B161" s="100" t="s">
        <v>118</v>
      </c>
      <c r="C161" s="97">
        <v>2422669</v>
      </c>
      <c r="D161" s="97">
        <v>2773723</v>
      </c>
      <c r="E161" s="97">
        <f t="shared" si="22"/>
        <v>351054</v>
      </c>
      <c r="F161" s="98">
        <f t="shared" si="23"/>
        <v>0.14490382301503013</v>
      </c>
    </row>
    <row r="162" spans="1:6" ht="18" customHeight="1" x14ac:dyDescent="0.25">
      <c r="A162" s="99">
        <v>8</v>
      </c>
      <c r="B162" s="100" t="s">
        <v>119</v>
      </c>
      <c r="C162" s="97">
        <v>197824</v>
      </c>
      <c r="D162" s="97">
        <v>189681</v>
      </c>
      <c r="E162" s="97">
        <f t="shared" si="22"/>
        <v>-8143</v>
      </c>
      <c r="F162" s="98">
        <f t="shared" si="23"/>
        <v>-4.1162851827887412E-2</v>
      </c>
    </row>
    <row r="163" spans="1:6" ht="18" customHeight="1" x14ac:dyDescent="0.25">
      <c r="A163" s="99">
        <v>9</v>
      </c>
      <c r="B163" s="100" t="s">
        <v>120</v>
      </c>
      <c r="C163" s="97">
        <v>543527</v>
      </c>
      <c r="D163" s="97">
        <v>45070</v>
      </c>
      <c r="E163" s="97">
        <f t="shared" si="22"/>
        <v>-498457</v>
      </c>
      <c r="F163" s="98">
        <f t="shared" si="23"/>
        <v>-0.91707863638788878</v>
      </c>
    </row>
    <row r="164" spans="1:6" ht="18" customHeight="1" x14ac:dyDescent="0.25">
      <c r="A164" s="99">
        <v>10</v>
      </c>
      <c r="B164" s="100" t="s">
        <v>121</v>
      </c>
      <c r="C164" s="97">
        <v>11120</v>
      </c>
      <c r="D164" s="97">
        <v>10739</v>
      </c>
      <c r="E164" s="97">
        <f t="shared" si="22"/>
        <v>-381</v>
      </c>
      <c r="F164" s="98">
        <f t="shared" si="23"/>
        <v>-3.426258992805755E-2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4363744</v>
      </c>
      <c r="D166" s="103">
        <f>SUM(D155:D165)</f>
        <v>4570749</v>
      </c>
      <c r="E166" s="103">
        <f t="shared" si="22"/>
        <v>207005</v>
      </c>
      <c r="F166" s="104">
        <f t="shared" si="23"/>
        <v>4.743747570893251E-2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2733</v>
      </c>
      <c r="D168" s="117">
        <v>2717</v>
      </c>
      <c r="E168" s="117">
        <f t="shared" ref="E168:E179" si="24">D168-C168</f>
        <v>-16</v>
      </c>
      <c r="F168" s="98">
        <f t="shared" ref="F168:F179" si="25">IF(C168=0,0,E168/C168)</f>
        <v>-5.8543724844493227E-3</v>
      </c>
    </row>
    <row r="169" spans="1:6" ht="18" customHeight="1" x14ac:dyDescent="0.25">
      <c r="A169" s="99">
        <v>2</v>
      </c>
      <c r="B169" s="100" t="s">
        <v>113</v>
      </c>
      <c r="C169" s="117">
        <v>473</v>
      </c>
      <c r="D169" s="117">
        <v>539</v>
      </c>
      <c r="E169" s="117">
        <f t="shared" si="24"/>
        <v>66</v>
      </c>
      <c r="F169" s="98">
        <f t="shared" si="25"/>
        <v>0.13953488372093023</v>
      </c>
    </row>
    <row r="170" spans="1:6" ht="18" customHeight="1" x14ac:dyDescent="0.25">
      <c r="A170" s="99">
        <v>3</v>
      </c>
      <c r="B170" s="100" t="s">
        <v>114</v>
      </c>
      <c r="C170" s="117">
        <v>699</v>
      </c>
      <c r="D170" s="117">
        <v>831</v>
      </c>
      <c r="E170" s="117">
        <f t="shared" si="24"/>
        <v>132</v>
      </c>
      <c r="F170" s="98">
        <f t="shared" si="25"/>
        <v>0.18884120171673821</v>
      </c>
    </row>
    <row r="171" spans="1:6" ht="18" customHeight="1" x14ac:dyDescent="0.25">
      <c r="A171" s="99">
        <v>4</v>
      </c>
      <c r="B171" s="100" t="s">
        <v>115</v>
      </c>
      <c r="C171" s="117">
        <v>2471</v>
      </c>
      <c r="D171" s="117">
        <v>2948</v>
      </c>
      <c r="E171" s="117">
        <f t="shared" si="24"/>
        <v>477</v>
      </c>
      <c r="F171" s="98">
        <f t="shared" si="25"/>
        <v>0.19303925536220154</v>
      </c>
    </row>
    <row r="172" spans="1:6" ht="18" customHeight="1" x14ac:dyDescent="0.25">
      <c r="A172" s="99">
        <v>5</v>
      </c>
      <c r="B172" s="100" t="s">
        <v>116</v>
      </c>
      <c r="C172" s="117">
        <v>166</v>
      </c>
      <c r="D172" s="117">
        <v>147</v>
      </c>
      <c r="E172" s="117">
        <f t="shared" si="24"/>
        <v>-19</v>
      </c>
      <c r="F172" s="98">
        <f t="shared" si="25"/>
        <v>-0.1144578313253012</v>
      </c>
    </row>
    <row r="173" spans="1:6" ht="18" customHeight="1" x14ac:dyDescent="0.25">
      <c r="A173" s="99">
        <v>6</v>
      </c>
      <c r="B173" s="100" t="s">
        <v>117</v>
      </c>
      <c r="C173" s="117">
        <v>523</v>
      </c>
      <c r="D173" s="117">
        <v>560</v>
      </c>
      <c r="E173" s="117">
        <f t="shared" si="24"/>
        <v>37</v>
      </c>
      <c r="F173" s="98">
        <f t="shared" si="25"/>
        <v>7.0745697896749518E-2</v>
      </c>
    </row>
    <row r="174" spans="1:6" ht="18" customHeight="1" x14ac:dyDescent="0.25">
      <c r="A174" s="99">
        <v>7</v>
      </c>
      <c r="B174" s="100" t="s">
        <v>118</v>
      </c>
      <c r="C174" s="117">
        <v>7336</v>
      </c>
      <c r="D174" s="117">
        <v>6944</v>
      </c>
      <c r="E174" s="117">
        <f t="shared" si="24"/>
        <v>-392</v>
      </c>
      <c r="F174" s="98">
        <f t="shared" si="25"/>
        <v>-5.3435114503816793E-2</v>
      </c>
    </row>
    <row r="175" spans="1:6" ht="18" customHeight="1" x14ac:dyDescent="0.25">
      <c r="A175" s="99">
        <v>8</v>
      </c>
      <c r="B175" s="100" t="s">
        <v>119</v>
      </c>
      <c r="C175" s="117">
        <v>646</v>
      </c>
      <c r="D175" s="117">
        <v>591</v>
      </c>
      <c r="E175" s="117">
        <f t="shared" si="24"/>
        <v>-55</v>
      </c>
      <c r="F175" s="98">
        <f t="shared" si="25"/>
        <v>-8.5139318885448914E-2</v>
      </c>
    </row>
    <row r="176" spans="1:6" ht="18" customHeight="1" x14ac:dyDescent="0.25">
      <c r="A176" s="99">
        <v>9</v>
      </c>
      <c r="B176" s="100" t="s">
        <v>120</v>
      </c>
      <c r="C176" s="117">
        <v>1592</v>
      </c>
      <c r="D176" s="117">
        <v>1554</v>
      </c>
      <c r="E176" s="117">
        <f t="shared" si="24"/>
        <v>-38</v>
      </c>
      <c r="F176" s="98">
        <f t="shared" si="25"/>
        <v>-2.3869346733668341E-2</v>
      </c>
    </row>
    <row r="177" spans="1:6" ht="18" customHeight="1" x14ac:dyDescent="0.25">
      <c r="A177" s="99">
        <v>10</v>
      </c>
      <c r="B177" s="100" t="s">
        <v>121</v>
      </c>
      <c r="C177" s="117">
        <v>697</v>
      </c>
      <c r="D177" s="117">
        <v>412</v>
      </c>
      <c r="E177" s="117">
        <f t="shared" si="24"/>
        <v>-285</v>
      </c>
      <c r="F177" s="98">
        <f t="shared" si="25"/>
        <v>-0.40889526542324245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17336</v>
      </c>
      <c r="D179" s="118">
        <f>SUM(D168:D178)</f>
        <v>17243</v>
      </c>
      <c r="E179" s="118">
        <f t="shared" si="24"/>
        <v>-93</v>
      </c>
      <c r="F179" s="104">
        <f t="shared" si="25"/>
        <v>-5.3645592985694509E-3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FILING&amp;RJOHNSON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A3" sqref="A3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9164680</v>
      </c>
      <c r="D15" s="146">
        <v>10037829</v>
      </c>
      <c r="E15" s="146">
        <f>+D15-C15</f>
        <v>873149</v>
      </c>
      <c r="F15" s="150">
        <f>IF(C15=0,0,E15/C15)</f>
        <v>9.5273266497029899E-2</v>
      </c>
    </row>
    <row r="16" spans="1:7" ht="15" customHeight="1" x14ac:dyDescent="0.2">
      <c r="A16" s="141">
        <v>2</v>
      </c>
      <c r="B16" s="149" t="s">
        <v>158</v>
      </c>
      <c r="C16" s="146">
        <v>2541554</v>
      </c>
      <c r="D16" s="146">
        <v>692376</v>
      </c>
      <c r="E16" s="146">
        <f>+D16-C16</f>
        <v>-1849178</v>
      </c>
      <c r="F16" s="150">
        <f>IF(C16=0,0,E16/C16)</f>
        <v>-0.72757769459157662</v>
      </c>
    </row>
    <row r="17" spans="1:7" ht="15" customHeight="1" x14ac:dyDescent="0.2">
      <c r="A17" s="141">
        <v>3</v>
      </c>
      <c r="B17" s="149" t="s">
        <v>159</v>
      </c>
      <c r="C17" s="146">
        <v>15030923</v>
      </c>
      <c r="D17" s="146">
        <v>15934731</v>
      </c>
      <c r="E17" s="146">
        <f>+D17-C17</f>
        <v>903808</v>
      </c>
      <c r="F17" s="150">
        <f>IF(C17=0,0,E17/C17)</f>
        <v>6.0129906859345897E-2</v>
      </c>
    </row>
    <row r="18" spans="1:7" ht="15.75" customHeight="1" x14ac:dyDescent="0.25">
      <c r="A18" s="141"/>
      <c r="B18" s="151" t="s">
        <v>160</v>
      </c>
      <c r="C18" s="147">
        <f>SUM(C15:C17)</f>
        <v>26737157</v>
      </c>
      <c r="D18" s="147">
        <f>SUM(D15:D17)</f>
        <v>26664936</v>
      </c>
      <c r="E18" s="147">
        <f>+D18-C18</f>
        <v>-72221</v>
      </c>
      <c r="F18" s="148">
        <f>IF(C18=0,0,E18/C18)</f>
        <v>-2.7011473209361788E-3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2424561</v>
      </c>
      <c r="D21" s="146">
        <v>3137311</v>
      </c>
      <c r="E21" s="146">
        <f>+D21-C21</f>
        <v>712750</v>
      </c>
      <c r="F21" s="150">
        <f>IF(C21=0,0,E21/C21)</f>
        <v>0.29397074356966063</v>
      </c>
    </row>
    <row r="22" spans="1:7" ht="15" customHeight="1" x14ac:dyDescent="0.2">
      <c r="A22" s="141">
        <v>2</v>
      </c>
      <c r="B22" s="149" t="s">
        <v>163</v>
      </c>
      <c r="C22" s="146">
        <v>672381</v>
      </c>
      <c r="D22" s="146">
        <v>216401</v>
      </c>
      <c r="E22" s="146">
        <f>+D22-C22</f>
        <v>-455980</v>
      </c>
      <c r="F22" s="150">
        <f>IF(C22=0,0,E22/C22)</f>
        <v>-0.67815717576790535</v>
      </c>
    </row>
    <row r="23" spans="1:7" ht="15" customHeight="1" x14ac:dyDescent="0.2">
      <c r="A23" s="141">
        <v>3</v>
      </c>
      <c r="B23" s="149" t="s">
        <v>164</v>
      </c>
      <c r="C23" s="146">
        <v>3931568</v>
      </c>
      <c r="D23" s="146">
        <v>5033765</v>
      </c>
      <c r="E23" s="146">
        <f>+D23-C23</f>
        <v>1102197</v>
      </c>
      <c r="F23" s="150">
        <f>IF(C23=0,0,E23/C23)</f>
        <v>0.28034539908759049</v>
      </c>
    </row>
    <row r="24" spans="1:7" ht="15.75" customHeight="1" x14ac:dyDescent="0.25">
      <c r="A24" s="141"/>
      <c r="B24" s="151" t="s">
        <v>165</v>
      </c>
      <c r="C24" s="147">
        <f>SUM(C21:C23)</f>
        <v>7028510</v>
      </c>
      <c r="D24" s="147">
        <f>SUM(D21:D23)</f>
        <v>8387477</v>
      </c>
      <c r="E24" s="147">
        <f>+D24-C24</f>
        <v>1358967</v>
      </c>
      <c r="F24" s="148">
        <f>IF(C24=0,0,E24/C24)</f>
        <v>0.19335065326790457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77489</v>
      </c>
      <c r="D27" s="146">
        <v>278500</v>
      </c>
      <c r="E27" s="146">
        <f>+D27-C27</f>
        <v>201011</v>
      </c>
      <c r="F27" s="150">
        <f>IF(C27=0,0,E27/C27)</f>
        <v>2.5940585115306689</v>
      </c>
    </row>
    <row r="28" spans="1:7" ht="15" customHeight="1" x14ac:dyDescent="0.2">
      <c r="A28" s="141">
        <v>2</v>
      </c>
      <c r="B28" s="149" t="s">
        <v>168</v>
      </c>
      <c r="C28" s="146">
        <v>212632</v>
      </c>
      <c r="D28" s="146">
        <v>387251</v>
      </c>
      <c r="E28" s="146">
        <f>+D28-C28</f>
        <v>174619</v>
      </c>
      <c r="F28" s="150">
        <f>IF(C28=0,0,E28/C28)</f>
        <v>0.82122634410624928</v>
      </c>
    </row>
    <row r="29" spans="1:7" ht="15" customHeight="1" x14ac:dyDescent="0.2">
      <c r="A29" s="141">
        <v>3</v>
      </c>
      <c r="B29" s="149" t="s">
        <v>169</v>
      </c>
      <c r="C29" s="146">
        <v>1510903</v>
      </c>
      <c r="D29" s="146">
        <v>1864566</v>
      </c>
      <c r="E29" s="146">
        <f>+D29-C29</f>
        <v>353663</v>
      </c>
      <c r="F29" s="150">
        <f>IF(C29=0,0,E29/C29)</f>
        <v>0.23407392797552193</v>
      </c>
    </row>
    <row r="30" spans="1:7" ht="15.75" customHeight="1" x14ac:dyDescent="0.25">
      <c r="A30" s="141"/>
      <c r="B30" s="151" t="s">
        <v>170</v>
      </c>
      <c r="C30" s="147">
        <f>SUM(C27:C29)</f>
        <v>1801024</v>
      </c>
      <c r="D30" s="147">
        <f>SUM(D27:D29)</f>
        <v>2530317</v>
      </c>
      <c r="E30" s="147">
        <f>+D30-C30</f>
        <v>729293</v>
      </c>
      <c r="F30" s="148">
        <f>IF(C30=0,0,E30/C30)</f>
        <v>0.40493241622543619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6084802</v>
      </c>
      <c r="D33" s="146">
        <v>7668611</v>
      </c>
      <c r="E33" s="146">
        <f>+D33-C33</f>
        <v>1583809</v>
      </c>
      <c r="F33" s="150">
        <f>IF(C33=0,0,E33/C33)</f>
        <v>0.26028932412262551</v>
      </c>
    </row>
    <row r="34" spans="1:7" ht="15" customHeight="1" x14ac:dyDescent="0.2">
      <c r="A34" s="141">
        <v>2</v>
      </c>
      <c r="B34" s="149" t="s">
        <v>174</v>
      </c>
      <c r="C34" s="146">
        <v>1625145</v>
      </c>
      <c r="D34" s="146">
        <v>2214229</v>
      </c>
      <c r="E34" s="146">
        <f>+D34-C34</f>
        <v>589084</v>
      </c>
      <c r="F34" s="150">
        <f>IF(C34=0,0,E34/C34)</f>
        <v>0.36248088632091291</v>
      </c>
    </row>
    <row r="35" spans="1:7" ht="15.75" customHeight="1" x14ac:dyDescent="0.25">
      <c r="A35" s="141"/>
      <c r="B35" s="151" t="s">
        <v>175</v>
      </c>
      <c r="C35" s="147">
        <f>SUM(C33:C34)</f>
        <v>7709947</v>
      </c>
      <c r="D35" s="147">
        <f>SUM(D33:D34)</f>
        <v>9882840</v>
      </c>
      <c r="E35" s="147">
        <f>+D35-C35</f>
        <v>2172893</v>
      </c>
      <c r="F35" s="148">
        <f>IF(C35=0,0,E35/C35)</f>
        <v>0.28182982321408956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1161930</v>
      </c>
      <c r="D38" s="146">
        <v>1157868</v>
      </c>
      <c r="E38" s="146">
        <f>+D38-C38</f>
        <v>-4062</v>
      </c>
      <c r="F38" s="150">
        <f>IF(C38=0,0,E38/C38)</f>
        <v>-3.4959076708579689E-3</v>
      </c>
    </row>
    <row r="39" spans="1:7" ht="15" customHeight="1" x14ac:dyDescent="0.2">
      <c r="A39" s="141">
        <v>2</v>
      </c>
      <c r="B39" s="149" t="s">
        <v>179</v>
      </c>
      <c r="C39" s="146">
        <v>1797231</v>
      </c>
      <c r="D39" s="146">
        <v>2001770</v>
      </c>
      <c r="E39" s="146">
        <f>+D39-C39</f>
        <v>204539</v>
      </c>
      <c r="F39" s="150">
        <f>IF(C39=0,0,E39/C39)</f>
        <v>0.11380785219039734</v>
      </c>
    </row>
    <row r="40" spans="1:7" ht="15" customHeight="1" x14ac:dyDescent="0.2">
      <c r="A40" s="141">
        <v>3</v>
      </c>
      <c r="B40" s="149" t="s">
        <v>180</v>
      </c>
      <c r="C40" s="146">
        <v>12497</v>
      </c>
      <c r="D40" s="146">
        <v>12498</v>
      </c>
      <c r="E40" s="146">
        <f>+D40-C40</f>
        <v>1</v>
      </c>
      <c r="F40" s="150">
        <f>IF(C40=0,0,E40/C40)</f>
        <v>8.0019204609106182E-5</v>
      </c>
    </row>
    <row r="41" spans="1:7" ht="15.75" customHeight="1" x14ac:dyDescent="0.25">
      <c r="A41" s="141"/>
      <c r="B41" s="151" t="s">
        <v>181</v>
      </c>
      <c r="C41" s="147">
        <f>SUM(C38:C40)</f>
        <v>2971658</v>
      </c>
      <c r="D41" s="147">
        <f>SUM(D38:D40)</f>
        <v>3172136</v>
      </c>
      <c r="E41" s="147">
        <f>+D41-C41</f>
        <v>200478</v>
      </c>
      <c r="F41" s="148">
        <f>IF(C41=0,0,E41/C41)</f>
        <v>6.7463348743361448E-2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5104950</v>
      </c>
      <c r="D44" s="146">
        <v>2544297</v>
      </c>
      <c r="E44" s="146">
        <f>+D44-C44</f>
        <v>-2560653</v>
      </c>
      <c r="F44" s="150">
        <f>IF(C44=0,0,E44/C44)</f>
        <v>-0.50160197455410926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845087</v>
      </c>
      <c r="D47" s="146">
        <v>592676</v>
      </c>
      <c r="E47" s="146">
        <f>+D47-C47</f>
        <v>-252411</v>
      </c>
      <c r="F47" s="150">
        <f>IF(C47=0,0,E47/C47)</f>
        <v>-0.29868049088437049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421101</v>
      </c>
      <c r="D50" s="146">
        <v>322204</v>
      </c>
      <c r="E50" s="146">
        <f>+D50-C50</f>
        <v>-98897</v>
      </c>
      <c r="F50" s="150">
        <f>IF(C50=0,0,E50/C50)</f>
        <v>-0.23485339621610968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24554</v>
      </c>
      <c r="D53" s="146">
        <v>36866</v>
      </c>
      <c r="E53" s="146">
        <f t="shared" ref="E53:E59" si="0">+D53-C53</f>
        <v>12312</v>
      </c>
      <c r="F53" s="150">
        <f t="shared" ref="F53:F59" si="1">IF(C53=0,0,E53/C53)</f>
        <v>0.50142542966522763</v>
      </c>
    </row>
    <row r="54" spans="1:7" ht="15" customHeight="1" x14ac:dyDescent="0.2">
      <c r="A54" s="141">
        <v>2</v>
      </c>
      <c r="B54" s="149" t="s">
        <v>193</v>
      </c>
      <c r="C54" s="146">
        <v>36309</v>
      </c>
      <c r="D54" s="146">
        <v>32021</v>
      </c>
      <c r="E54" s="146">
        <f t="shared" si="0"/>
        <v>-4288</v>
      </c>
      <c r="F54" s="150">
        <f t="shared" si="1"/>
        <v>-0.11809744140571209</v>
      </c>
    </row>
    <row r="55" spans="1:7" ht="15" customHeight="1" x14ac:dyDescent="0.2">
      <c r="A55" s="141">
        <v>3</v>
      </c>
      <c r="B55" s="149" t="s">
        <v>194</v>
      </c>
      <c r="C55" s="146">
        <v>489614</v>
      </c>
      <c r="D55" s="146">
        <v>500461</v>
      </c>
      <c r="E55" s="146">
        <f t="shared" si="0"/>
        <v>10847</v>
      </c>
      <c r="F55" s="150">
        <f t="shared" si="1"/>
        <v>2.2154186767535243E-2</v>
      </c>
    </row>
    <row r="56" spans="1:7" ht="15" customHeight="1" x14ac:dyDescent="0.2">
      <c r="A56" s="141">
        <v>4</v>
      </c>
      <c r="B56" s="149" t="s">
        <v>195</v>
      </c>
      <c r="C56" s="146">
        <v>903228</v>
      </c>
      <c r="D56" s="146">
        <v>696544</v>
      </c>
      <c r="E56" s="146">
        <f t="shared" si="0"/>
        <v>-206684</v>
      </c>
      <c r="F56" s="150">
        <f t="shared" si="1"/>
        <v>-0.22882815856018635</v>
      </c>
    </row>
    <row r="57" spans="1:7" ht="15" customHeight="1" x14ac:dyDescent="0.2">
      <c r="A57" s="141">
        <v>5</v>
      </c>
      <c r="B57" s="149" t="s">
        <v>196</v>
      </c>
      <c r="C57" s="146">
        <v>216115</v>
      </c>
      <c r="D57" s="146">
        <v>196481</v>
      </c>
      <c r="E57" s="146">
        <f t="shared" si="0"/>
        <v>-19634</v>
      </c>
      <c r="F57" s="150">
        <f t="shared" si="1"/>
        <v>-9.0849779052819102E-2</v>
      </c>
    </row>
    <row r="58" spans="1:7" ht="15" customHeight="1" x14ac:dyDescent="0.2">
      <c r="A58" s="141">
        <v>6</v>
      </c>
      <c r="B58" s="149" t="s">
        <v>197</v>
      </c>
      <c r="C58" s="146">
        <v>173086</v>
      </c>
      <c r="D58" s="146">
        <v>221376</v>
      </c>
      <c r="E58" s="146">
        <f t="shared" si="0"/>
        <v>48290</v>
      </c>
      <c r="F58" s="150">
        <f t="shared" si="1"/>
        <v>0.27899425719006737</v>
      </c>
    </row>
    <row r="59" spans="1:7" ht="15.75" customHeight="1" x14ac:dyDescent="0.25">
      <c r="A59" s="141"/>
      <c r="B59" s="151" t="s">
        <v>198</v>
      </c>
      <c r="C59" s="147">
        <f>SUM(C53:C58)</f>
        <v>1842906</v>
      </c>
      <c r="D59" s="147">
        <f>SUM(D53:D58)</f>
        <v>1683749</v>
      </c>
      <c r="E59" s="147">
        <f t="shared" si="0"/>
        <v>-159157</v>
      </c>
      <c r="F59" s="148">
        <f t="shared" si="1"/>
        <v>-8.6361973969372285E-2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109200</v>
      </c>
      <c r="D62" s="146">
        <v>89663</v>
      </c>
      <c r="E62" s="146">
        <f t="shared" ref="E62:E78" si="2">+D62-C62</f>
        <v>-19537</v>
      </c>
      <c r="F62" s="150">
        <f t="shared" ref="F62:F78" si="3">IF(C62=0,0,E62/C62)</f>
        <v>-0.1789102564102564</v>
      </c>
    </row>
    <row r="63" spans="1:7" ht="15" customHeight="1" x14ac:dyDescent="0.2">
      <c r="A63" s="141">
        <v>2</v>
      </c>
      <c r="B63" s="149" t="s">
        <v>202</v>
      </c>
      <c r="C63" s="146">
        <v>0</v>
      </c>
      <c r="D63" s="146">
        <v>1039029</v>
      </c>
      <c r="E63" s="146">
        <f t="shared" si="2"/>
        <v>1039029</v>
      </c>
      <c r="F63" s="150">
        <f t="shared" si="3"/>
        <v>0</v>
      </c>
    </row>
    <row r="64" spans="1:7" ht="15" customHeight="1" x14ac:dyDescent="0.2">
      <c r="A64" s="141">
        <v>3</v>
      </c>
      <c r="B64" s="149" t="s">
        <v>203</v>
      </c>
      <c r="C64" s="146">
        <v>5489686</v>
      </c>
      <c r="D64" s="146">
        <v>4293016</v>
      </c>
      <c r="E64" s="146">
        <f t="shared" si="2"/>
        <v>-1196670</v>
      </c>
      <c r="F64" s="150">
        <f t="shared" si="3"/>
        <v>-0.21798514523417187</v>
      </c>
    </row>
    <row r="65" spans="1:7" ht="15" customHeight="1" x14ac:dyDescent="0.2">
      <c r="A65" s="141">
        <v>4</v>
      </c>
      <c r="B65" s="149" t="s">
        <v>204</v>
      </c>
      <c r="C65" s="146">
        <v>29873</v>
      </c>
      <c r="D65" s="146">
        <v>157170</v>
      </c>
      <c r="E65" s="146">
        <f t="shared" si="2"/>
        <v>127297</v>
      </c>
      <c r="F65" s="150">
        <f t="shared" si="3"/>
        <v>4.2612727211863559</v>
      </c>
    </row>
    <row r="66" spans="1:7" ht="15" customHeight="1" x14ac:dyDescent="0.2">
      <c r="A66" s="141">
        <v>5</v>
      </c>
      <c r="B66" s="149" t="s">
        <v>205</v>
      </c>
      <c r="C66" s="146">
        <v>2243037</v>
      </c>
      <c r="D66" s="146">
        <v>1280231</v>
      </c>
      <c r="E66" s="146">
        <f t="shared" si="2"/>
        <v>-962806</v>
      </c>
      <c r="F66" s="150">
        <f t="shared" si="3"/>
        <v>-0.42924213911763381</v>
      </c>
    </row>
    <row r="67" spans="1:7" ht="15" customHeight="1" x14ac:dyDescent="0.2">
      <c r="A67" s="141">
        <v>6</v>
      </c>
      <c r="B67" s="149" t="s">
        <v>206</v>
      </c>
      <c r="C67" s="146">
        <v>809784</v>
      </c>
      <c r="D67" s="146">
        <v>752637</v>
      </c>
      <c r="E67" s="146">
        <f t="shared" si="2"/>
        <v>-57147</v>
      </c>
      <c r="F67" s="150">
        <f t="shared" si="3"/>
        <v>-7.0570670697371149E-2</v>
      </c>
    </row>
    <row r="68" spans="1:7" ht="15" customHeight="1" x14ac:dyDescent="0.2">
      <c r="A68" s="141">
        <v>7</v>
      </c>
      <c r="B68" s="149" t="s">
        <v>207</v>
      </c>
      <c r="C68" s="146">
        <v>367627</v>
      </c>
      <c r="D68" s="146">
        <v>469780</v>
      </c>
      <c r="E68" s="146">
        <f t="shared" si="2"/>
        <v>102153</v>
      </c>
      <c r="F68" s="150">
        <f t="shared" si="3"/>
        <v>0.27787132065925518</v>
      </c>
    </row>
    <row r="69" spans="1:7" ht="15" customHeight="1" x14ac:dyDescent="0.2">
      <c r="A69" s="141">
        <v>8</v>
      </c>
      <c r="B69" s="149" t="s">
        <v>208</v>
      </c>
      <c r="C69" s="146">
        <v>89752</v>
      </c>
      <c r="D69" s="146">
        <v>148997</v>
      </c>
      <c r="E69" s="146">
        <f t="shared" si="2"/>
        <v>59245</v>
      </c>
      <c r="F69" s="150">
        <f t="shared" si="3"/>
        <v>0.66009671093680367</v>
      </c>
    </row>
    <row r="70" spans="1:7" ht="15" customHeight="1" x14ac:dyDescent="0.2">
      <c r="A70" s="141">
        <v>9</v>
      </c>
      <c r="B70" s="149" t="s">
        <v>209</v>
      </c>
      <c r="C70" s="146">
        <v>3546</v>
      </c>
      <c r="D70" s="146">
        <v>1880</v>
      </c>
      <c r="E70" s="146">
        <f t="shared" si="2"/>
        <v>-1666</v>
      </c>
      <c r="F70" s="150">
        <f t="shared" si="3"/>
        <v>-0.46982515510434292</v>
      </c>
    </row>
    <row r="71" spans="1:7" ht="15" customHeight="1" x14ac:dyDescent="0.2">
      <c r="A71" s="141">
        <v>10</v>
      </c>
      <c r="B71" s="149" t="s">
        <v>210</v>
      </c>
      <c r="C71" s="146">
        <v>29047</v>
      </c>
      <c r="D71" s="146">
        <v>65330</v>
      </c>
      <c r="E71" s="146">
        <f t="shared" si="2"/>
        <v>36283</v>
      </c>
      <c r="F71" s="150">
        <f t="shared" si="3"/>
        <v>1.2491135056976623</v>
      </c>
    </row>
    <row r="72" spans="1:7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7" ht="15" customHeight="1" x14ac:dyDescent="0.2">
      <c r="A73" s="141">
        <v>12</v>
      </c>
      <c r="B73" s="149" t="s">
        <v>212</v>
      </c>
      <c r="C73" s="146">
        <v>430915</v>
      </c>
      <c r="D73" s="146">
        <v>891594</v>
      </c>
      <c r="E73" s="146">
        <f t="shared" si="2"/>
        <v>460679</v>
      </c>
      <c r="F73" s="150">
        <f t="shared" si="3"/>
        <v>1.0690716266549087</v>
      </c>
    </row>
    <row r="74" spans="1:7" ht="15" customHeight="1" x14ac:dyDescent="0.2">
      <c r="A74" s="141">
        <v>13</v>
      </c>
      <c r="B74" s="149" t="s">
        <v>213</v>
      </c>
      <c r="C74" s="146">
        <v>55806</v>
      </c>
      <c r="D74" s="146">
        <v>71347</v>
      </c>
      <c r="E74" s="146">
        <f t="shared" si="2"/>
        <v>15541</v>
      </c>
      <c r="F74" s="150">
        <f t="shared" si="3"/>
        <v>0.27848260043722894</v>
      </c>
    </row>
    <row r="75" spans="1:7" ht="15" customHeight="1" x14ac:dyDescent="0.2">
      <c r="A75" s="141">
        <v>14</v>
      </c>
      <c r="B75" s="149" t="s">
        <v>214</v>
      </c>
      <c r="C75" s="146">
        <v>101279</v>
      </c>
      <c r="D75" s="146">
        <v>87686</v>
      </c>
      <c r="E75" s="146">
        <f t="shared" si="2"/>
        <v>-13593</v>
      </c>
      <c r="F75" s="150">
        <f t="shared" si="3"/>
        <v>-0.1342134104799613</v>
      </c>
    </row>
    <row r="76" spans="1:7" ht="15" customHeight="1" x14ac:dyDescent="0.2">
      <c r="A76" s="141">
        <v>15</v>
      </c>
      <c r="B76" s="149" t="s">
        <v>215</v>
      </c>
      <c r="C76" s="146">
        <v>99813</v>
      </c>
      <c r="D76" s="146">
        <v>128333</v>
      </c>
      <c r="E76" s="146">
        <f t="shared" si="2"/>
        <v>28520</v>
      </c>
      <c r="F76" s="150">
        <f t="shared" si="3"/>
        <v>0.28573432318435477</v>
      </c>
    </row>
    <row r="77" spans="1:7" ht="15" customHeight="1" x14ac:dyDescent="0.2">
      <c r="A77" s="141">
        <v>16</v>
      </c>
      <c r="B77" s="149" t="s">
        <v>216</v>
      </c>
      <c r="C77" s="146">
        <v>1288354</v>
      </c>
      <c r="D77" s="146">
        <v>1940740</v>
      </c>
      <c r="E77" s="146">
        <f t="shared" si="2"/>
        <v>652386</v>
      </c>
      <c r="F77" s="150">
        <f t="shared" si="3"/>
        <v>0.50637169597796883</v>
      </c>
    </row>
    <row r="78" spans="1:7" ht="15.75" customHeight="1" x14ac:dyDescent="0.25">
      <c r="A78" s="141"/>
      <c r="B78" s="151" t="s">
        <v>217</v>
      </c>
      <c r="C78" s="147">
        <f>SUM(C62:C77)</f>
        <v>11147719</v>
      </c>
      <c r="D78" s="147">
        <f>SUM(D62:D77)</f>
        <v>11417433</v>
      </c>
      <c r="E78" s="147">
        <f t="shared" si="2"/>
        <v>269714</v>
      </c>
      <c r="F78" s="148">
        <f t="shared" si="3"/>
        <v>2.4194545987389886E-2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4609596</v>
      </c>
      <c r="D81" s="146">
        <v>486670</v>
      </c>
      <c r="E81" s="146">
        <f>+D81-C81</f>
        <v>-4122926</v>
      </c>
      <c r="F81" s="150">
        <f>IF(C81=0,0,E81/C81)</f>
        <v>-0.89442241792990107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70219655</v>
      </c>
      <c r="D83" s="147">
        <f>+D81+D78+D59+D50+D47+D44+D41+D35+D30+D24+D18</f>
        <v>67684735</v>
      </c>
      <c r="E83" s="147">
        <f>+D83-C83</f>
        <v>-2534920</v>
      </c>
      <c r="F83" s="148">
        <f>IF(C83=0,0,E83/C83)</f>
        <v>-3.6099864062277151E-2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3836321</v>
      </c>
      <c r="D91" s="146">
        <v>4474045</v>
      </c>
      <c r="E91" s="146">
        <f t="shared" ref="E91:E109" si="4">D91-C91</f>
        <v>637724</v>
      </c>
      <c r="F91" s="150">
        <f t="shared" ref="F91:F109" si="5">IF(C91=0,0,E91/C91)</f>
        <v>0.16623322188106782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707210</v>
      </c>
      <c r="D92" s="146">
        <v>689034</v>
      </c>
      <c r="E92" s="146">
        <f t="shared" si="4"/>
        <v>-18176</v>
      </c>
      <c r="F92" s="150">
        <f t="shared" si="5"/>
        <v>-2.5700994047029878E-2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2064017</v>
      </c>
      <c r="D93" s="146">
        <v>1704917</v>
      </c>
      <c r="E93" s="146">
        <f t="shared" si="4"/>
        <v>-359100</v>
      </c>
      <c r="F93" s="150">
        <f t="shared" si="5"/>
        <v>-0.17398112515546141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958012</v>
      </c>
      <c r="D94" s="146">
        <v>998265</v>
      </c>
      <c r="E94" s="146">
        <f t="shared" si="4"/>
        <v>40253</v>
      </c>
      <c r="F94" s="150">
        <f t="shared" si="5"/>
        <v>4.2017218990993851E-2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1165805</v>
      </c>
      <c r="D95" s="146">
        <v>1842538</v>
      </c>
      <c r="E95" s="146">
        <f t="shared" si="4"/>
        <v>676733</v>
      </c>
      <c r="F95" s="150">
        <f t="shared" si="5"/>
        <v>0.58048558721226962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242044</v>
      </c>
      <c r="D96" s="146">
        <v>179520</v>
      </c>
      <c r="E96" s="146">
        <f t="shared" si="4"/>
        <v>-62524</v>
      </c>
      <c r="F96" s="150">
        <f t="shared" si="5"/>
        <v>-0.25831666969641881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7132269</v>
      </c>
      <c r="D97" s="146">
        <v>8321692</v>
      </c>
      <c r="E97" s="146">
        <f t="shared" si="4"/>
        <v>1189423</v>
      </c>
      <c r="F97" s="150">
        <f t="shared" si="5"/>
        <v>0.16676642454175522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173964</v>
      </c>
      <c r="D98" s="146">
        <v>289963</v>
      </c>
      <c r="E98" s="146">
        <f t="shared" si="4"/>
        <v>115999</v>
      </c>
      <c r="F98" s="150">
        <f t="shared" si="5"/>
        <v>0.66679887792876691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326506</v>
      </c>
      <c r="D99" s="146">
        <v>376197</v>
      </c>
      <c r="E99" s="146">
        <f t="shared" si="4"/>
        <v>49691</v>
      </c>
      <c r="F99" s="150">
        <f t="shared" si="5"/>
        <v>0.15219015883322207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674252</v>
      </c>
      <c r="D100" s="146">
        <v>619794</v>
      </c>
      <c r="E100" s="146">
        <f t="shared" si="4"/>
        <v>-54458</v>
      </c>
      <c r="F100" s="150">
        <f t="shared" si="5"/>
        <v>-8.0768021451920052E-2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605123</v>
      </c>
      <c r="D101" s="146">
        <v>718735</v>
      </c>
      <c r="E101" s="146">
        <f t="shared" si="4"/>
        <v>113612</v>
      </c>
      <c r="F101" s="150">
        <f t="shared" si="5"/>
        <v>0.1877502590382451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240246</v>
      </c>
      <c r="D102" s="146">
        <v>280700</v>
      </c>
      <c r="E102" s="146">
        <f t="shared" si="4"/>
        <v>40454</v>
      </c>
      <c r="F102" s="150">
        <f t="shared" si="5"/>
        <v>0.1683857379519326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1723608</v>
      </c>
      <c r="D103" s="146">
        <v>1505095</v>
      </c>
      <c r="E103" s="146">
        <f t="shared" si="4"/>
        <v>-218513</v>
      </c>
      <c r="F103" s="150">
        <f t="shared" si="5"/>
        <v>-0.12677650602689242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167798</v>
      </c>
      <c r="D104" s="146">
        <v>160811</v>
      </c>
      <c r="E104" s="146">
        <f t="shared" si="4"/>
        <v>-6987</v>
      </c>
      <c r="F104" s="150">
        <f t="shared" si="5"/>
        <v>-4.1639352078093897E-2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679827</v>
      </c>
      <c r="D105" s="146">
        <v>857813</v>
      </c>
      <c r="E105" s="146">
        <f t="shared" si="4"/>
        <v>177986</v>
      </c>
      <c r="F105" s="150">
        <f t="shared" si="5"/>
        <v>0.26181072537572059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228106</v>
      </c>
      <c r="D106" s="146">
        <v>185163</v>
      </c>
      <c r="E106" s="146">
        <f t="shared" si="4"/>
        <v>-42943</v>
      </c>
      <c r="F106" s="150">
        <f t="shared" si="5"/>
        <v>-0.18825896732220984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2408405</v>
      </c>
      <c r="D107" s="146">
        <v>3043300</v>
      </c>
      <c r="E107" s="146">
        <f t="shared" si="4"/>
        <v>634895</v>
      </c>
      <c r="F107" s="150">
        <f t="shared" si="5"/>
        <v>0.26361637681370037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4952735</v>
      </c>
      <c r="D108" s="146">
        <v>5003442</v>
      </c>
      <c r="E108" s="146">
        <f t="shared" si="4"/>
        <v>50707</v>
      </c>
      <c r="F108" s="150">
        <f t="shared" si="5"/>
        <v>1.023818153000312E-2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28286248</v>
      </c>
      <c r="D109" s="147">
        <f>SUM(D91:D108)</f>
        <v>31251024</v>
      </c>
      <c r="E109" s="147">
        <f t="shared" si="4"/>
        <v>2964776</v>
      </c>
      <c r="F109" s="148">
        <f t="shared" si="5"/>
        <v>0.10481333544130703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1035198</v>
      </c>
      <c r="D112" s="146">
        <v>1130863</v>
      </c>
      <c r="E112" s="146">
        <f t="shared" ref="E112:E118" si="6">D112-C112</f>
        <v>95665</v>
      </c>
      <c r="F112" s="150">
        <f t="shared" ref="F112:F118" si="7">IF(C112=0,0,E112/C112)</f>
        <v>9.2412272821238067E-2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639870</v>
      </c>
      <c r="D114" s="146">
        <v>901942</v>
      </c>
      <c r="E114" s="146">
        <f t="shared" si="6"/>
        <v>262072</v>
      </c>
      <c r="F114" s="150">
        <f t="shared" si="7"/>
        <v>0.40957069404722835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933755</v>
      </c>
      <c r="D115" s="146">
        <v>1083554</v>
      </c>
      <c r="E115" s="146">
        <f t="shared" si="6"/>
        <v>149799</v>
      </c>
      <c r="F115" s="150">
        <f t="shared" si="7"/>
        <v>0.16042645019303778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28233</v>
      </c>
      <c r="D116" s="146">
        <v>16076</v>
      </c>
      <c r="E116" s="146">
        <f t="shared" si="6"/>
        <v>-12157</v>
      </c>
      <c r="F116" s="150">
        <f t="shared" si="7"/>
        <v>-0.43059540254312328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2637056</v>
      </c>
      <c r="D118" s="147">
        <f>SUM(D112:D117)</f>
        <v>3132435</v>
      </c>
      <c r="E118" s="147">
        <f t="shared" si="6"/>
        <v>495379</v>
      </c>
      <c r="F118" s="148">
        <f t="shared" si="7"/>
        <v>0.18785304521405688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2304951</v>
      </c>
      <c r="D121" s="146">
        <v>2185169</v>
      </c>
      <c r="E121" s="146">
        <f t="shared" ref="E121:E155" si="8">D121-C121</f>
        <v>-119782</v>
      </c>
      <c r="F121" s="150">
        <f t="shared" ref="F121:F155" si="9">IF(C121=0,0,E121/C121)</f>
        <v>-5.1967265247721099E-2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310075</v>
      </c>
      <c r="D122" s="146">
        <v>338446</v>
      </c>
      <c r="E122" s="146">
        <f t="shared" si="8"/>
        <v>28371</v>
      </c>
      <c r="F122" s="150">
        <f t="shared" si="9"/>
        <v>9.149721841489962E-2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280061</v>
      </c>
      <c r="D123" s="146">
        <v>324625</v>
      </c>
      <c r="E123" s="146">
        <f t="shared" si="8"/>
        <v>44564</v>
      </c>
      <c r="F123" s="150">
        <f t="shared" si="9"/>
        <v>0.15912247688896347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1739631</v>
      </c>
      <c r="D125" s="146">
        <v>1787960</v>
      </c>
      <c r="E125" s="146">
        <f t="shared" si="8"/>
        <v>48329</v>
      </c>
      <c r="F125" s="150">
        <f t="shared" si="9"/>
        <v>2.7781178882188236E-2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213780</v>
      </c>
      <c r="D126" s="146">
        <v>275747</v>
      </c>
      <c r="E126" s="146">
        <f t="shared" si="8"/>
        <v>61967</v>
      </c>
      <c r="F126" s="150">
        <f t="shared" si="9"/>
        <v>0.2898634109832538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540130</v>
      </c>
      <c r="D128" s="146">
        <v>485951</v>
      </c>
      <c r="E128" s="146">
        <f t="shared" si="8"/>
        <v>-54179</v>
      </c>
      <c r="F128" s="150">
        <f t="shared" si="9"/>
        <v>-0.10030733341973229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321041</v>
      </c>
      <c r="D129" s="146">
        <v>348040</v>
      </c>
      <c r="E129" s="146">
        <f t="shared" si="8"/>
        <v>26999</v>
      </c>
      <c r="F129" s="150">
        <f t="shared" si="9"/>
        <v>8.4098292741425551E-2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3737000</v>
      </c>
      <c r="D130" s="146">
        <v>3581311</v>
      </c>
      <c r="E130" s="146">
        <f t="shared" si="8"/>
        <v>-155689</v>
      </c>
      <c r="F130" s="150">
        <f t="shared" si="9"/>
        <v>-4.1661493176344662E-2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322501</v>
      </c>
      <c r="D132" s="146">
        <v>284301</v>
      </c>
      <c r="E132" s="146">
        <f t="shared" si="8"/>
        <v>-38200</v>
      </c>
      <c r="F132" s="150">
        <f t="shared" si="9"/>
        <v>-0.11844924511861979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55694</v>
      </c>
      <c r="D133" s="146">
        <v>60519</v>
      </c>
      <c r="E133" s="146">
        <f t="shared" si="8"/>
        <v>4825</v>
      </c>
      <c r="F133" s="150">
        <f t="shared" si="9"/>
        <v>8.6634107803354038E-2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20686</v>
      </c>
      <c r="D134" s="146">
        <v>19709</v>
      </c>
      <c r="E134" s="146">
        <f t="shared" si="8"/>
        <v>-977</v>
      </c>
      <c r="F134" s="150">
        <f t="shared" si="9"/>
        <v>-4.7230010635212219E-2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660566</v>
      </c>
      <c r="D138" s="146">
        <v>672258</v>
      </c>
      <c r="E138" s="146">
        <f t="shared" si="8"/>
        <v>11692</v>
      </c>
      <c r="F138" s="150">
        <f t="shared" si="9"/>
        <v>1.7699972447870464E-2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384558</v>
      </c>
      <c r="D139" s="146">
        <v>380093</v>
      </c>
      <c r="E139" s="146">
        <f t="shared" si="8"/>
        <v>-4465</v>
      </c>
      <c r="F139" s="150">
        <f t="shared" si="9"/>
        <v>-1.1610732321262333E-2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101154</v>
      </c>
      <c r="D140" s="146">
        <v>125244</v>
      </c>
      <c r="E140" s="146">
        <f t="shared" si="8"/>
        <v>24090</v>
      </c>
      <c r="F140" s="150">
        <f t="shared" si="9"/>
        <v>0.23815172904679993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517703</v>
      </c>
      <c r="D142" s="146">
        <v>221120</v>
      </c>
      <c r="E142" s="146">
        <f t="shared" si="8"/>
        <v>-296583</v>
      </c>
      <c r="F142" s="150">
        <f t="shared" si="9"/>
        <v>-0.57288252144569374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164669</v>
      </c>
      <c r="D143" s="146">
        <v>141738</v>
      </c>
      <c r="E143" s="146">
        <f t="shared" si="8"/>
        <v>-22931</v>
      </c>
      <c r="F143" s="150">
        <f t="shared" si="9"/>
        <v>-0.13925511176967129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5064847</v>
      </c>
      <c r="D144" s="146">
        <v>4029715</v>
      </c>
      <c r="E144" s="146">
        <f t="shared" si="8"/>
        <v>-1035132</v>
      </c>
      <c r="F144" s="150">
        <f t="shared" si="9"/>
        <v>-0.20437576890279213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555523</v>
      </c>
      <c r="D145" s="146">
        <v>515525</v>
      </c>
      <c r="E145" s="146">
        <f t="shared" si="8"/>
        <v>-39998</v>
      </c>
      <c r="F145" s="150">
        <f t="shared" si="9"/>
        <v>-7.2000619236287242E-2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376751</v>
      </c>
      <c r="D152" s="146">
        <v>390873</v>
      </c>
      <c r="E152" s="146">
        <f t="shared" si="8"/>
        <v>14122</v>
      </c>
      <c r="F152" s="150">
        <f t="shared" si="9"/>
        <v>3.7483643042752375E-2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2234286</v>
      </c>
      <c r="D154" s="146">
        <v>2095420</v>
      </c>
      <c r="E154" s="146">
        <f t="shared" si="8"/>
        <v>-138866</v>
      </c>
      <c r="F154" s="150">
        <f t="shared" si="9"/>
        <v>-6.2152293842417668E-2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19905607</v>
      </c>
      <c r="D155" s="147">
        <f>SUM(D121:D154)</f>
        <v>18263764</v>
      </c>
      <c r="E155" s="147">
        <f t="shared" si="8"/>
        <v>-1641843</v>
      </c>
      <c r="F155" s="148">
        <f t="shared" si="9"/>
        <v>-8.2481433497606976E-2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3756073</v>
      </c>
      <c r="D158" s="146">
        <v>3956145</v>
      </c>
      <c r="E158" s="146">
        <f t="shared" ref="E158:E171" si="10">D158-C158</f>
        <v>200072</v>
      </c>
      <c r="F158" s="150">
        <f t="shared" ref="F158:F171" si="11">IF(C158=0,0,E158/C158)</f>
        <v>5.326627038398881E-2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1548933</v>
      </c>
      <c r="D159" s="146">
        <v>1625113</v>
      </c>
      <c r="E159" s="146">
        <f t="shared" si="10"/>
        <v>76180</v>
      </c>
      <c r="F159" s="150">
        <f t="shared" si="11"/>
        <v>4.9182243518602807E-2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1993447</v>
      </c>
      <c r="D161" s="146">
        <v>2228301</v>
      </c>
      <c r="E161" s="146">
        <f t="shared" si="10"/>
        <v>234854</v>
      </c>
      <c r="F161" s="150">
        <f t="shared" si="11"/>
        <v>0.11781301434148989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1163441</v>
      </c>
      <c r="D163" s="146">
        <v>1203403</v>
      </c>
      <c r="E163" s="146">
        <f t="shared" si="10"/>
        <v>39962</v>
      </c>
      <c r="F163" s="150">
        <f t="shared" si="11"/>
        <v>3.4348110475735341E-2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2496579</v>
      </c>
      <c r="D167" s="146">
        <v>2438765</v>
      </c>
      <c r="E167" s="146">
        <f t="shared" si="10"/>
        <v>-57814</v>
      </c>
      <c r="F167" s="150">
        <f t="shared" si="11"/>
        <v>-2.3157288433492389E-2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10958473</v>
      </c>
      <c r="D171" s="147">
        <f>SUM(D158:D170)</f>
        <v>11451727</v>
      </c>
      <c r="E171" s="147">
        <f t="shared" si="10"/>
        <v>493254</v>
      </c>
      <c r="F171" s="148">
        <f t="shared" si="11"/>
        <v>4.5011198184272572E-2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7362122</v>
      </c>
      <c r="D174" s="146">
        <v>3585785</v>
      </c>
      <c r="E174" s="146">
        <f>D174-C174</f>
        <v>-3776337</v>
      </c>
      <c r="F174" s="150">
        <f>IF(C174=0,0,E174/C174)</f>
        <v>-0.51294137749958502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69149506</v>
      </c>
      <c r="D176" s="147">
        <f>+D174+D171+D155+D118+D109</f>
        <v>67684735</v>
      </c>
      <c r="E176" s="147">
        <f>D176-C176</f>
        <v>-1464771</v>
      </c>
      <c r="F176" s="148">
        <f>IF(C176=0,0,E176/C176)</f>
        <v>-2.118266759562968E-2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FILING&amp;RJOHNSON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71034672</v>
      </c>
      <c r="D11" s="164">
        <v>62785887</v>
      </c>
      <c r="E11" s="51">
        <v>61336304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743950</v>
      </c>
      <c r="D12" s="49">
        <v>54542</v>
      </c>
      <c r="E12" s="49">
        <v>252845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71778622</v>
      </c>
      <c r="D13" s="51">
        <f>+D11+D12</f>
        <v>62840429</v>
      </c>
      <c r="E13" s="51">
        <f>+E11+E12</f>
        <v>61589149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75843310</v>
      </c>
      <c r="D14" s="49">
        <v>66396980</v>
      </c>
      <c r="E14" s="49">
        <v>67684735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-4064688</v>
      </c>
      <c r="D15" s="51">
        <f>+D13-D14</f>
        <v>-3556551</v>
      </c>
      <c r="E15" s="51">
        <f>+E13-E14</f>
        <v>-6095586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1722723</v>
      </c>
      <c r="D16" s="49">
        <v>-2288430</v>
      </c>
      <c r="E16" s="49">
        <v>33467213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-2341965</v>
      </c>
      <c r="D17" s="51">
        <f>D15+D16</f>
        <v>-5844981</v>
      </c>
      <c r="E17" s="51">
        <f>E15+E16</f>
        <v>27371627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-5.5300865582799882E-2</v>
      </c>
      <c r="D20" s="169">
        <f>IF(+D27=0,0,+D24/+D27)</f>
        <v>-5.873548452132852E-2</v>
      </c>
      <c r="E20" s="169">
        <f>IF(+E27=0,0,+E24/+E27)</f>
        <v>-6.4126018203810489E-2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2.3437979264188974E-2</v>
      </c>
      <c r="D21" s="169">
        <f>IF(D27=0,0,+D26/D27)</f>
        <v>-3.779280680725338E-2</v>
      </c>
      <c r="E21" s="169">
        <f>IF(E27=0,0,+E26/E27)</f>
        <v>0.35207757056808042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-3.1862886318610902E-2</v>
      </c>
      <c r="D22" s="169">
        <f>IF(D27=0,0,+D28/D27)</f>
        <v>-9.65282913285819E-2</v>
      </c>
      <c r="E22" s="169">
        <f>IF(E27=0,0,+E28/E27)</f>
        <v>0.28795155236426995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-4064688</v>
      </c>
      <c r="D24" s="51">
        <f>+D15</f>
        <v>-3556551</v>
      </c>
      <c r="E24" s="51">
        <f>+E15</f>
        <v>-6095586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71778622</v>
      </c>
      <c r="D25" s="51">
        <f>+D13</f>
        <v>62840429</v>
      </c>
      <c r="E25" s="51">
        <f>+E13</f>
        <v>61589149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1722723</v>
      </c>
      <c r="D26" s="51">
        <f>+D16</f>
        <v>-2288430</v>
      </c>
      <c r="E26" s="51">
        <f>+E16</f>
        <v>33467213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73501345</v>
      </c>
      <c r="D27" s="51">
        <f>+D25+D26</f>
        <v>60551999</v>
      </c>
      <c r="E27" s="51">
        <f>+E25+E26</f>
        <v>95056362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-2341965</v>
      </c>
      <c r="D28" s="51">
        <f>+D17</f>
        <v>-5844981</v>
      </c>
      <c r="E28" s="51">
        <f>+E17</f>
        <v>27371627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3159598</v>
      </c>
      <c r="D31" s="51">
        <v>-20718900</v>
      </c>
      <c r="E31" s="51">
        <v>4607135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4230542</v>
      </c>
      <c r="D32" s="51">
        <v>-16710766</v>
      </c>
      <c r="E32" s="51">
        <v>8733965</v>
      </c>
      <c r="F32" s="13"/>
    </row>
    <row r="33" spans="1:6" ht="24" customHeight="1" x14ac:dyDescent="0.2">
      <c r="A33" s="25">
        <v>3</v>
      </c>
      <c r="B33" s="48" t="s">
        <v>319</v>
      </c>
      <c r="C33" s="51">
        <v>5591742</v>
      </c>
      <c r="D33" s="51">
        <f>+D32-C32</f>
        <v>-20941308</v>
      </c>
      <c r="E33" s="51">
        <f>+E32-D32</f>
        <v>25444731</v>
      </c>
      <c r="F33" s="5"/>
    </row>
    <row r="34" spans="1:6" ht="24" customHeight="1" x14ac:dyDescent="0.2">
      <c r="A34" s="25">
        <v>4</v>
      </c>
      <c r="B34" s="48" t="s">
        <v>320</v>
      </c>
      <c r="C34" s="171">
        <v>-3.1078999999999999</v>
      </c>
      <c r="D34" s="171">
        <f>IF(C32=0,0,+D33/C32)</f>
        <v>-4.9500295706791233</v>
      </c>
      <c r="E34" s="171">
        <f>IF(D32=0,0,+E33/D32)</f>
        <v>-1.522654975840126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0.31954297203848425</v>
      </c>
      <c r="D38" s="172">
        <f>IF((D40+D41)=0,0,+D39/(D40+D41))</f>
        <v>0.35182259499504337</v>
      </c>
      <c r="E38" s="172">
        <f>IF((E40+E41)=0,0,+E39/(E40+E41))</f>
        <v>0.44543777534032608</v>
      </c>
      <c r="F38" s="5"/>
    </row>
    <row r="39" spans="1:6" ht="24" customHeight="1" x14ac:dyDescent="0.2">
      <c r="A39" s="21">
        <v>2</v>
      </c>
      <c r="B39" s="48" t="s">
        <v>324</v>
      </c>
      <c r="C39" s="51">
        <v>75843310</v>
      </c>
      <c r="D39" s="51">
        <v>69149506</v>
      </c>
      <c r="E39" s="23">
        <v>67684735</v>
      </c>
      <c r="F39" s="5"/>
    </row>
    <row r="40" spans="1:6" ht="24" customHeight="1" x14ac:dyDescent="0.2">
      <c r="A40" s="21">
        <v>3</v>
      </c>
      <c r="B40" s="48" t="s">
        <v>325</v>
      </c>
      <c r="C40" s="51">
        <v>236605379</v>
      </c>
      <c r="D40" s="51">
        <v>195594535</v>
      </c>
      <c r="E40" s="23">
        <v>151379867</v>
      </c>
      <c r="F40" s="5"/>
    </row>
    <row r="41" spans="1:6" ht="24" customHeight="1" x14ac:dyDescent="0.2">
      <c r="A41" s="21">
        <v>4</v>
      </c>
      <c r="B41" s="48" t="s">
        <v>326</v>
      </c>
      <c r="C41" s="51">
        <v>743950</v>
      </c>
      <c r="D41" s="51">
        <v>951983</v>
      </c>
      <c r="E41" s="23">
        <v>571177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1.2138682521654214</v>
      </c>
      <c r="D43" s="173">
        <f>IF(D38=0,0,IF((D46-D47)=0,0,((+D44-D45)/(D46-D47)/D38)))</f>
        <v>1.2745041072059999</v>
      </c>
      <c r="E43" s="173">
        <f>IF(E38=0,0,IF((E46-E47)=0,0,((+E44-E45)/(E46-E47)/E38)))</f>
        <v>1.2772621332843792</v>
      </c>
      <c r="F43" s="5"/>
    </row>
    <row r="44" spans="1:6" ht="24" customHeight="1" x14ac:dyDescent="0.2">
      <c r="A44" s="21">
        <v>6</v>
      </c>
      <c r="B44" s="48" t="s">
        <v>328</v>
      </c>
      <c r="C44" s="51">
        <v>41246882</v>
      </c>
      <c r="D44" s="51">
        <v>37610322</v>
      </c>
      <c r="E44" s="23">
        <v>34911509</v>
      </c>
      <c r="F44" s="5"/>
    </row>
    <row r="45" spans="1:6" ht="24" customHeight="1" x14ac:dyDescent="0.2">
      <c r="A45" s="21">
        <v>7</v>
      </c>
      <c r="B45" s="48" t="s">
        <v>329</v>
      </c>
      <c r="C45" s="51">
        <v>2515047</v>
      </c>
      <c r="D45" s="51">
        <v>818543</v>
      </c>
      <c r="E45" s="23">
        <v>221346</v>
      </c>
      <c r="F45" s="5"/>
    </row>
    <row r="46" spans="1:6" ht="24" customHeight="1" x14ac:dyDescent="0.2">
      <c r="A46" s="21">
        <v>8</v>
      </c>
      <c r="B46" s="48" t="s">
        <v>330</v>
      </c>
      <c r="C46" s="51">
        <v>108426265</v>
      </c>
      <c r="D46" s="51">
        <v>89500134</v>
      </c>
      <c r="E46" s="23">
        <v>64019333</v>
      </c>
      <c r="F46" s="5"/>
    </row>
    <row r="47" spans="1:6" ht="24" customHeight="1" x14ac:dyDescent="0.2">
      <c r="A47" s="21">
        <v>9</v>
      </c>
      <c r="B47" s="48" t="s">
        <v>331</v>
      </c>
      <c r="C47" s="51">
        <v>8571855</v>
      </c>
      <c r="D47" s="51">
        <v>7448767</v>
      </c>
      <c r="E47" s="174">
        <v>3046095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0.7402269179886759</v>
      </c>
      <c r="D49" s="175">
        <f>IF(D38=0,0,IF(D51=0,0,(D50/D51)/D38))</f>
        <v>0.70950920803423034</v>
      </c>
      <c r="E49" s="175">
        <f>IF(E38=0,0,IF(E51=0,0,(E50/E51)/E38))</f>
        <v>0.6984209382851676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24689512</v>
      </c>
      <c r="D50" s="176">
        <v>21800296</v>
      </c>
      <c r="E50" s="176">
        <v>21517044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104380257</v>
      </c>
      <c r="D51" s="176">
        <v>87333452</v>
      </c>
      <c r="E51" s="176">
        <v>69163715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0.66955569516425506</v>
      </c>
      <c r="D53" s="175">
        <f>IF(D38=0,0,IF(D55=0,0,(D54/D55)/D38))</f>
        <v>0.68859931098054583</v>
      </c>
      <c r="E53" s="175">
        <f>IF(E38=0,0,IF(E55=0,0,(E54/E55)/E38))</f>
        <v>0.60969577331313718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4174943</v>
      </c>
      <c r="D54" s="176">
        <v>3570399</v>
      </c>
      <c r="E54" s="176">
        <v>4270748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19513473</v>
      </c>
      <c r="D55" s="176">
        <v>14737589</v>
      </c>
      <c r="E55" s="176">
        <v>15725473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2835684.7274912247</v>
      </c>
      <c r="D57" s="53">
        <f>+D60*D38</f>
        <v>2945377.8461016542</v>
      </c>
      <c r="E57" s="53">
        <f>+E60*E38</f>
        <v>1258249.9104548108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287523</v>
      </c>
      <c r="D58" s="51">
        <v>559676</v>
      </c>
      <c r="E58" s="52">
        <v>280655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8586666</v>
      </c>
      <c r="D59" s="51">
        <v>7812094</v>
      </c>
      <c r="E59" s="52">
        <v>2544094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8874189</v>
      </c>
      <c r="D60" s="51">
        <v>8371770</v>
      </c>
      <c r="E60" s="52">
        <v>2824749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3.738872588091454E-2</v>
      </c>
      <c r="D62" s="178">
        <f>IF(D63=0,0,+D57/D63)</f>
        <v>4.2594344001555907E-2</v>
      </c>
      <c r="E62" s="178">
        <f>IF(E63=0,0,+E57/E63)</f>
        <v>1.8589862403314585E-2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75843310</v>
      </c>
      <c r="D63" s="176">
        <v>69149506</v>
      </c>
      <c r="E63" s="176">
        <v>67684735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0.52942320501293683</v>
      </c>
      <c r="D67" s="179">
        <f>IF(D69=0,0,D68/D69)</f>
        <v>1.9182051029061178</v>
      </c>
      <c r="E67" s="179">
        <f>IF(E69=0,0,E68/E69)</f>
        <v>0.8914769301120341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20770211</v>
      </c>
      <c r="D68" s="180">
        <v>14386615</v>
      </c>
      <c r="E68" s="180">
        <v>14621336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39231773</v>
      </c>
      <c r="D69" s="180">
        <v>7500040</v>
      </c>
      <c r="E69" s="180">
        <v>16401250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20.021867473874053</v>
      </c>
      <c r="D71" s="181">
        <f>IF((D77/365)=0,0,+D74/(D77/365))</f>
        <v>17.454363889551875</v>
      </c>
      <c r="E71" s="181">
        <f>IF((E77/365)=0,0,+E74/(E77/365))</f>
        <v>23.436027743976027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4005551</v>
      </c>
      <c r="D72" s="182">
        <v>3033010</v>
      </c>
      <c r="E72" s="182">
        <v>4142244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4005551</v>
      </c>
      <c r="D74" s="180">
        <f>+D72+D73</f>
        <v>3033010</v>
      </c>
      <c r="E74" s="180">
        <f>+E72+E73</f>
        <v>4142244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75843310</v>
      </c>
      <c r="D75" s="180">
        <f>+D14</f>
        <v>66396980</v>
      </c>
      <c r="E75" s="180">
        <f>+E14</f>
        <v>67684735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2821844</v>
      </c>
      <c r="D76" s="180">
        <v>2971658</v>
      </c>
      <c r="E76" s="180">
        <v>3172136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73021466</v>
      </c>
      <c r="D77" s="180">
        <f>+D75-D76</f>
        <v>63425322</v>
      </c>
      <c r="E77" s="180">
        <f>+E75-E76</f>
        <v>64512599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39.373469409417417</v>
      </c>
      <c r="D79" s="179">
        <f>IF((D84/365)=0,0,+D83/(D84/365))</f>
        <v>42.716628101471272</v>
      </c>
      <c r="E79" s="179">
        <f>IF((E84/365)=0,0,+E83/(E84/365))</f>
        <v>40.454678276669561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8282256</v>
      </c>
      <c r="D80" s="189">
        <v>8626274</v>
      </c>
      <c r="E80" s="189">
        <v>7869668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619567</v>
      </c>
      <c r="D82" s="190">
        <v>1278325</v>
      </c>
      <c r="E82" s="190">
        <v>1071475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7662689</v>
      </c>
      <c r="D83" s="191">
        <f>+D80+D81-D82</f>
        <v>7347949</v>
      </c>
      <c r="E83" s="191">
        <f>+E80+E81-E82</f>
        <v>6798193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71034672</v>
      </c>
      <c r="D84" s="191">
        <f>+D11</f>
        <v>62785887</v>
      </c>
      <c r="E84" s="191">
        <f>+E11</f>
        <v>61336304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196.10120050178122</v>
      </c>
      <c r="D86" s="179">
        <f>IF((D90/365)=0,0,+D87/(D90/365))</f>
        <v>43.161225101860737</v>
      </c>
      <c r="E86" s="179">
        <f>IF((E90/365)=0,0,+E87/(E90/365))</f>
        <v>92.795149207986483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39231773</v>
      </c>
      <c r="D87" s="51">
        <f>+D69</f>
        <v>7500040</v>
      </c>
      <c r="E87" s="51">
        <f>+E69</f>
        <v>16401250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75843310</v>
      </c>
      <c r="D88" s="51">
        <f t="shared" si="0"/>
        <v>66396980</v>
      </c>
      <c r="E88" s="51">
        <f t="shared" si="0"/>
        <v>67684735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2821844</v>
      </c>
      <c r="D89" s="52">
        <f t="shared" si="0"/>
        <v>2971658</v>
      </c>
      <c r="E89" s="52">
        <f t="shared" si="0"/>
        <v>3172136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73021466</v>
      </c>
      <c r="D90" s="51">
        <f>+D88-D89</f>
        <v>63425322</v>
      </c>
      <c r="E90" s="51">
        <f>+E88-E89</f>
        <v>64512599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7.259879696381649</v>
      </c>
      <c r="D94" s="192">
        <f>IF(D96=0,0,(D95/D96)*100)</f>
        <v>-35.561077756424844</v>
      </c>
      <c r="E94" s="192">
        <f>IF(E96=0,0,(E95/E96)*100)</f>
        <v>18.621297408597503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4230542</v>
      </c>
      <c r="D95" s="51">
        <f>+D32</f>
        <v>-16710766</v>
      </c>
      <c r="E95" s="51">
        <f>+E32</f>
        <v>8733965</v>
      </c>
      <c r="F95" s="28"/>
    </row>
    <row r="96" spans="1:6" ht="24" customHeight="1" x14ac:dyDescent="0.25">
      <c r="A96" s="21">
        <v>3</v>
      </c>
      <c r="B96" s="48" t="s">
        <v>43</v>
      </c>
      <c r="C96" s="51">
        <v>58272894</v>
      </c>
      <c r="D96" s="51">
        <v>46991731</v>
      </c>
      <c r="E96" s="51">
        <v>46903096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0.90954177994027852</v>
      </c>
      <c r="D98" s="192">
        <f>IF(D104=0,0,(D101/D104)*100)</f>
        <v>-14.123833366349142</v>
      </c>
      <c r="E98" s="192">
        <f>IF(E104=0,0,(E101/E104)*100)</f>
        <v>105.67861949658335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-2341965</v>
      </c>
      <c r="D99" s="51">
        <f>+D28</f>
        <v>-5844981</v>
      </c>
      <c r="E99" s="51">
        <f>+E28</f>
        <v>27371627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2821844</v>
      </c>
      <c r="D100" s="52">
        <f>+D76</f>
        <v>2971658</v>
      </c>
      <c r="E100" s="52">
        <f>+E76</f>
        <v>3172136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479879</v>
      </c>
      <c r="D101" s="51">
        <f>+D99+D100</f>
        <v>-2873323</v>
      </c>
      <c r="E101" s="51">
        <f>+E99+E100</f>
        <v>30543763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39231773</v>
      </c>
      <c r="D102" s="180">
        <f>+D69</f>
        <v>7500040</v>
      </c>
      <c r="E102" s="180">
        <f>+E69</f>
        <v>16401250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13528750</v>
      </c>
      <c r="D103" s="194">
        <v>12843750</v>
      </c>
      <c r="E103" s="194">
        <v>12501250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52760523</v>
      </c>
      <c r="D104" s="180">
        <f>+D102+D103</f>
        <v>20343790</v>
      </c>
      <c r="E104" s="180">
        <f>+E102+E103</f>
        <v>28902500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76.17843098700105</v>
      </c>
      <c r="D106" s="197">
        <f>IF(D109=0,0,(D107/D109)*100)</f>
        <v>-332.13594151149101</v>
      </c>
      <c r="E106" s="197">
        <f>IF(E109=0,0,(E107/E109)*100)</f>
        <v>58.870371691551036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13528750</v>
      </c>
      <c r="D107" s="180">
        <f>+D103</f>
        <v>12843750</v>
      </c>
      <c r="E107" s="180">
        <f>+E103</f>
        <v>12501250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4230542</v>
      </c>
      <c r="D108" s="180">
        <f>+D32</f>
        <v>-16710766</v>
      </c>
      <c r="E108" s="180">
        <f>+E32</f>
        <v>8733965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17759292</v>
      </c>
      <c r="D109" s="180">
        <f>+D107+D108</f>
        <v>-3867016</v>
      </c>
      <c r="E109" s="180">
        <f>+E107+E108</f>
        <v>21235215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1.4055902741974471</v>
      </c>
      <c r="D111" s="197">
        <f>IF((+D113+D115)=0,0,((+D112+D113+D114)/(+D113+D115)))</f>
        <v>-1.2996739018296484</v>
      </c>
      <c r="E111" s="197">
        <f>IF((+E113+E115)=0,0,((+E112+E113+E114)/(+E113+E115)))</f>
        <v>28.903955300499984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-2341965</v>
      </c>
      <c r="D112" s="180">
        <f>+D17</f>
        <v>-5844981</v>
      </c>
      <c r="E112" s="180">
        <f>+E17</f>
        <v>27371627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1183162</v>
      </c>
      <c r="D113" s="180">
        <v>845087</v>
      </c>
      <c r="E113" s="180">
        <v>592676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2821844</v>
      </c>
      <c r="D114" s="180">
        <v>2971658</v>
      </c>
      <c r="E114" s="180">
        <v>3172136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715486</v>
      </c>
      <c r="E115" s="180">
        <v>484562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10.379151363434691</v>
      </c>
      <c r="D119" s="197">
        <f>IF(+D121=0,0,(+D120)/(+D121))</f>
        <v>10.439601057726025</v>
      </c>
      <c r="E119" s="197">
        <f>IF(+E121=0,0,(+E120)/(+E121))</f>
        <v>10.837642207017606</v>
      </c>
    </row>
    <row r="120" spans="1:8" ht="24" customHeight="1" x14ac:dyDescent="0.25">
      <c r="A120" s="17">
        <v>21</v>
      </c>
      <c r="B120" s="48" t="s">
        <v>369</v>
      </c>
      <c r="C120" s="180">
        <v>29288346</v>
      </c>
      <c r="D120" s="180">
        <v>31022924</v>
      </c>
      <c r="E120" s="180">
        <v>34378475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2821844</v>
      </c>
      <c r="D121" s="180">
        <v>2971658</v>
      </c>
      <c r="E121" s="180">
        <v>3172136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21656</v>
      </c>
      <c r="D124" s="198">
        <v>17998</v>
      </c>
      <c r="E124" s="198">
        <v>17737</v>
      </c>
    </row>
    <row r="125" spans="1:8" ht="24" customHeight="1" x14ac:dyDescent="0.2">
      <c r="A125" s="44">
        <v>2</v>
      </c>
      <c r="B125" s="48" t="s">
        <v>373</v>
      </c>
      <c r="C125" s="198">
        <v>4087</v>
      </c>
      <c r="D125" s="198">
        <v>3618</v>
      </c>
      <c r="E125" s="198">
        <v>3437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5.2987521409346705</v>
      </c>
      <c r="D126" s="199">
        <f>IF(D125=0,0,D124/D125)</f>
        <v>4.9745715865118854</v>
      </c>
      <c r="E126" s="199">
        <f>IF(E125=0,0,E124/E125)</f>
        <v>5.1606051789351177</v>
      </c>
    </row>
    <row r="127" spans="1:8" ht="24" customHeight="1" x14ac:dyDescent="0.2">
      <c r="A127" s="44">
        <v>4</v>
      </c>
      <c r="B127" s="48" t="s">
        <v>375</v>
      </c>
      <c r="C127" s="198">
        <v>72</v>
      </c>
      <c r="D127" s="198">
        <v>72</v>
      </c>
      <c r="E127" s="198">
        <v>72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95</v>
      </c>
      <c r="E128" s="198">
        <v>95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101</v>
      </c>
      <c r="D129" s="198">
        <v>101</v>
      </c>
      <c r="E129" s="198">
        <v>101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0.82399999999999995</v>
      </c>
      <c r="D130" s="171">
        <v>0.68479999999999996</v>
      </c>
      <c r="E130" s="171">
        <v>0.67490000000000006</v>
      </c>
    </row>
    <row r="131" spans="1:8" ht="24" customHeight="1" x14ac:dyDescent="0.2">
      <c r="A131" s="44">
        <v>7</v>
      </c>
      <c r="B131" s="48" t="s">
        <v>379</v>
      </c>
      <c r="C131" s="171">
        <v>0.62450000000000006</v>
      </c>
      <c r="D131" s="171">
        <v>0.51900000000000002</v>
      </c>
      <c r="E131" s="171">
        <v>0.51149999999999995</v>
      </c>
    </row>
    <row r="132" spans="1:8" ht="24" customHeight="1" x14ac:dyDescent="0.2">
      <c r="A132" s="44">
        <v>8</v>
      </c>
      <c r="B132" s="48" t="s">
        <v>380</v>
      </c>
      <c r="C132" s="199">
        <v>552.6</v>
      </c>
      <c r="D132" s="199">
        <v>469.2</v>
      </c>
      <c r="E132" s="199">
        <v>475.7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0.42202933180145497</v>
      </c>
      <c r="D135" s="203">
        <f>IF(D149=0,0,D143/D149)</f>
        <v>0.41949723697546049</v>
      </c>
      <c r="E135" s="203">
        <f>IF(E149=0,0,E143/E149)</f>
        <v>0.4027830068049934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0.44115758247406539</v>
      </c>
      <c r="D136" s="203">
        <f>IF(D149=0,0,D144/D149)</f>
        <v>0.4465025160339986</v>
      </c>
      <c r="E136" s="203">
        <f>IF(E149=0,0,E144/E149)</f>
        <v>0.45688846456708804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8.2472651646689737E-2</v>
      </c>
      <c r="D137" s="203">
        <f>IF(D149=0,0,D145/D149)</f>
        <v>7.5347652223514319E-2</v>
      </c>
      <c r="E137" s="203">
        <f>IF(E149=0,0,E145/E149)</f>
        <v>0.10388087472688821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1.3261832901947677E-2</v>
      </c>
      <c r="D138" s="203">
        <f>IF(D149=0,0,D146/D149)</f>
        <v>1.5067215451597357E-2</v>
      </c>
      <c r="E138" s="203">
        <f>IF(E149=0,0,E146/E149)</f>
        <v>1.1289724544413822E-2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3.6228487434345272E-2</v>
      </c>
      <c r="D139" s="203">
        <f>IF(D149=0,0,D147/D149)</f>
        <v>3.8082694897380441E-2</v>
      </c>
      <c r="E139" s="203">
        <f>IF(E149=0,0,E147/E149)</f>
        <v>2.012219366000632E-2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4.8501137414969754E-3</v>
      </c>
      <c r="D140" s="203">
        <f>IF(D149=0,0,D148/D149)</f>
        <v>5.5026844180487968E-3</v>
      </c>
      <c r="E140" s="203">
        <f>IF(E149=0,0,E148/E149)</f>
        <v>5.035735696610171E-3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99854410</v>
      </c>
      <c r="D143" s="205">
        <f>+D46-D147</f>
        <v>82051367</v>
      </c>
      <c r="E143" s="205">
        <f>+E46-E147</f>
        <v>60973238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104380257</v>
      </c>
      <c r="D144" s="205">
        <f>+D51</f>
        <v>87333452</v>
      </c>
      <c r="E144" s="205">
        <f>+E51</f>
        <v>69163715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19513473</v>
      </c>
      <c r="D145" s="205">
        <f>+D55</f>
        <v>14737589</v>
      </c>
      <c r="E145" s="205">
        <f>+E55</f>
        <v>15725473</v>
      </c>
    </row>
    <row r="146" spans="1:7" ht="20.100000000000001" customHeight="1" x14ac:dyDescent="0.2">
      <c r="A146" s="202">
        <v>11</v>
      </c>
      <c r="B146" s="201" t="s">
        <v>392</v>
      </c>
      <c r="C146" s="204">
        <v>3137821</v>
      </c>
      <c r="D146" s="205">
        <v>2947065</v>
      </c>
      <c r="E146" s="205">
        <v>1709037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8571855</v>
      </c>
      <c r="D147" s="205">
        <f>+D47</f>
        <v>7448767</v>
      </c>
      <c r="E147" s="205">
        <f>+E47</f>
        <v>3046095</v>
      </c>
    </row>
    <row r="148" spans="1:7" ht="20.100000000000001" customHeight="1" x14ac:dyDescent="0.2">
      <c r="A148" s="202">
        <v>13</v>
      </c>
      <c r="B148" s="201" t="s">
        <v>394</v>
      </c>
      <c r="C148" s="206">
        <v>1147563</v>
      </c>
      <c r="D148" s="205">
        <v>1076295</v>
      </c>
      <c r="E148" s="205">
        <v>762309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236605379</v>
      </c>
      <c r="D149" s="205">
        <f>SUM(D143:D148)</f>
        <v>195594535</v>
      </c>
      <c r="E149" s="205">
        <f>SUM(E143:E148)</f>
        <v>151379867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0.5468055595222453</v>
      </c>
      <c r="D152" s="203">
        <f>IF(D166=0,0,D160/D166)</f>
        <v>0.58033792205061541</v>
      </c>
      <c r="E152" s="203">
        <f>IF(E166=0,0,E160/E166)</f>
        <v>0.56557497134640122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0.34855984549895946</v>
      </c>
      <c r="D153" s="203">
        <f>IF(D166=0,0,D161/D166)</f>
        <v>0.34386862567119525</v>
      </c>
      <c r="E153" s="203">
        <f>IF(E166=0,0,E161/E166)</f>
        <v>0.35080554518464657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5.894071486900844E-2</v>
      </c>
      <c r="D154" s="203">
        <f>IF(D166=0,0,D162/D166)</f>
        <v>5.6317959959250541E-2</v>
      </c>
      <c r="E154" s="203">
        <f>IF(E166=0,0,E162/E166)</f>
        <v>6.9628620013336348E-2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5.3623512151927209E-3</v>
      </c>
      <c r="D155" s="203">
        <f>IF(D166=0,0,D163/D166)</f>
        <v>4.1489552411373603E-3</v>
      </c>
      <c r="E155" s="203">
        <f>IF(E166=0,0,E163/E166)</f>
        <v>5.2901635415358982E-3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3.5506752573425567E-2</v>
      </c>
      <c r="D156" s="203">
        <f>IF(D166=0,0,D164/D166)</f>
        <v>1.2911350215739142E-2</v>
      </c>
      <c r="E156" s="203">
        <f>IF(E166=0,0,E164/E166)</f>
        <v>3.6087393883862846E-3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4.8247763211685139E-3</v>
      </c>
      <c r="D157" s="203">
        <f>IF(D166=0,0,D165/D166)</f>
        <v>2.4151868620623652E-3</v>
      </c>
      <c r="E157" s="203">
        <f>IF(E166=0,0,E165/E166)</f>
        <v>5.0919605256936782E-3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38731835</v>
      </c>
      <c r="D160" s="208">
        <f>+D44-D164</f>
        <v>36791779</v>
      </c>
      <c r="E160" s="208">
        <f>+E44-E164</f>
        <v>34690163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24689512</v>
      </c>
      <c r="D161" s="208">
        <f>+D50</f>
        <v>21800296</v>
      </c>
      <c r="E161" s="208">
        <f>+E50</f>
        <v>21517044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4174943</v>
      </c>
      <c r="D162" s="208">
        <f>+D54</f>
        <v>3570399</v>
      </c>
      <c r="E162" s="208">
        <f>+E54</f>
        <v>4270748</v>
      </c>
    </row>
    <row r="163" spans="1:6" ht="20.100000000000001" customHeight="1" x14ac:dyDescent="0.2">
      <c r="A163" s="202">
        <v>11</v>
      </c>
      <c r="B163" s="201" t="s">
        <v>408</v>
      </c>
      <c r="C163" s="207">
        <v>379831</v>
      </c>
      <c r="D163" s="208">
        <v>263032</v>
      </c>
      <c r="E163" s="208">
        <v>324478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2515047</v>
      </c>
      <c r="D164" s="208">
        <f>+D45</f>
        <v>818543</v>
      </c>
      <c r="E164" s="208">
        <f>+E45</f>
        <v>221346</v>
      </c>
    </row>
    <row r="165" spans="1:6" ht="20.100000000000001" customHeight="1" x14ac:dyDescent="0.2">
      <c r="A165" s="202">
        <v>13</v>
      </c>
      <c r="B165" s="201" t="s">
        <v>410</v>
      </c>
      <c r="C165" s="209">
        <v>341753</v>
      </c>
      <c r="D165" s="208">
        <v>153116</v>
      </c>
      <c r="E165" s="208">
        <v>312321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70832921</v>
      </c>
      <c r="D166" s="208">
        <f>SUM(D160:D165)</f>
        <v>63397165</v>
      </c>
      <c r="E166" s="208">
        <f>SUM(E160:E165)</f>
        <v>61336100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1378</v>
      </c>
      <c r="D169" s="198">
        <v>1333</v>
      </c>
      <c r="E169" s="198">
        <v>1143</v>
      </c>
    </row>
    <row r="170" spans="1:6" ht="20.100000000000001" customHeight="1" x14ac:dyDescent="0.2">
      <c r="A170" s="202">
        <v>2</v>
      </c>
      <c r="B170" s="201" t="s">
        <v>414</v>
      </c>
      <c r="C170" s="198">
        <v>2026</v>
      </c>
      <c r="D170" s="198">
        <v>1807</v>
      </c>
      <c r="E170" s="198">
        <v>1733</v>
      </c>
    </row>
    <row r="171" spans="1:6" ht="20.100000000000001" customHeight="1" x14ac:dyDescent="0.2">
      <c r="A171" s="202">
        <v>3</v>
      </c>
      <c r="B171" s="201" t="s">
        <v>415</v>
      </c>
      <c r="C171" s="198">
        <v>660</v>
      </c>
      <c r="D171" s="198">
        <v>456</v>
      </c>
      <c r="E171" s="198">
        <v>541</v>
      </c>
    </row>
    <row r="172" spans="1:6" ht="20.100000000000001" customHeight="1" x14ac:dyDescent="0.2">
      <c r="A172" s="202">
        <v>4</v>
      </c>
      <c r="B172" s="201" t="s">
        <v>416</v>
      </c>
      <c r="C172" s="198">
        <v>605</v>
      </c>
      <c r="D172" s="198">
        <v>404</v>
      </c>
      <c r="E172" s="198">
        <v>509</v>
      </c>
    </row>
    <row r="173" spans="1:6" ht="20.100000000000001" customHeight="1" x14ac:dyDescent="0.2">
      <c r="A173" s="202">
        <v>5</v>
      </c>
      <c r="B173" s="201" t="s">
        <v>417</v>
      </c>
      <c r="C173" s="198">
        <v>55</v>
      </c>
      <c r="D173" s="198">
        <v>52</v>
      </c>
      <c r="E173" s="198">
        <v>32</v>
      </c>
    </row>
    <row r="174" spans="1:6" ht="20.100000000000001" customHeight="1" x14ac:dyDescent="0.2">
      <c r="A174" s="202">
        <v>6</v>
      </c>
      <c r="B174" s="201" t="s">
        <v>418</v>
      </c>
      <c r="C174" s="198">
        <v>23</v>
      </c>
      <c r="D174" s="198">
        <v>22</v>
      </c>
      <c r="E174" s="198">
        <v>20</v>
      </c>
    </row>
    <row r="175" spans="1:6" ht="20.100000000000001" customHeight="1" x14ac:dyDescent="0.2">
      <c r="A175" s="202">
        <v>7</v>
      </c>
      <c r="B175" s="201" t="s">
        <v>419</v>
      </c>
      <c r="C175" s="198">
        <v>52</v>
      </c>
      <c r="D175" s="198">
        <v>114</v>
      </c>
      <c r="E175" s="198">
        <v>46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4087</v>
      </c>
      <c r="D176" s="198">
        <f>+D169+D170+D171+D174</f>
        <v>3618</v>
      </c>
      <c r="E176" s="198">
        <f>+E169+E170+E171+E174</f>
        <v>3437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1.0019</v>
      </c>
      <c r="D179" s="210">
        <v>1.0234000000000001</v>
      </c>
      <c r="E179" s="210">
        <v>1.1677</v>
      </c>
    </row>
    <row r="180" spans="1:6" ht="20.100000000000001" customHeight="1" x14ac:dyDescent="0.2">
      <c r="A180" s="202">
        <v>2</v>
      </c>
      <c r="B180" s="201" t="s">
        <v>414</v>
      </c>
      <c r="C180" s="210">
        <v>1.2578</v>
      </c>
      <c r="D180" s="210">
        <v>1.2925199999999999</v>
      </c>
      <c r="E180" s="210">
        <v>1.3520000000000001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0.84079999999999999</v>
      </c>
      <c r="D181" s="210">
        <v>0.96263100000000001</v>
      </c>
      <c r="E181" s="210">
        <v>0.86672700000000003</v>
      </c>
    </row>
    <row r="182" spans="1:6" ht="20.100000000000001" customHeight="1" x14ac:dyDescent="0.2">
      <c r="A182" s="202">
        <v>4</v>
      </c>
      <c r="B182" s="201" t="s">
        <v>416</v>
      </c>
      <c r="C182" s="210">
        <v>0.84079999999999999</v>
      </c>
      <c r="D182" s="210">
        <v>0.92720000000000002</v>
      </c>
      <c r="E182" s="210">
        <v>0.85540000000000005</v>
      </c>
    </row>
    <row r="183" spans="1:6" ht="20.100000000000001" customHeight="1" x14ac:dyDescent="0.2">
      <c r="A183" s="202">
        <v>5</v>
      </c>
      <c r="B183" s="201" t="s">
        <v>417</v>
      </c>
      <c r="C183" s="210">
        <v>0.84079999999999999</v>
      </c>
      <c r="D183" s="210">
        <v>1.2379100000000001</v>
      </c>
      <c r="E183" s="210">
        <v>1.0468999999999999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0.85160000000000002</v>
      </c>
      <c r="D184" s="210">
        <v>1.1757</v>
      </c>
      <c r="E184" s="210">
        <v>0.79500000000000004</v>
      </c>
    </row>
    <row r="185" spans="1:6" ht="20.100000000000001" customHeight="1" x14ac:dyDescent="0.2">
      <c r="A185" s="202">
        <v>7</v>
      </c>
      <c r="B185" s="201" t="s">
        <v>419</v>
      </c>
      <c r="C185" s="210">
        <v>0.97531999999999996</v>
      </c>
      <c r="D185" s="210">
        <v>1.1297999999999999</v>
      </c>
      <c r="E185" s="210">
        <v>0.92269999999999996</v>
      </c>
    </row>
    <row r="186" spans="1:6" ht="20.100000000000001" customHeight="1" x14ac:dyDescent="0.2">
      <c r="A186" s="202">
        <v>8</v>
      </c>
      <c r="B186" s="201" t="s">
        <v>423</v>
      </c>
      <c r="C186" s="210">
        <v>1.1018920000000001</v>
      </c>
      <c r="D186" s="210">
        <v>1.151078</v>
      </c>
      <c r="E186" s="210">
        <v>1.211084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2978</v>
      </c>
      <c r="D189" s="198">
        <v>3027</v>
      </c>
      <c r="E189" s="198">
        <v>2178</v>
      </c>
    </row>
    <row r="190" spans="1:6" ht="20.100000000000001" customHeight="1" x14ac:dyDescent="0.2">
      <c r="A190" s="202">
        <v>2</v>
      </c>
      <c r="B190" s="201" t="s">
        <v>427</v>
      </c>
      <c r="C190" s="198">
        <v>17766</v>
      </c>
      <c r="D190" s="198">
        <v>17336</v>
      </c>
      <c r="E190" s="198">
        <v>17243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20744</v>
      </c>
      <c r="D191" s="198">
        <f>+D190+D189</f>
        <v>20363</v>
      </c>
      <c r="E191" s="198">
        <f>+E190+E189</f>
        <v>19421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FILING&amp;RJOHNSON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A6" sqref="A6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855468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202207</v>
      </c>
      <c r="D14" s="237">
        <v>54264</v>
      </c>
      <c r="E14" s="237">
        <f t="shared" ref="E14:E24" si="0">D14-C14</f>
        <v>-147943</v>
      </c>
      <c r="F14" s="238">
        <f t="shared" ref="F14:F24" si="1">IF(C14=0,0,E14/C14)</f>
        <v>-0.73164133783696905</v>
      </c>
    </row>
    <row r="15" spans="1:7" ht="20.25" customHeight="1" x14ac:dyDescent="0.3">
      <c r="A15" s="235">
        <v>2</v>
      </c>
      <c r="B15" s="236" t="s">
        <v>435</v>
      </c>
      <c r="C15" s="237">
        <v>50794</v>
      </c>
      <c r="D15" s="237">
        <v>18227</v>
      </c>
      <c r="E15" s="237">
        <f t="shared" si="0"/>
        <v>-32567</v>
      </c>
      <c r="F15" s="238">
        <f t="shared" si="1"/>
        <v>-0.64115840453596884</v>
      </c>
    </row>
    <row r="16" spans="1:7" ht="20.25" customHeight="1" x14ac:dyDescent="0.3">
      <c r="A16" s="235">
        <v>3</v>
      </c>
      <c r="B16" s="236" t="s">
        <v>436</v>
      </c>
      <c r="C16" s="237">
        <v>73350</v>
      </c>
      <c r="D16" s="237">
        <v>82129</v>
      </c>
      <c r="E16" s="237">
        <f t="shared" si="0"/>
        <v>8779</v>
      </c>
      <c r="F16" s="238">
        <f t="shared" si="1"/>
        <v>0.11968643490115882</v>
      </c>
    </row>
    <row r="17" spans="1:6" ht="20.25" customHeight="1" x14ac:dyDescent="0.3">
      <c r="A17" s="235">
        <v>4</v>
      </c>
      <c r="B17" s="236" t="s">
        <v>437</v>
      </c>
      <c r="C17" s="237">
        <v>33734</v>
      </c>
      <c r="D17" s="237">
        <v>52434</v>
      </c>
      <c r="E17" s="237">
        <f t="shared" si="0"/>
        <v>18700</v>
      </c>
      <c r="F17" s="238">
        <f t="shared" si="1"/>
        <v>0.55433687081282979</v>
      </c>
    </row>
    <row r="18" spans="1:6" ht="20.25" customHeight="1" x14ac:dyDescent="0.3">
      <c r="A18" s="235">
        <v>5</v>
      </c>
      <c r="B18" s="236" t="s">
        <v>373</v>
      </c>
      <c r="C18" s="239">
        <v>6</v>
      </c>
      <c r="D18" s="239">
        <v>4</v>
      </c>
      <c r="E18" s="239">
        <f t="shared" si="0"/>
        <v>-2</v>
      </c>
      <c r="F18" s="238">
        <f t="shared" si="1"/>
        <v>-0.33333333333333331</v>
      </c>
    </row>
    <row r="19" spans="1:6" ht="20.25" customHeight="1" x14ac:dyDescent="0.3">
      <c r="A19" s="235">
        <v>6</v>
      </c>
      <c r="B19" s="236" t="s">
        <v>372</v>
      </c>
      <c r="C19" s="239">
        <v>22</v>
      </c>
      <c r="D19" s="239">
        <v>14</v>
      </c>
      <c r="E19" s="239">
        <f t="shared" si="0"/>
        <v>-8</v>
      </c>
      <c r="F19" s="238">
        <f t="shared" si="1"/>
        <v>-0.36363636363636365</v>
      </c>
    </row>
    <row r="20" spans="1:6" ht="20.25" customHeight="1" x14ac:dyDescent="0.3">
      <c r="A20" s="235">
        <v>7</v>
      </c>
      <c r="B20" s="236" t="s">
        <v>438</v>
      </c>
      <c r="C20" s="239">
        <v>39</v>
      </c>
      <c r="D20" s="239">
        <v>68</v>
      </c>
      <c r="E20" s="239">
        <f t="shared" si="0"/>
        <v>29</v>
      </c>
      <c r="F20" s="238">
        <f t="shared" si="1"/>
        <v>0.74358974358974361</v>
      </c>
    </row>
    <row r="21" spans="1:6" ht="20.25" customHeight="1" x14ac:dyDescent="0.3">
      <c r="A21" s="235">
        <v>8</v>
      </c>
      <c r="B21" s="236" t="s">
        <v>439</v>
      </c>
      <c r="C21" s="239">
        <v>12</v>
      </c>
      <c r="D21" s="239">
        <v>15</v>
      </c>
      <c r="E21" s="239">
        <f t="shared" si="0"/>
        <v>3</v>
      </c>
      <c r="F21" s="238">
        <f t="shared" si="1"/>
        <v>0.25</v>
      </c>
    </row>
    <row r="22" spans="1:6" ht="20.25" customHeight="1" x14ac:dyDescent="0.3">
      <c r="A22" s="235">
        <v>9</v>
      </c>
      <c r="B22" s="236" t="s">
        <v>440</v>
      </c>
      <c r="C22" s="239">
        <v>6</v>
      </c>
      <c r="D22" s="239">
        <v>4</v>
      </c>
      <c r="E22" s="239">
        <f t="shared" si="0"/>
        <v>-2</v>
      </c>
      <c r="F22" s="238">
        <f t="shared" si="1"/>
        <v>-0.33333333333333331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275557</v>
      </c>
      <c r="D23" s="243">
        <f>+D14+D16</f>
        <v>136393</v>
      </c>
      <c r="E23" s="243">
        <f t="shared" si="0"/>
        <v>-139164</v>
      </c>
      <c r="F23" s="244">
        <f t="shared" si="1"/>
        <v>-0.50502799783710817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84528</v>
      </c>
      <c r="D24" s="243">
        <f>+D15+D17</f>
        <v>70661</v>
      </c>
      <c r="E24" s="243">
        <f t="shared" si="0"/>
        <v>-13867</v>
      </c>
      <c r="F24" s="244">
        <f t="shared" si="1"/>
        <v>-0.16405214840053001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167344</v>
      </c>
      <c r="D27" s="237">
        <v>33319</v>
      </c>
      <c r="E27" s="237">
        <f t="shared" ref="E27:E37" si="2">D27-C27</f>
        <v>-134025</v>
      </c>
      <c r="F27" s="238">
        <f t="shared" ref="F27:F37" si="3">IF(C27=0,0,E27/C27)</f>
        <v>-0.80089516206138256</v>
      </c>
    </row>
    <row r="28" spans="1:6" ht="20.25" customHeight="1" x14ac:dyDescent="0.3">
      <c r="A28" s="235">
        <v>2</v>
      </c>
      <c r="B28" s="236" t="s">
        <v>435</v>
      </c>
      <c r="C28" s="237">
        <v>50789</v>
      </c>
      <c r="D28" s="237">
        <v>14455</v>
      </c>
      <c r="E28" s="237">
        <f t="shared" si="2"/>
        <v>-36334</v>
      </c>
      <c r="F28" s="238">
        <f t="shared" si="3"/>
        <v>-0.71539112800015747</v>
      </c>
    </row>
    <row r="29" spans="1:6" ht="20.25" customHeight="1" x14ac:dyDescent="0.3">
      <c r="A29" s="235">
        <v>3</v>
      </c>
      <c r="B29" s="236" t="s">
        <v>436</v>
      </c>
      <c r="C29" s="237">
        <v>67387</v>
      </c>
      <c r="D29" s="237">
        <v>56675</v>
      </c>
      <c r="E29" s="237">
        <f t="shared" si="2"/>
        <v>-10712</v>
      </c>
      <c r="F29" s="238">
        <f t="shared" si="3"/>
        <v>-0.15896241114755072</v>
      </c>
    </row>
    <row r="30" spans="1:6" ht="20.25" customHeight="1" x14ac:dyDescent="0.3">
      <c r="A30" s="235">
        <v>4</v>
      </c>
      <c r="B30" s="236" t="s">
        <v>437</v>
      </c>
      <c r="C30" s="237">
        <v>14070</v>
      </c>
      <c r="D30" s="237">
        <v>13695</v>
      </c>
      <c r="E30" s="237">
        <f t="shared" si="2"/>
        <v>-375</v>
      </c>
      <c r="F30" s="238">
        <f t="shared" si="3"/>
        <v>-2.6652452025586353E-2</v>
      </c>
    </row>
    <row r="31" spans="1:6" ht="20.25" customHeight="1" x14ac:dyDescent="0.3">
      <c r="A31" s="235">
        <v>5</v>
      </c>
      <c r="B31" s="236" t="s">
        <v>373</v>
      </c>
      <c r="C31" s="239">
        <v>4</v>
      </c>
      <c r="D31" s="239">
        <v>2</v>
      </c>
      <c r="E31" s="239">
        <f t="shared" si="2"/>
        <v>-2</v>
      </c>
      <c r="F31" s="238">
        <f t="shared" si="3"/>
        <v>-0.5</v>
      </c>
    </row>
    <row r="32" spans="1:6" ht="20.25" customHeight="1" x14ac:dyDescent="0.3">
      <c r="A32" s="235">
        <v>6</v>
      </c>
      <c r="B32" s="236" t="s">
        <v>372</v>
      </c>
      <c r="C32" s="239">
        <v>14</v>
      </c>
      <c r="D32" s="239">
        <v>10</v>
      </c>
      <c r="E32" s="239">
        <f t="shared" si="2"/>
        <v>-4</v>
      </c>
      <c r="F32" s="238">
        <f t="shared" si="3"/>
        <v>-0.2857142857142857</v>
      </c>
    </row>
    <row r="33" spans="1:6" ht="20.25" customHeight="1" x14ac:dyDescent="0.3">
      <c r="A33" s="235">
        <v>7</v>
      </c>
      <c r="B33" s="236" t="s">
        <v>438</v>
      </c>
      <c r="C33" s="239">
        <v>42</v>
      </c>
      <c r="D33" s="239">
        <v>55</v>
      </c>
      <c r="E33" s="239">
        <f t="shared" si="2"/>
        <v>13</v>
      </c>
      <c r="F33" s="238">
        <f t="shared" si="3"/>
        <v>0.30952380952380953</v>
      </c>
    </row>
    <row r="34" spans="1:6" ht="20.25" customHeight="1" x14ac:dyDescent="0.3">
      <c r="A34" s="235">
        <v>8</v>
      </c>
      <c r="B34" s="236" t="s">
        <v>439</v>
      </c>
      <c r="C34" s="239">
        <v>5</v>
      </c>
      <c r="D34" s="239">
        <v>6</v>
      </c>
      <c r="E34" s="239">
        <f t="shared" si="2"/>
        <v>1</v>
      </c>
      <c r="F34" s="238">
        <f t="shared" si="3"/>
        <v>0.2</v>
      </c>
    </row>
    <row r="35" spans="1:6" ht="20.25" customHeight="1" x14ac:dyDescent="0.3">
      <c r="A35" s="235">
        <v>9</v>
      </c>
      <c r="B35" s="236" t="s">
        <v>440</v>
      </c>
      <c r="C35" s="239">
        <v>4</v>
      </c>
      <c r="D35" s="239">
        <v>2</v>
      </c>
      <c r="E35" s="239">
        <f t="shared" si="2"/>
        <v>-2</v>
      </c>
      <c r="F35" s="238">
        <f t="shared" si="3"/>
        <v>-0.5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234731</v>
      </c>
      <c r="D36" s="243">
        <f>+D27+D29</f>
        <v>89994</v>
      </c>
      <c r="E36" s="243">
        <f t="shared" si="2"/>
        <v>-144737</v>
      </c>
      <c r="F36" s="244">
        <f t="shared" si="3"/>
        <v>-0.61660794696908372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64859</v>
      </c>
      <c r="D37" s="243">
        <f>+D28+D30</f>
        <v>28150</v>
      </c>
      <c r="E37" s="243">
        <f t="shared" si="2"/>
        <v>-36709</v>
      </c>
      <c r="F37" s="244">
        <f t="shared" si="3"/>
        <v>-0.5659815908355047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1115625</v>
      </c>
      <c r="D40" s="237">
        <v>1251670</v>
      </c>
      <c r="E40" s="237">
        <f t="shared" ref="E40:E50" si="4">D40-C40</f>
        <v>136045</v>
      </c>
      <c r="F40" s="238">
        <f t="shared" ref="F40:F50" si="5">IF(C40=0,0,E40/C40)</f>
        <v>0.12194509803921569</v>
      </c>
    </row>
    <row r="41" spans="1:6" ht="20.25" customHeight="1" x14ac:dyDescent="0.3">
      <c r="A41" s="235">
        <v>2</v>
      </c>
      <c r="B41" s="236" t="s">
        <v>435</v>
      </c>
      <c r="C41" s="237">
        <v>222009</v>
      </c>
      <c r="D41" s="237">
        <v>393793</v>
      </c>
      <c r="E41" s="237">
        <f t="shared" si="4"/>
        <v>171784</v>
      </c>
      <c r="F41" s="238">
        <f t="shared" si="5"/>
        <v>0.77377043273020463</v>
      </c>
    </row>
    <row r="42" spans="1:6" ht="20.25" customHeight="1" x14ac:dyDescent="0.3">
      <c r="A42" s="235">
        <v>3</v>
      </c>
      <c r="B42" s="236" t="s">
        <v>436</v>
      </c>
      <c r="C42" s="237">
        <v>957130</v>
      </c>
      <c r="D42" s="237">
        <v>1160458</v>
      </c>
      <c r="E42" s="237">
        <f t="shared" si="4"/>
        <v>203328</v>
      </c>
      <c r="F42" s="238">
        <f t="shared" si="5"/>
        <v>0.21243509241168912</v>
      </c>
    </row>
    <row r="43" spans="1:6" ht="20.25" customHeight="1" x14ac:dyDescent="0.3">
      <c r="A43" s="235">
        <v>4</v>
      </c>
      <c r="B43" s="236" t="s">
        <v>437</v>
      </c>
      <c r="C43" s="237">
        <v>184821</v>
      </c>
      <c r="D43" s="237">
        <v>311335</v>
      </c>
      <c r="E43" s="237">
        <f t="shared" si="4"/>
        <v>126514</v>
      </c>
      <c r="F43" s="238">
        <f t="shared" si="5"/>
        <v>0.68452178053359736</v>
      </c>
    </row>
    <row r="44" spans="1:6" ht="20.25" customHeight="1" x14ac:dyDescent="0.3">
      <c r="A44" s="235">
        <v>5</v>
      </c>
      <c r="B44" s="236" t="s">
        <v>373</v>
      </c>
      <c r="C44" s="239">
        <v>24</v>
      </c>
      <c r="D44" s="239">
        <v>44</v>
      </c>
      <c r="E44" s="239">
        <f t="shared" si="4"/>
        <v>20</v>
      </c>
      <c r="F44" s="238">
        <f t="shared" si="5"/>
        <v>0.83333333333333337</v>
      </c>
    </row>
    <row r="45" spans="1:6" ht="20.25" customHeight="1" x14ac:dyDescent="0.3">
      <c r="A45" s="235">
        <v>6</v>
      </c>
      <c r="B45" s="236" t="s">
        <v>372</v>
      </c>
      <c r="C45" s="239">
        <v>188</v>
      </c>
      <c r="D45" s="239">
        <v>282</v>
      </c>
      <c r="E45" s="239">
        <f t="shared" si="4"/>
        <v>94</v>
      </c>
      <c r="F45" s="238">
        <f t="shared" si="5"/>
        <v>0.5</v>
      </c>
    </row>
    <row r="46" spans="1:6" ht="20.25" customHeight="1" x14ac:dyDescent="0.3">
      <c r="A46" s="235">
        <v>7</v>
      </c>
      <c r="B46" s="236" t="s">
        <v>438</v>
      </c>
      <c r="C46" s="239">
        <v>817</v>
      </c>
      <c r="D46" s="239">
        <v>1161</v>
      </c>
      <c r="E46" s="239">
        <f t="shared" si="4"/>
        <v>344</v>
      </c>
      <c r="F46" s="238">
        <f t="shared" si="5"/>
        <v>0.42105263157894735</v>
      </c>
    </row>
    <row r="47" spans="1:6" ht="20.25" customHeight="1" x14ac:dyDescent="0.3">
      <c r="A47" s="235">
        <v>8</v>
      </c>
      <c r="B47" s="236" t="s">
        <v>439</v>
      </c>
      <c r="C47" s="239">
        <v>88</v>
      </c>
      <c r="D47" s="239">
        <v>94</v>
      </c>
      <c r="E47" s="239">
        <f t="shared" si="4"/>
        <v>6</v>
      </c>
      <c r="F47" s="238">
        <f t="shared" si="5"/>
        <v>6.8181818181818177E-2</v>
      </c>
    </row>
    <row r="48" spans="1:6" ht="20.25" customHeight="1" x14ac:dyDescent="0.3">
      <c r="A48" s="235">
        <v>9</v>
      </c>
      <c r="B48" s="236" t="s">
        <v>440</v>
      </c>
      <c r="C48" s="239">
        <v>24</v>
      </c>
      <c r="D48" s="239">
        <v>34</v>
      </c>
      <c r="E48" s="239">
        <f t="shared" si="4"/>
        <v>10</v>
      </c>
      <c r="F48" s="238">
        <f t="shared" si="5"/>
        <v>0.41666666666666669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2072755</v>
      </c>
      <c r="D49" s="243">
        <f>+D40+D42</f>
        <v>2412128</v>
      </c>
      <c r="E49" s="243">
        <f t="shared" si="4"/>
        <v>339373</v>
      </c>
      <c r="F49" s="244">
        <f t="shared" si="5"/>
        <v>0.16373039746617424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406830</v>
      </c>
      <c r="D50" s="243">
        <f>+D41+D43</f>
        <v>705128</v>
      </c>
      <c r="E50" s="243">
        <f t="shared" si="4"/>
        <v>298298</v>
      </c>
      <c r="F50" s="244">
        <f t="shared" si="5"/>
        <v>0.73322518005063542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3986457</v>
      </c>
      <c r="D53" s="237">
        <v>4063165</v>
      </c>
      <c r="E53" s="237">
        <f t="shared" ref="E53:E63" si="6">D53-C53</f>
        <v>76708</v>
      </c>
      <c r="F53" s="238">
        <f t="shared" ref="F53:F63" si="7">IF(C53=0,0,E53/C53)</f>
        <v>1.924214910633678E-2</v>
      </c>
    </row>
    <row r="54" spans="1:6" ht="20.25" customHeight="1" x14ac:dyDescent="0.3">
      <c r="A54" s="235">
        <v>2</v>
      </c>
      <c r="B54" s="236" t="s">
        <v>435</v>
      </c>
      <c r="C54" s="237">
        <v>1162850</v>
      </c>
      <c r="D54" s="237">
        <v>1316137</v>
      </c>
      <c r="E54" s="237">
        <f t="shared" si="6"/>
        <v>153287</v>
      </c>
      <c r="F54" s="238">
        <f t="shared" si="7"/>
        <v>0.13182009717504406</v>
      </c>
    </row>
    <row r="55" spans="1:6" ht="20.25" customHeight="1" x14ac:dyDescent="0.3">
      <c r="A55" s="235">
        <v>3</v>
      </c>
      <c r="B55" s="236" t="s">
        <v>436</v>
      </c>
      <c r="C55" s="237">
        <v>3925128</v>
      </c>
      <c r="D55" s="237">
        <v>3334792</v>
      </c>
      <c r="E55" s="237">
        <f t="shared" si="6"/>
        <v>-590336</v>
      </c>
      <c r="F55" s="238">
        <f t="shared" si="7"/>
        <v>-0.15039917169580203</v>
      </c>
    </row>
    <row r="56" spans="1:6" ht="20.25" customHeight="1" x14ac:dyDescent="0.3">
      <c r="A56" s="235">
        <v>4</v>
      </c>
      <c r="B56" s="236" t="s">
        <v>437</v>
      </c>
      <c r="C56" s="237">
        <v>753625</v>
      </c>
      <c r="D56" s="237">
        <v>882852</v>
      </c>
      <c r="E56" s="237">
        <f t="shared" si="6"/>
        <v>129227</v>
      </c>
      <c r="F56" s="238">
        <f t="shared" si="7"/>
        <v>0.17147387626472052</v>
      </c>
    </row>
    <row r="57" spans="1:6" ht="20.25" customHeight="1" x14ac:dyDescent="0.3">
      <c r="A57" s="235">
        <v>5</v>
      </c>
      <c r="B57" s="236" t="s">
        <v>373</v>
      </c>
      <c r="C57" s="239">
        <v>149</v>
      </c>
      <c r="D57" s="239">
        <v>164</v>
      </c>
      <c r="E57" s="239">
        <f t="shared" si="6"/>
        <v>15</v>
      </c>
      <c r="F57" s="238">
        <f t="shared" si="7"/>
        <v>0.10067114093959731</v>
      </c>
    </row>
    <row r="58" spans="1:6" ht="20.25" customHeight="1" x14ac:dyDescent="0.3">
      <c r="A58" s="235">
        <v>6</v>
      </c>
      <c r="B58" s="236" t="s">
        <v>372</v>
      </c>
      <c r="C58" s="239">
        <v>733</v>
      </c>
      <c r="D58" s="239">
        <v>912</v>
      </c>
      <c r="E58" s="239">
        <f t="shared" si="6"/>
        <v>179</v>
      </c>
      <c r="F58" s="238">
        <f t="shared" si="7"/>
        <v>0.24420190995907232</v>
      </c>
    </row>
    <row r="59" spans="1:6" ht="20.25" customHeight="1" x14ac:dyDescent="0.3">
      <c r="A59" s="235">
        <v>7</v>
      </c>
      <c r="B59" s="236" t="s">
        <v>438</v>
      </c>
      <c r="C59" s="239">
        <v>2929</v>
      </c>
      <c r="D59" s="239">
        <v>3191</v>
      </c>
      <c r="E59" s="239">
        <f t="shared" si="6"/>
        <v>262</v>
      </c>
      <c r="F59" s="238">
        <f t="shared" si="7"/>
        <v>8.9450324342779108E-2</v>
      </c>
    </row>
    <row r="60" spans="1:6" ht="20.25" customHeight="1" x14ac:dyDescent="0.3">
      <c r="A60" s="235">
        <v>8</v>
      </c>
      <c r="B60" s="236" t="s">
        <v>439</v>
      </c>
      <c r="C60" s="239">
        <v>267</v>
      </c>
      <c r="D60" s="239">
        <v>281</v>
      </c>
      <c r="E60" s="239">
        <f t="shared" si="6"/>
        <v>14</v>
      </c>
      <c r="F60" s="238">
        <f t="shared" si="7"/>
        <v>5.2434456928838954E-2</v>
      </c>
    </row>
    <row r="61" spans="1:6" ht="20.25" customHeight="1" x14ac:dyDescent="0.3">
      <c r="A61" s="235">
        <v>9</v>
      </c>
      <c r="B61" s="236" t="s">
        <v>440</v>
      </c>
      <c r="C61" s="239">
        <v>149</v>
      </c>
      <c r="D61" s="239">
        <v>125</v>
      </c>
      <c r="E61" s="239">
        <f t="shared" si="6"/>
        <v>-24</v>
      </c>
      <c r="F61" s="238">
        <f t="shared" si="7"/>
        <v>-0.16107382550335569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7911585</v>
      </c>
      <c r="D62" s="243">
        <f>+D53+D55</f>
        <v>7397957</v>
      </c>
      <c r="E62" s="243">
        <f t="shared" si="6"/>
        <v>-513628</v>
      </c>
      <c r="F62" s="244">
        <f t="shared" si="7"/>
        <v>-6.4920998763206103E-2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1916475</v>
      </c>
      <c r="D63" s="243">
        <f>+D54+D56</f>
        <v>2198989</v>
      </c>
      <c r="E63" s="243">
        <f t="shared" si="6"/>
        <v>282514</v>
      </c>
      <c r="F63" s="244">
        <f t="shared" si="7"/>
        <v>0.14741335003065523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67825</v>
      </c>
      <c r="D66" s="237">
        <v>165505</v>
      </c>
      <c r="E66" s="237">
        <f t="shared" ref="E66:E76" si="8">D66-C66</f>
        <v>97680</v>
      </c>
      <c r="F66" s="238">
        <f t="shared" ref="F66:F76" si="9">IF(C66=0,0,E66/C66)</f>
        <v>1.4401769259122743</v>
      </c>
    </row>
    <row r="67" spans="1:6" ht="20.25" customHeight="1" x14ac:dyDescent="0.3">
      <c r="A67" s="235">
        <v>2</v>
      </c>
      <c r="B67" s="236" t="s">
        <v>435</v>
      </c>
      <c r="C67" s="237">
        <v>19228</v>
      </c>
      <c r="D67" s="237">
        <v>54636</v>
      </c>
      <c r="E67" s="237">
        <f t="shared" si="8"/>
        <v>35408</v>
      </c>
      <c r="F67" s="238">
        <f t="shared" si="9"/>
        <v>1.8414811732889536</v>
      </c>
    </row>
    <row r="68" spans="1:6" ht="20.25" customHeight="1" x14ac:dyDescent="0.3">
      <c r="A68" s="235">
        <v>3</v>
      </c>
      <c r="B68" s="236" t="s">
        <v>436</v>
      </c>
      <c r="C68" s="237">
        <v>39955</v>
      </c>
      <c r="D68" s="237">
        <v>60934</v>
      </c>
      <c r="E68" s="237">
        <f t="shared" si="8"/>
        <v>20979</v>
      </c>
      <c r="F68" s="238">
        <f t="shared" si="9"/>
        <v>0.52506569891127519</v>
      </c>
    </row>
    <row r="69" spans="1:6" ht="20.25" customHeight="1" x14ac:dyDescent="0.3">
      <c r="A69" s="235">
        <v>4</v>
      </c>
      <c r="B69" s="236" t="s">
        <v>437</v>
      </c>
      <c r="C69" s="237">
        <v>9014</v>
      </c>
      <c r="D69" s="237">
        <v>56013</v>
      </c>
      <c r="E69" s="237">
        <f t="shared" si="8"/>
        <v>46999</v>
      </c>
      <c r="F69" s="238">
        <f t="shared" si="9"/>
        <v>5.2140004437541601</v>
      </c>
    </row>
    <row r="70" spans="1:6" ht="20.25" customHeight="1" x14ac:dyDescent="0.3">
      <c r="A70" s="235">
        <v>5</v>
      </c>
      <c r="B70" s="236" t="s">
        <v>373</v>
      </c>
      <c r="C70" s="239">
        <v>3</v>
      </c>
      <c r="D70" s="239">
        <v>6</v>
      </c>
      <c r="E70" s="239">
        <f t="shared" si="8"/>
        <v>3</v>
      </c>
      <c r="F70" s="238">
        <f t="shared" si="9"/>
        <v>1</v>
      </c>
    </row>
    <row r="71" spans="1:6" ht="20.25" customHeight="1" x14ac:dyDescent="0.3">
      <c r="A71" s="235">
        <v>6</v>
      </c>
      <c r="B71" s="236" t="s">
        <v>372</v>
      </c>
      <c r="C71" s="239">
        <v>17</v>
      </c>
      <c r="D71" s="239">
        <v>36</v>
      </c>
      <c r="E71" s="239">
        <f t="shared" si="8"/>
        <v>19</v>
      </c>
      <c r="F71" s="238">
        <f t="shared" si="9"/>
        <v>1.1176470588235294</v>
      </c>
    </row>
    <row r="72" spans="1:6" ht="20.25" customHeight="1" x14ac:dyDescent="0.3">
      <c r="A72" s="235">
        <v>7</v>
      </c>
      <c r="B72" s="236" t="s">
        <v>438</v>
      </c>
      <c r="C72" s="239">
        <v>40</v>
      </c>
      <c r="D72" s="239">
        <v>52</v>
      </c>
      <c r="E72" s="239">
        <f t="shared" si="8"/>
        <v>12</v>
      </c>
      <c r="F72" s="238">
        <f t="shared" si="9"/>
        <v>0.3</v>
      </c>
    </row>
    <row r="73" spans="1:6" ht="20.25" customHeight="1" x14ac:dyDescent="0.3">
      <c r="A73" s="235">
        <v>8</v>
      </c>
      <c r="B73" s="236" t="s">
        <v>439</v>
      </c>
      <c r="C73" s="239">
        <v>15</v>
      </c>
      <c r="D73" s="239">
        <v>16</v>
      </c>
      <c r="E73" s="239">
        <f t="shared" si="8"/>
        <v>1</v>
      </c>
      <c r="F73" s="238">
        <f t="shared" si="9"/>
        <v>6.6666666666666666E-2</v>
      </c>
    </row>
    <row r="74" spans="1:6" ht="20.25" customHeight="1" x14ac:dyDescent="0.3">
      <c r="A74" s="235">
        <v>9</v>
      </c>
      <c r="B74" s="236" t="s">
        <v>440</v>
      </c>
      <c r="C74" s="239">
        <v>3</v>
      </c>
      <c r="D74" s="239">
        <v>10</v>
      </c>
      <c r="E74" s="239">
        <f t="shared" si="8"/>
        <v>7</v>
      </c>
      <c r="F74" s="238">
        <f t="shared" si="9"/>
        <v>2.3333333333333335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107780</v>
      </c>
      <c r="D75" s="243">
        <f>+D66+D68</f>
        <v>226439</v>
      </c>
      <c r="E75" s="243">
        <f t="shared" si="8"/>
        <v>118659</v>
      </c>
      <c r="F75" s="244">
        <f t="shared" si="9"/>
        <v>1.1009370940805345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28242</v>
      </c>
      <c r="D76" s="243">
        <f>+D67+D69</f>
        <v>110649</v>
      </c>
      <c r="E76" s="243">
        <f t="shared" si="8"/>
        <v>82407</v>
      </c>
      <c r="F76" s="244">
        <f t="shared" si="9"/>
        <v>2.9178882515402593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146426</v>
      </c>
      <c r="D105" s="237">
        <v>155798</v>
      </c>
      <c r="E105" s="237">
        <f t="shared" ref="E105:E115" si="14">D105-C105</f>
        <v>9372</v>
      </c>
      <c r="F105" s="238">
        <f t="shared" ref="F105:F115" si="15">IF(C105=0,0,E105/C105)</f>
        <v>6.4005026429732423E-2</v>
      </c>
    </row>
    <row r="106" spans="1:6" ht="20.25" customHeight="1" x14ac:dyDescent="0.3">
      <c r="A106" s="235">
        <v>2</v>
      </c>
      <c r="B106" s="236" t="s">
        <v>435</v>
      </c>
      <c r="C106" s="237">
        <v>48979</v>
      </c>
      <c r="D106" s="237">
        <v>42052</v>
      </c>
      <c r="E106" s="237">
        <f t="shared" si="14"/>
        <v>-6927</v>
      </c>
      <c r="F106" s="238">
        <f t="shared" si="15"/>
        <v>-0.1414279589211703</v>
      </c>
    </row>
    <row r="107" spans="1:6" ht="20.25" customHeight="1" x14ac:dyDescent="0.3">
      <c r="A107" s="235">
        <v>3</v>
      </c>
      <c r="B107" s="236" t="s">
        <v>436</v>
      </c>
      <c r="C107" s="237">
        <v>73350</v>
      </c>
      <c r="D107" s="237">
        <v>60303</v>
      </c>
      <c r="E107" s="237">
        <f t="shared" si="14"/>
        <v>-13047</v>
      </c>
      <c r="F107" s="238">
        <f t="shared" si="15"/>
        <v>-0.17787321063394684</v>
      </c>
    </row>
    <row r="108" spans="1:6" ht="20.25" customHeight="1" x14ac:dyDescent="0.3">
      <c r="A108" s="235">
        <v>4</v>
      </c>
      <c r="B108" s="236" t="s">
        <v>437</v>
      </c>
      <c r="C108" s="237">
        <v>16064</v>
      </c>
      <c r="D108" s="237">
        <v>18830</v>
      </c>
      <c r="E108" s="237">
        <f t="shared" si="14"/>
        <v>2766</v>
      </c>
      <c r="F108" s="238">
        <f t="shared" si="15"/>
        <v>0.17218625498007969</v>
      </c>
    </row>
    <row r="109" spans="1:6" ht="20.25" customHeight="1" x14ac:dyDescent="0.3">
      <c r="A109" s="235">
        <v>5</v>
      </c>
      <c r="B109" s="236" t="s">
        <v>373</v>
      </c>
      <c r="C109" s="239">
        <v>5</v>
      </c>
      <c r="D109" s="239">
        <v>5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24</v>
      </c>
      <c r="D110" s="239">
        <v>25</v>
      </c>
      <c r="E110" s="239">
        <f t="shared" si="14"/>
        <v>1</v>
      </c>
      <c r="F110" s="238">
        <f t="shared" si="15"/>
        <v>4.1666666666666664E-2</v>
      </c>
    </row>
    <row r="111" spans="1:6" ht="20.25" customHeight="1" x14ac:dyDescent="0.3">
      <c r="A111" s="235">
        <v>7</v>
      </c>
      <c r="B111" s="236" t="s">
        <v>438</v>
      </c>
      <c r="C111" s="239">
        <v>71</v>
      </c>
      <c r="D111" s="239">
        <v>39</v>
      </c>
      <c r="E111" s="239">
        <f t="shared" si="14"/>
        <v>-32</v>
      </c>
      <c r="F111" s="238">
        <f t="shared" si="15"/>
        <v>-0.45070422535211269</v>
      </c>
    </row>
    <row r="112" spans="1:6" ht="20.25" customHeight="1" x14ac:dyDescent="0.3">
      <c r="A112" s="235">
        <v>8</v>
      </c>
      <c r="B112" s="236" t="s">
        <v>439</v>
      </c>
      <c r="C112" s="239">
        <v>15</v>
      </c>
      <c r="D112" s="239">
        <v>10</v>
      </c>
      <c r="E112" s="239">
        <f t="shared" si="14"/>
        <v>-5</v>
      </c>
      <c r="F112" s="238">
        <f t="shared" si="15"/>
        <v>-0.33333333333333331</v>
      </c>
    </row>
    <row r="113" spans="1:6" ht="20.25" customHeight="1" x14ac:dyDescent="0.3">
      <c r="A113" s="235">
        <v>9</v>
      </c>
      <c r="B113" s="236" t="s">
        <v>440</v>
      </c>
      <c r="C113" s="239">
        <v>5</v>
      </c>
      <c r="D113" s="239">
        <v>4</v>
      </c>
      <c r="E113" s="239">
        <f t="shared" si="14"/>
        <v>-1</v>
      </c>
      <c r="F113" s="238">
        <f t="shared" si="15"/>
        <v>-0.2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219776</v>
      </c>
      <c r="D114" s="243">
        <f>+D105+D107</f>
        <v>216101</v>
      </c>
      <c r="E114" s="243">
        <f t="shared" si="14"/>
        <v>-3675</v>
      </c>
      <c r="F114" s="244">
        <f t="shared" si="15"/>
        <v>-1.672157105416424E-2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65043</v>
      </c>
      <c r="D115" s="243">
        <f>+D106+D108</f>
        <v>60882</v>
      </c>
      <c r="E115" s="243">
        <f t="shared" si="14"/>
        <v>-4161</v>
      </c>
      <c r="F115" s="244">
        <f t="shared" si="15"/>
        <v>-6.3973063973063973E-2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183191</v>
      </c>
      <c r="D118" s="237">
        <v>369160</v>
      </c>
      <c r="E118" s="237">
        <f t="shared" ref="E118:E128" si="16">D118-C118</f>
        <v>185969</v>
      </c>
      <c r="F118" s="238">
        <f t="shared" ref="F118:F128" si="17">IF(C118=0,0,E118/C118)</f>
        <v>1.0151645004394321</v>
      </c>
    </row>
    <row r="119" spans="1:6" ht="20.25" customHeight="1" x14ac:dyDescent="0.3">
      <c r="A119" s="235">
        <v>2</v>
      </c>
      <c r="B119" s="236" t="s">
        <v>435</v>
      </c>
      <c r="C119" s="237">
        <v>45560</v>
      </c>
      <c r="D119" s="237">
        <v>138178</v>
      </c>
      <c r="E119" s="237">
        <f t="shared" si="16"/>
        <v>92618</v>
      </c>
      <c r="F119" s="238">
        <f t="shared" si="17"/>
        <v>2.0328797190517998</v>
      </c>
    </row>
    <row r="120" spans="1:6" ht="20.25" customHeight="1" x14ac:dyDescent="0.3">
      <c r="A120" s="235">
        <v>3</v>
      </c>
      <c r="B120" s="236" t="s">
        <v>436</v>
      </c>
      <c r="C120" s="237">
        <v>354228</v>
      </c>
      <c r="D120" s="237">
        <v>367105</v>
      </c>
      <c r="E120" s="237">
        <f t="shared" si="16"/>
        <v>12877</v>
      </c>
      <c r="F120" s="238">
        <f t="shared" si="17"/>
        <v>3.635229287351649E-2</v>
      </c>
    </row>
    <row r="121" spans="1:6" ht="20.25" customHeight="1" x14ac:dyDescent="0.3">
      <c r="A121" s="235">
        <v>4</v>
      </c>
      <c r="B121" s="236" t="s">
        <v>437</v>
      </c>
      <c r="C121" s="237">
        <v>70066</v>
      </c>
      <c r="D121" s="237">
        <v>99255</v>
      </c>
      <c r="E121" s="237">
        <f t="shared" si="16"/>
        <v>29189</v>
      </c>
      <c r="F121" s="238">
        <f t="shared" si="17"/>
        <v>0.41659292666914055</v>
      </c>
    </row>
    <row r="122" spans="1:6" ht="20.25" customHeight="1" x14ac:dyDescent="0.3">
      <c r="A122" s="235">
        <v>5</v>
      </c>
      <c r="B122" s="236" t="s">
        <v>373</v>
      </c>
      <c r="C122" s="239">
        <v>9</v>
      </c>
      <c r="D122" s="239">
        <v>16</v>
      </c>
      <c r="E122" s="239">
        <f t="shared" si="16"/>
        <v>7</v>
      </c>
      <c r="F122" s="238">
        <f t="shared" si="17"/>
        <v>0.77777777777777779</v>
      </c>
    </row>
    <row r="123" spans="1:6" ht="20.25" customHeight="1" x14ac:dyDescent="0.3">
      <c r="A123" s="235">
        <v>6</v>
      </c>
      <c r="B123" s="236" t="s">
        <v>372</v>
      </c>
      <c r="C123" s="239">
        <v>59</v>
      </c>
      <c r="D123" s="239">
        <v>76</v>
      </c>
      <c r="E123" s="239">
        <f t="shared" si="16"/>
        <v>17</v>
      </c>
      <c r="F123" s="238">
        <f t="shared" si="17"/>
        <v>0.28813559322033899</v>
      </c>
    </row>
    <row r="124" spans="1:6" ht="20.25" customHeight="1" x14ac:dyDescent="0.3">
      <c r="A124" s="235">
        <v>7</v>
      </c>
      <c r="B124" s="236" t="s">
        <v>438</v>
      </c>
      <c r="C124" s="239">
        <v>277</v>
      </c>
      <c r="D124" s="239">
        <v>344</v>
      </c>
      <c r="E124" s="239">
        <f t="shared" si="16"/>
        <v>67</v>
      </c>
      <c r="F124" s="238">
        <f t="shared" si="17"/>
        <v>0.24187725631768953</v>
      </c>
    </row>
    <row r="125" spans="1:6" ht="20.25" customHeight="1" x14ac:dyDescent="0.3">
      <c r="A125" s="235">
        <v>8</v>
      </c>
      <c r="B125" s="236" t="s">
        <v>439</v>
      </c>
      <c r="C125" s="239">
        <v>25</v>
      </c>
      <c r="D125" s="239">
        <v>32</v>
      </c>
      <c r="E125" s="239">
        <f t="shared" si="16"/>
        <v>7</v>
      </c>
      <c r="F125" s="238">
        <f t="shared" si="17"/>
        <v>0.28000000000000003</v>
      </c>
    </row>
    <row r="126" spans="1:6" ht="20.25" customHeight="1" x14ac:dyDescent="0.3">
      <c r="A126" s="235">
        <v>9</v>
      </c>
      <c r="B126" s="236" t="s">
        <v>440</v>
      </c>
      <c r="C126" s="239">
        <v>9</v>
      </c>
      <c r="D126" s="239">
        <v>13</v>
      </c>
      <c r="E126" s="239">
        <f t="shared" si="16"/>
        <v>4</v>
      </c>
      <c r="F126" s="238">
        <f t="shared" si="17"/>
        <v>0.44444444444444442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537419</v>
      </c>
      <c r="D127" s="243">
        <f>+D118+D120</f>
        <v>736265</v>
      </c>
      <c r="E127" s="243">
        <f t="shared" si="16"/>
        <v>198846</v>
      </c>
      <c r="F127" s="244">
        <f t="shared" si="17"/>
        <v>0.37000180492316054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115626</v>
      </c>
      <c r="D128" s="243">
        <f>+D119+D121</f>
        <v>237433</v>
      </c>
      <c r="E128" s="243">
        <f t="shared" si="16"/>
        <v>121807</v>
      </c>
      <c r="F128" s="244">
        <f t="shared" si="17"/>
        <v>1.0534568349679139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43533</v>
      </c>
      <c r="D133" s="237">
        <v>30157</v>
      </c>
      <c r="E133" s="237">
        <f t="shared" si="18"/>
        <v>-13376</v>
      </c>
      <c r="F133" s="238">
        <f t="shared" si="19"/>
        <v>-0.30726115820182393</v>
      </c>
    </row>
    <row r="134" spans="1:6" ht="20.25" customHeight="1" x14ac:dyDescent="0.3">
      <c r="A134" s="235">
        <v>4</v>
      </c>
      <c r="B134" s="236" t="s">
        <v>437</v>
      </c>
      <c r="C134" s="237">
        <v>16081</v>
      </c>
      <c r="D134" s="237">
        <v>16824</v>
      </c>
      <c r="E134" s="237">
        <f t="shared" si="18"/>
        <v>743</v>
      </c>
      <c r="F134" s="238">
        <f t="shared" si="19"/>
        <v>4.6203594303836824E-2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28</v>
      </c>
      <c r="D137" s="239">
        <v>24</v>
      </c>
      <c r="E137" s="239">
        <f t="shared" si="18"/>
        <v>-4</v>
      </c>
      <c r="F137" s="238">
        <f t="shared" si="19"/>
        <v>-0.14285714285714285</v>
      </c>
    </row>
    <row r="138" spans="1:6" ht="20.25" customHeight="1" x14ac:dyDescent="0.3">
      <c r="A138" s="235">
        <v>8</v>
      </c>
      <c r="B138" s="236" t="s">
        <v>439</v>
      </c>
      <c r="C138" s="239">
        <v>8</v>
      </c>
      <c r="D138" s="239">
        <v>8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43533</v>
      </c>
      <c r="D140" s="243">
        <f>+D131+D133</f>
        <v>30157</v>
      </c>
      <c r="E140" s="243">
        <f t="shared" si="18"/>
        <v>-13376</v>
      </c>
      <c r="F140" s="244">
        <f t="shared" si="19"/>
        <v>-0.30726115820182393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16081</v>
      </c>
      <c r="D141" s="243">
        <f>+D132+D134</f>
        <v>16824</v>
      </c>
      <c r="E141" s="243">
        <f t="shared" si="18"/>
        <v>743</v>
      </c>
      <c r="F141" s="244">
        <f t="shared" si="19"/>
        <v>4.6203594303836824E-2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296375</v>
      </c>
      <c r="E144" s="237">
        <f t="shared" ref="E144:E154" si="20">D144-C144</f>
        <v>296375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93246</v>
      </c>
      <c r="E145" s="237">
        <f t="shared" si="20"/>
        <v>93246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69176</v>
      </c>
      <c r="D146" s="237">
        <v>401597</v>
      </c>
      <c r="E146" s="237">
        <f t="shared" si="20"/>
        <v>332421</v>
      </c>
      <c r="F146" s="238">
        <f t="shared" si="21"/>
        <v>4.8054383023013765</v>
      </c>
    </row>
    <row r="147" spans="1:6" ht="20.25" customHeight="1" x14ac:dyDescent="0.3">
      <c r="A147" s="235">
        <v>4</v>
      </c>
      <c r="B147" s="236" t="s">
        <v>437</v>
      </c>
      <c r="C147" s="237">
        <v>13987</v>
      </c>
      <c r="D147" s="237">
        <v>91506</v>
      </c>
      <c r="E147" s="237">
        <f t="shared" si="20"/>
        <v>77519</v>
      </c>
      <c r="F147" s="238">
        <f t="shared" si="21"/>
        <v>5.542217773646958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16</v>
      </c>
      <c r="E148" s="239">
        <f t="shared" si="20"/>
        <v>16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66</v>
      </c>
      <c r="E149" s="239">
        <f t="shared" si="20"/>
        <v>66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39</v>
      </c>
      <c r="D150" s="239">
        <v>326</v>
      </c>
      <c r="E150" s="239">
        <f t="shared" si="20"/>
        <v>287</v>
      </c>
      <c r="F150" s="238">
        <f t="shared" si="21"/>
        <v>7.3589743589743586</v>
      </c>
    </row>
    <row r="151" spans="1:6" ht="20.25" customHeight="1" x14ac:dyDescent="0.3">
      <c r="A151" s="235">
        <v>8</v>
      </c>
      <c r="B151" s="236" t="s">
        <v>439</v>
      </c>
      <c r="C151" s="239">
        <v>4</v>
      </c>
      <c r="D151" s="239">
        <v>45</v>
      </c>
      <c r="E151" s="239">
        <f t="shared" si="20"/>
        <v>41</v>
      </c>
      <c r="F151" s="238">
        <f t="shared" si="21"/>
        <v>10.25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13</v>
      </c>
      <c r="E152" s="239">
        <f t="shared" si="20"/>
        <v>13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69176</v>
      </c>
      <c r="D153" s="243">
        <f>+D144+D146</f>
        <v>697972</v>
      </c>
      <c r="E153" s="243">
        <f t="shared" si="20"/>
        <v>628796</v>
      </c>
      <c r="F153" s="244">
        <f t="shared" si="21"/>
        <v>9.0897999306117736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13987</v>
      </c>
      <c r="D154" s="243">
        <f>+D145+D147</f>
        <v>184752</v>
      </c>
      <c r="E154" s="243">
        <f t="shared" si="20"/>
        <v>170765</v>
      </c>
      <c r="F154" s="244">
        <f t="shared" si="21"/>
        <v>12.208836777007221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469703</v>
      </c>
      <c r="D183" s="237">
        <v>628834</v>
      </c>
      <c r="E183" s="237">
        <f t="shared" ref="E183:E193" si="26">D183-C183</f>
        <v>159131</v>
      </c>
      <c r="F183" s="238">
        <f t="shared" ref="F183:F193" si="27">IF(C183=0,0,E183/C183)</f>
        <v>0.33879068262284889</v>
      </c>
    </row>
    <row r="184" spans="1:6" ht="20.25" customHeight="1" x14ac:dyDescent="0.3">
      <c r="A184" s="235">
        <v>2</v>
      </c>
      <c r="B184" s="236" t="s">
        <v>435</v>
      </c>
      <c r="C184" s="237">
        <v>146219</v>
      </c>
      <c r="D184" s="237">
        <v>306154</v>
      </c>
      <c r="E184" s="237">
        <f t="shared" si="26"/>
        <v>159935</v>
      </c>
      <c r="F184" s="238">
        <f t="shared" si="27"/>
        <v>1.0938044987313551</v>
      </c>
    </row>
    <row r="185" spans="1:6" ht="20.25" customHeight="1" x14ac:dyDescent="0.3">
      <c r="A185" s="235">
        <v>3</v>
      </c>
      <c r="B185" s="236" t="s">
        <v>436</v>
      </c>
      <c r="C185" s="237">
        <v>360191</v>
      </c>
      <c r="D185" s="237">
        <v>180734</v>
      </c>
      <c r="E185" s="237">
        <f t="shared" si="26"/>
        <v>-179457</v>
      </c>
      <c r="F185" s="238">
        <f t="shared" si="27"/>
        <v>-0.49822732938912967</v>
      </c>
    </row>
    <row r="186" spans="1:6" ht="20.25" customHeight="1" x14ac:dyDescent="0.3">
      <c r="A186" s="235">
        <v>4</v>
      </c>
      <c r="B186" s="236" t="s">
        <v>437</v>
      </c>
      <c r="C186" s="237">
        <v>70742</v>
      </c>
      <c r="D186" s="237">
        <v>46788</v>
      </c>
      <c r="E186" s="237">
        <f t="shared" si="26"/>
        <v>-23954</v>
      </c>
      <c r="F186" s="238">
        <f t="shared" si="27"/>
        <v>-0.3386107263012072</v>
      </c>
    </row>
    <row r="187" spans="1:6" ht="20.25" customHeight="1" x14ac:dyDescent="0.3">
      <c r="A187" s="235">
        <v>5</v>
      </c>
      <c r="B187" s="236" t="s">
        <v>373</v>
      </c>
      <c r="C187" s="239">
        <v>16</v>
      </c>
      <c r="D187" s="239">
        <v>19</v>
      </c>
      <c r="E187" s="239">
        <f t="shared" si="26"/>
        <v>3</v>
      </c>
      <c r="F187" s="238">
        <f t="shared" si="27"/>
        <v>0.1875</v>
      </c>
    </row>
    <row r="188" spans="1:6" ht="20.25" customHeight="1" x14ac:dyDescent="0.3">
      <c r="A188" s="235">
        <v>6</v>
      </c>
      <c r="B188" s="236" t="s">
        <v>372</v>
      </c>
      <c r="C188" s="239">
        <v>113</v>
      </c>
      <c r="D188" s="239">
        <v>170</v>
      </c>
      <c r="E188" s="239">
        <f t="shared" si="26"/>
        <v>57</v>
      </c>
      <c r="F188" s="238">
        <f t="shared" si="27"/>
        <v>0.50442477876106195</v>
      </c>
    </row>
    <row r="189" spans="1:6" ht="20.25" customHeight="1" x14ac:dyDescent="0.3">
      <c r="A189" s="235">
        <v>7</v>
      </c>
      <c r="B189" s="236" t="s">
        <v>438</v>
      </c>
      <c r="C189" s="239">
        <v>536</v>
      </c>
      <c r="D189" s="239">
        <v>617</v>
      </c>
      <c r="E189" s="239">
        <f t="shared" si="26"/>
        <v>81</v>
      </c>
      <c r="F189" s="238">
        <f t="shared" si="27"/>
        <v>0.15111940298507462</v>
      </c>
    </row>
    <row r="190" spans="1:6" ht="20.25" customHeight="1" x14ac:dyDescent="0.3">
      <c r="A190" s="235">
        <v>8</v>
      </c>
      <c r="B190" s="236" t="s">
        <v>439</v>
      </c>
      <c r="C190" s="239">
        <v>34</v>
      </c>
      <c r="D190" s="239">
        <v>32</v>
      </c>
      <c r="E190" s="239">
        <f t="shared" si="26"/>
        <v>-2</v>
      </c>
      <c r="F190" s="238">
        <f t="shared" si="27"/>
        <v>-5.8823529411764705E-2</v>
      </c>
    </row>
    <row r="191" spans="1:6" ht="20.25" customHeight="1" x14ac:dyDescent="0.3">
      <c r="A191" s="235">
        <v>9</v>
      </c>
      <c r="B191" s="236" t="s">
        <v>440</v>
      </c>
      <c r="C191" s="239">
        <v>16</v>
      </c>
      <c r="D191" s="239">
        <v>16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829894</v>
      </c>
      <c r="D192" s="243">
        <f>+D183+D185</f>
        <v>809568</v>
      </c>
      <c r="E192" s="243">
        <f t="shared" si="26"/>
        <v>-20326</v>
      </c>
      <c r="F192" s="244">
        <f t="shared" si="27"/>
        <v>-2.4492284556822921E-2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216961</v>
      </c>
      <c r="D193" s="243">
        <f>+D184+D186</f>
        <v>352942</v>
      </c>
      <c r="E193" s="243">
        <f t="shared" si="26"/>
        <v>135981</v>
      </c>
      <c r="F193" s="244">
        <f t="shared" si="27"/>
        <v>0.62675319527472684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6338778</v>
      </c>
      <c r="D198" s="243">
        <f t="shared" si="28"/>
        <v>7018090</v>
      </c>
      <c r="E198" s="243">
        <f t="shared" ref="E198:E208" si="29">D198-C198</f>
        <v>679312</v>
      </c>
      <c r="F198" s="251">
        <f t="shared" ref="F198:F208" si="30">IF(C198=0,0,E198/C198)</f>
        <v>0.10716765912925173</v>
      </c>
    </row>
    <row r="199" spans="1:9" ht="20.25" customHeight="1" x14ac:dyDescent="0.3">
      <c r="A199" s="249"/>
      <c r="B199" s="250" t="s">
        <v>461</v>
      </c>
      <c r="C199" s="243">
        <f t="shared" si="28"/>
        <v>1746428</v>
      </c>
      <c r="D199" s="243">
        <f t="shared" si="28"/>
        <v>2376878</v>
      </c>
      <c r="E199" s="243">
        <f t="shared" si="29"/>
        <v>630450</v>
      </c>
      <c r="F199" s="251">
        <f t="shared" si="30"/>
        <v>0.36099398314731557</v>
      </c>
    </row>
    <row r="200" spans="1:9" ht="20.25" customHeight="1" x14ac:dyDescent="0.3">
      <c r="A200" s="249"/>
      <c r="B200" s="250" t="s">
        <v>462</v>
      </c>
      <c r="C200" s="243">
        <f t="shared" si="28"/>
        <v>5963428</v>
      </c>
      <c r="D200" s="243">
        <f t="shared" si="28"/>
        <v>5734884</v>
      </c>
      <c r="E200" s="243">
        <f t="shared" si="29"/>
        <v>-228544</v>
      </c>
      <c r="F200" s="251">
        <f t="shared" si="30"/>
        <v>-3.8324265841727274E-2</v>
      </c>
    </row>
    <row r="201" spans="1:9" ht="20.25" customHeight="1" x14ac:dyDescent="0.3">
      <c r="A201" s="249"/>
      <c r="B201" s="250" t="s">
        <v>463</v>
      </c>
      <c r="C201" s="243">
        <f t="shared" si="28"/>
        <v>1182204</v>
      </c>
      <c r="D201" s="243">
        <f t="shared" si="28"/>
        <v>1589532</v>
      </c>
      <c r="E201" s="243">
        <f t="shared" si="29"/>
        <v>407328</v>
      </c>
      <c r="F201" s="251">
        <f t="shared" si="30"/>
        <v>0.344549671630277</v>
      </c>
    </row>
    <row r="202" spans="1:9" ht="20.25" customHeight="1" x14ac:dyDescent="0.3">
      <c r="A202" s="249"/>
      <c r="B202" s="250" t="s">
        <v>464</v>
      </c>
      <c r="C202" s="252">
        <f t="shared" si="28"/>
        <v>216</v>
      </c>
      <c r="D202" s="252">
        <f t="shared" si="28"/>
        <v>276</v>
      </c>
      <c r="E202" s="252">
        <f t="shared" si="29"/>
        <v>60</v>
      </c>
      <c r="F202" s="251">
        <f t="shared" si="30"/>
        <v>0.27777777777777779</v>
      </c>
    </row>
    <row r="203" spans="1:9" ht="20.25" customHeight="1" x14ac:dyDescent="0.3">
      <c r="A203" s="249"/>
      <c r="B203" s="250" t="s">
        <v>465</v>
      </c>
      <c r="C203" s="252">
        <f t="shared" si="28"/>
        <v>1170</v>
      </c>
      <c r="D203" s="252">
        <f t="shared" si="28"/>
        <v>1591</v>
      </c>
      <c r="E203" s="252">
        <f t="shared" si="29"/>
        <v>421</v>
      </c>
      <c r="F203" s="251">
        <f t="shared" si="30"/>
        <v>0.35982905982905983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4818</v>
      </c>
      <c r="D204" s="252">
        <f t="shared" si="28"/>
        <v>5877</v>
      </c>
      <c r="E204" s="252">
        <f t="shared" si="29"/>
        <v>1059</v>
      </c>
      <c r="F204" s="251">
        <f t="shared" si="30"/>
        <v>0.21980074719800746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473</v>
      </c>
      <c r="D205" s="252">
        <f t="shared" si="28"/>
        <v>539</v>
      </c>
      <c r="E205" s="252">
        <f t="shared" si="29"/>
        <v>66</v>
      </c>
      <c r="F205" s="251">
        <f t="shared" si="30"/>
        <v>0.13953488372093023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216</v>
      </c>
      <c r="D206" s="252">
        <f t="shared" si="28"/>
        <v>221</v>
      </c>
      <c r="E206" s="252">
        <f t="shared" si="29"/>
        <v>5</v>
      </c>
      <c r="F206" s="251">
        <f t="shared" si="30"/>
        <v>2.3148148148148147E-2</v>
      </c>
    </row>
    <row r="207" spans="1:9" ht="20.25" customHeight="1" x14ac:dyDescent="0.3">
      <c r="A207" s="249"/>
      <c r="B207" s="242" t="s">
        <v>469</v>
      </c>
      <c r="C207" s="243">
        <f>+C198+C200</f>
        <v>12302206</v>
      </c>
      <c r="D207" s="243">
        <f>+D198+D200</f>
        <v>12752974</v>
      </c>
      <c r="E207" s="243">
        <f t="shared" si="29"/>
        <v>450768</v>
      </c>
      <c r="F207" s="251">
        <f t="shared" si="30"/>
        <v>3.6641233287753434E-2</v>
      </c>
    </row>
    <row r="208" spans="1:9" ht="20.25" customHeight="1" x14ac:dyDescent="0.3">
      <c r="A208" s="249"/>
      <c r="B208" s="242" t="s">
        <v>470</v>
      </c>
      <c r="C208" s="243">
        <f>+C199+C201</f>
        <v>2928632</v>
      </c>
      <c r="D208" s="243">
        <f>+D199+D201</f>
        <v>3966410</v>
      </c>
      <c r="E208" s="243">
        <f t="shared" si="29"/>
        <v>1037778</v>
      </c>
      <c r="F208" s="251">
        <f t="shared" si="30"/>
        <v>0.35435589039524257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FILING&amp;RJOHNSON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319312</v>
      </c>
      <c r="D14" s="237">
        <v>470483</v>
      </c>
      <c r="E14" s="237">
        <f t="shared" ref="E14:E24" si="0">D14-C14</f>
        <v>151171</v>
      </c>
      <c r="F14" s="238">
        <f t="shared" ref="F14:F24" si="1">IF(C14=0,0,E14/C14)</f>
        <v>0.47342724357368343</v>
      </c>
    </row>
    <row r="15" spans="1:7" ht="20.25" customHeight="1" x14ac:dyDescent="0.3">
      <c r="A15" s="235">
        <v>2</v>
      </c>
      <c r="B15" s="236" t="s">
        <v>435</v>
      </c>
      <c r="C15" s="237">
        <v>50579</v>
      </c>
      <c r="D15" s="237">
        <v>160909</v>
      </c>
      <c r="E15" s="237">
        <f t="shared" si="0"/>
        <v>110330</v>
      </c>
      <c r="F15" s="238">
        <f t="shared" si="1"/>
        <v>2.1813400818521522</v>
      </c>
    </row>
    <row r="16" spans="1:7" ht="20.25" customHeight="1" x14ac:dyDescent="0.3">
      <c r="A16" s="235">
        <v>3</v>
      </c>
      <c r="B16" s="236" t="s">
        <v>436</v>
      </c>
      <c r="C16" s="237">
        <v>1513054</v>
      </c>
      <c r="D16" s="237">
        <v>112419</v>
      </c>
      <c r="E16" s="237">
        <f t="shared" si="0"/>
        <v>-1400635</v>
      </c>
      <c r="F16" s="238">
        <f t="shared" si="1"/>
        <v>-0.92570060288661216</v>
      </c>
    </row>
    <row r="17" spans="1:6" ht="20.25" customHeight="1" x14ac:dyDescent="0.3">
      <c r="A17" s="235">
        <v>4</v>
      </c>
      <c r="B17" s="236" t="s">
        <v>437</v>
      </c>
      <c r="C17" s="237">
        <v>349062</v>
      </c>
      <c r="D17" s="237">
        <v>13942</v>
      </c>
      <c r="E17" s="237">
        <f t="shared" si="0"/>
        <v>-335120</v>
      </c>
      <c r="F17" s="238">
        <f t="shared" si="1"/>
        <v>-0.96005867152540236</v>
      </c>
    </row>
    <row r="18" spans="1:6" ht="20.25" customHeight="1" x14ac:dyDescent="0.3">
      <c r="A18" s="235">
        <v>5</v>
      </c>
      <c r="B18" s="236" t="s">
        <v>373</v>
      </c>
      <c r="C18" s="239">
        <v>37</v>
      </c>
      <c r="D18" s="239">
        <v>36</v>
      </c>
      <c r="E18" s="239">
        <f t="shared" si="0"/>
        <v>-1</v>
      </c>
      <c r="F18" s="238">
        <f t="shared" si="1"/>
        <v>-2.7027027027027029E-2</v>
      </c>
    </row>
    <row r="19" spans="1:6" ht="20.25" customHeight="1" x14ac:dyDescent="0.3">
      <c r="A19" s="235">
        <v>6</v>
      </c>
      <c r="B19" s="236" t="s">
        <v>372</v>
      </c>
      <c r="C19" s="239">
        <v>84</v>
      </c>
      <c r="D19" s="239">
        <v>220</v>
      </c>
      <c r="E19" s="239">
        <f t="shared" si="0"/>
        <v>136</v>
      </c>
      <c r="F19" s="238">
        <f t="shared" si="1"/>
        <v>1.6190476190476191</v>
      </c>
    </row>
    <row r="20" spans="1:6" ht="20.25" customHeight="1" x14ac:dyDescent="0.3">
      <c r="A20" s="235">
        <v>7</v>
      </c>
      <c r="B20" s="236" t="s">
        <v>438</v>
      </c>
      <c r="C20" s="239">
        <v>662</v>
      </c>
      <c r="D20" s="239">
        <v>24</v>
      </c>
      <c r="E20" s="239">
        <f t="shared" si="0"/>
        <v>-638</v>
      </c>
      <c r="F20" s="238">
        <f t="shared" si="1"/>
        <v>-0.96374622356495465</v>
      </c>
    </row>
    <row r="21" spans="1:6" ht="20.25" customHeight="1" x14ac:dyDescent="0.3">
      <c r="A21" s="235">
        <v>8</v>
      </c>
      <c r="B21" s="236" t="s">
        <v>439</v>
      </c>
      <c r="C21" s="239">
        <v>432</v>
      </c>
      <c r="D21" s="239">
        <v>20</v>
      </c>
      <c r="E21" s="239">
        <f t="shared" si="0"/>
        <v>-412</v>
      </c>
      <c r="F21" s="238">
        <f t="shared" si="1"/>
        <v>-0.95370370370370372</v>
      </c>
    </row>
    <row r="22" spans="1:6" ht="20.25" customHeight="1" x14ac:dyDescent="0.3">
      <c r="A22" s="235">
        <v>9</v>
      </c>
      <c r="B22" s="236" t="s">
        <v>440</v>
      </c>
      <c r="C22" s="239">
        <v>25</v>
      </c>
      <c r="D22" s="239">
        <v>24</v>
      </c>
      <c r="E22" s="239">
        <f t="shared" si="0"/>
        <v>-1</v>
      </c>
      <c r="F22" s="238">
        <f t="shared" si="1"/>
        <v>-0.04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1832366</v>
      </c>
      <c r="D23" s="243">
        <f>+D14+D16</f>
        <v>582902</v>
      </c>
      <c r="E23" s="243">
        <f t="shared" si="0"/>
        <v>-1249464</v>
      </c>
      <c r="F23" s="244">
        <f t="shared" si="1"/>
        <v>-0.68188560582329072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399641</v>
      </c>
      <c r="D24" s="243">
        <f>+D15+D17</f>
        <v>174851</v>
      </c>
      <c r="E24" s="243">
        <f t="shared" si="0"/>
        <v>-224790</v>
      </c>
      <c r="F24" s="244">
        <f t="shared" si="1"/>
        <v>-0.56247982564351506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1361389</v>
      </c>
      <c r="D26" s="237">
        <v>1704664</v>
      </c>
      <c r="E26" s="237">
        <f t="shared" ref="E26:E36" si="2">D26-C26</f>
        <v>343275</v>
      </c>
      <c r="F26" s="238">
        <f t="shared" ref="F26:F36" si="3">IF(C26=0,0,E26/C26)</f>
        <v>0.25215056093445737</v>
      </c>
    </row>
    <row r="27" spans="1:6" ht="20.25" customHeight="1" x14ac:dyDescent="0.3">
      <c r="A27" s="235">
        <v>2</v>
      </c>
      <c r="B27" s="236" t="s">
        <v>435</v>
      </c>
      <c r="C27" s="237">
        <v>373565</v>
      </c>
      <c r="D27" s="237">
        <v>523477</v>
      </c>
      <c r="E27" s="237">
        <f t="shared" si="2"/>
        <v>149912</v>
      </c>
      <c r="F27" s="238">
        <f t="shared" si="3"/>
        <v>0.40130097841071832</v>
      </c>
    </row>
    <row r="28" spans="1:6" ht="20.25" customHeight="1" x14ac:dyDescent="0.3">
      <c r="A28" s="235">
        <v>3</v>
      </c>
      <c r="B28" s="236" t="s">
        <v>436</v>
      </c>
      <c r="C28" s="237">
        <v>3062151</v>
      </c>
      <c r="D28" s="237">
        <v>3367420</v>
      </c>
      <c r="E28" s="237">
        <f t="shared" si="2"/>
        <v>305269</v>
      </c>
      <c r="F28" s="238">
        <f t="shared" si="3"/>
        <v>9.9691034178262278E-2</v>
      </c>
    </row>
    <row r="29" spans="1:6" ht="20.25" customHeight="1" x14ac:dyDescent="0.3">
      <c r="A29" s="235">
        <v>4</v>
      </c>
      <c r="B29" s="236" t="s">
        <v>437</v>
      </c>
      <c r="C29" s="237">
        <v>755127</v>
      </c>
      <c r="D29" s="237">
        <v>965432</v>
      </c>
      <c r="E29" s="237">
        <f t="shared" si="2"/>
        <v>210305</v>
      </c>
      <c r="F29" s="238">
        <f t="shared" si="3"/>
        <v>0.27850282137971494</v>
      </c>
    </row>
    <row r="30" spans="1:6" ht="20.25" customHeight="1" x14ac:dyDescent="0.3">
      <c r="A30" s="235">
        <v>5</v>
      </c>
      <c r="B30" s="236" t="s">
        <v>373</v>
      </c>
      <c r="C30" s="239">
        <v>165</v>
      </c>
      <c r="D30" s="239">
        <v>222</v>
      </c>
      <c r="E30" s="239">
        <f t="shared" si="2"/>
        <v>57</v>
      </c>
      <c r="F30" s="238">
        <f t="shared" si="3"/>
        <v>0.34545454545454546</v>
      </c>
    </row>
    <row r="31" spans="1:6" ht="20.25" customHeight="1" x14ac:dyDescent="0.3">
      <c r="A31" s="235">
        <v>6</v>
      </c>
      <c r="B31" s="236" t="s">
        <v>372</v>
      </c>
      <c r="C31" s="239">
        <v>442</v>
      </c>
      <c r="D31" s="239">
        <v>527</v>
      </c>
      <c r="E31" s="239">
        <f t="shared" si="2"/>
        <v>85</v>
      </c>
      <c r="F31" s="238">
        <f t="shared" si="3"/>
        <v>0.19230769230769232</v>
      </c>
    </row>
    <row r="32" spans="1:6" ht="20.25" customHeight="1" x14ac:dyDescent="0.3">
      <c r="A32" s="235">
        <v>7</v>
      </c>
      <c r="B32" s="236" t="s">
        <v>438</v>
      </c>
      <c r="C32" s="239">
        <v>1586</v>
      </c>
      <c r="D32" s="239">
        <v>2652</v>
      </c>
      <c r="E32" s="239">
        <f t="shared" si="2"/>
        <v>1066</v>
      </c>
      <c r="F32" s="238">
        <f t="shared" si="3"/>
        <v>0.67213114754098358</v>
      </c>
    </row>
    <row r="33" spans="1:6" ht="20.25" customHeight="1" x14ac:dyDescent="0.3">
      <c r="A33" s="235">
        <v>8</v>
      </c>
      <c r="B33" s="236" t="s">
        <v>439</v>
      </c>
      <c r="C33" s="239">
        <v>1039</v>
      </c>
      <c r="D33" s="239">
        <v>1567</v>
      </c>
      <c r="E33" s="239">
        <f t="shared" si="2"/>
        <v>528</v>
      </c>
      <c r="F33" s="238">
        <f t="shared" si="3"/>
        <v>0.50818094321462948</v>
      </c>
    </row>
    <row r="34" spans="1:6" ht="20.25" customHeight="1" x14ac:dyDescent="0.3">
      <c r="A34" s="235">
        <v>9</v>
      </c>
      <c r="B34" s="236" t="s">
        <v>440</v>
      </c>
      <c r="C34" s="239">
        <v>17</v>
      </c>
      <c r="D34" s="239">
        <v>12</v>
      </c>
      <c r="E34" s="239">
        <f t="shared" si="2"/>
        <v>-5</v>
      </c>
      <c r="F34" s="238">
        <f t="shared" si="3"/>
        <v>-0.29411764705882354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4423540</v>
      </c>
      <c r="D35" s="243">
        <f>+D26+D28</f>
        <v>5072084</v>
      </c>
      <c r="E35" s="243">
        <f t="shared" si="2"/>
        <v>648544</v>
      </c>
      <c r="F35" s="244">
        <f t="shared" si="3"/>
        <v>0.14661198949257834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1128692</v>
      </c>
      <c r="D36" s="243">
        <f>+D27+D29</f>
        <v>1488909</v>
      </c>
      <c r="E36" s="243">
        <f t="shared" si="2"/>
        <v>360217</v>
      </c>
      <c r="F36" s="244">
        <f t="shared" si="3"/>
        <v>0.31914552419969311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3466</v>
      </c>
      <c r="D40" s="237">
        <v>49673</v>
      </c>
      <c r="E40" s="237">
        <f t="shared" si="4"/>
        <v>46207</v>
      </c>
      <c r="F40" s="238">
        <f t="shared" si="5"/>
        <v>13.331506058857473</v>
      </c>
    </row>
    <row r="41" spans="1:6" ht="20.25" customHeight="1" x14ac:dyDescent="0.3">
      <c r="A41" s="235">
        <v>4</v>
      </c>
      <c r="B41" s="236" t="s">
        <v>437</v>
      </c>
      <c r="C41" s="237">
        <v>431</v>
      </c>
      <c r="D41" s="237">
        <v>6226</v>
      </c>
      <c r="E41" s="237">
        <f t="shared" si="4"/>
        <v>5795</v>
      </c>
      <c r="F41" s="238">
        <f t="shared" si="5"/>
        <v>13.445475638051045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8</v>
      </c>
      <c r="D44" s="239">
        <v>1</v>
      </c>
      <c r="E44" s="239">
        <f t="shared" si="4"/>
        <v>-7</v>
      </c>
      <c r="F44" s="238">
        <f t="shared" si="5"/>
        <v>-0.875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53</v>
      </c>
      <c r="E45" s="239">
        <f t="shared" si="4"/>
        <v>53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3466</v>
      </c>
      <c r="D47" s="243">
        <f>+D38+D40</f>
        <v>49673</v>
      </c>
      <c r="E47" s="243">
        <f t="shared" si="4"/>
        <v>46207</v>
      </c>
      <c r="F47" s="244">
        <f t="shared" si="5"/>
        <v>13.331506058857473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431</v>
      </c>
      <c r="D48" s="243">
        <f>+D39+D41</f>
        <v>6226</v>
      </c>
      <c r="E48" s="243">
        <f t="shared" si="4"/>
        <v>5795</v>
      </c>
      <c r="F48" s="244">
        <f t="shared" si="5"/>
        <v>13.445475638051045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1121597</v>
      </c>
      <c r="D50" s="237">
        <v>408985</v>
      </c>
      <c r="E50" s="237">
        <f t="shared" ref="E50:E60" si="6">D50-C50</f>
        <v>-712612</v>
      </c>
      <c r="F50" s="238">
        <f t="shared" ref="F50:F60" si="7">IF(C50=0,0,E50/C50)</f>
        <v>-0.6353547664624638</v>
      </c>
    </row>
    <row r="51" spans="1:6" ht="20.25" customHeight="1" x14ac:dyDescent="0.3">
      <c r="A51" s="235">
        <v>2</v>
      </c>
      <c r="B51" s="236" t="s">
        <v>435</v>
      </c>
      <c r="C51" s="237">
        <v>275352</v>
      </c>
      <c r="D51" s="237">
        <v>89634</v>
      </c>
      <c r="E51" s="237">
        <f t="shared" si="6"/>
        <v>-185718</v>
      </c>
      <c r="F51" s="238">
        <f t="shared" si="7"/>
        <v>-0.67447485400505536</v>
      </c>
    </row>
    <row r="52" spans="1:6" ht="20.25" customHeight="1" x14ac:dyDescent="0.3">
      <c r="A52" s="235">
        <v>3</v>
      </c>
      <c r="B52" s="236" t="s">
        <v>436</v>
      </c>
      <c r="C52" s="237">
        <v>574586</v>
      </c>
      <c r="D52" s="237">
        <v>623067</v>
      </c>
      <c r="E52" s="237">
        <f t="shared" si="6"/>
        <v>48481</v>
      </c>
      <c r="F52" s="238">
        <f t="shared" si="7"/>
        <v>8.4375532992450222E-2</v>
      </c>
    </row>
    <row r="53" spans="1:6" ht="20.25" customHeight="1" x14ac:dyDescent="0.3">
      <c r="A53" s="235">
        <v>4</v>
      </c>
      <c r="B53" s="236" t="s">
        <v>437</v>
      </c>
      <c r="C53" s="237">
        <v>60675</v>
      </c>
      <c r="D53" s="237">
        <v>310605</v>
      </c>
      <c r="E53" s="237">
        <f t="shared" si="6"/>
        <v>249930</v>
      </c>
      <c r="F53" s="238">
        <f t="shared" si="7"/>
        <v>4.1191594561186653</v>
      </c>
    </row>
    <row r="54" spans="1:6" ht="20.25" customHeight="1" x14ac:dyDescent="0.3">
      <c r="A54" s="235">
        <v>5</v>
      </c>
      <c r="B54" s="236" t="s">
        <v>373</v>
      </c>
      <c r="C54" s="239">
        <v>58</v>
      </c>
      <c r="D54" s="239">
        <v>34</v>
      </c>
      <c r="E54" s="239">
        <f t="shared" si="6"/>
        <v>-24</v>
      </c>
      <c r="F54" s="238">
        <f t="shared" si="7"/>
        <v>-0.41379310344827586</v>
      </c>
    </row>
    <row r="55" spans="1:6" ht="20.25" customHeight="1" x14ac:dyDescent="0.3">
      <c r="A55" s="235">
        <v>6</v>
      </c>
      <c r="B55" s="236" t="s">
        <v>372</v>
      </c>
      <c r="C55" s="239">
        <v>358</v>
      </c>
      <c r="D55" s="239">
        <v>171</v>
      </c>
      <c r="E55" s="239">
        <f t="shared" si="6"/>
        <v>-187</v>
      </c>
      <c r="F55" s="238">
        <f t="shared" si="7"/>
        <v>-0.52234636871508378</v>
      </c>
    </row>
    <row r="56" spans="1:6" ht="20.25" customHeight="1" x14ac:dyDescent="0.3">
      <c r="A56" s="235">
        <v>7</v>
      </c>
      <c r="B56" s="236" t="s">
        <v>438</v>
      </c>
      <c r="C56" s="239">
        <v>104</v>
      </c>
      <c r="D56" s="239">
        <v>56</v>
      </c>
      <c r="E56" s="239">
        <f t="shared" si="6"/>
        <v>-48</v>
      </c>
      <c r="F56" s="238">
        <f t="shared" si="7"/>
        <v>-0.46153846153846156</v>
      </c>
    </row>
    <row r="57" spans="1:6" ht="20.25" customHeight="1" x14ac:dyDescent="0.3">
      <c r="A57" s="235">
        <v>8</v>
      </c>
      <c r="B57" s="236" t="s">
        <v>439</v>
      </c>
      <c r="C57" s="239">
        <v>275</v>
      </c>
      <c r="D57" s="239">
        <v>291</v>
      </c>
      <c r="E57" s="239">
        <f t="shared" si="6"/>
        <v>16</v>
      </c>
      <c r="F57" s="238">
        <f t="shared" si="7"/>
        <v>5.8181818181818182E-2</v>
      </c>
    </row>
    <row r="58" spans="1:6" ht="20.25" customHeight="1" x14ac:dyDescent="0.3">
      <c r="A58" s="235">
        <v>9</v>
      </c>
      <c r="B58" s="236" t="s">
        <v>440</v>
      </c>
      <c r="C58" s="239">
        <v>58</v>
      </c>
      <c r="D58" s="239">
        <v>28</v>
      </c>
      <c r="E58" s="239">
        <f t="shared" si="6"/>
        <v>-30</v>
      </c>
      <c r="F58" s="238">
        <f t="shared" si="7"/>
        <v>-0.51724137931034486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1696183</v>
      </c>
      <c r="D59" s="243">
        <f>+D50+D52</f>
        <v>1032052</v>
      </c>
      <c r="E59" s="243">
        <f t="shared" si="6"/>
        <v>-664131</v>
      </c>
      <c r="F59" s="244">
        <f t="shared" si="7"/>
        <v>-0.39154442651529936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336027</v>
      </c>
      <c r="D60" s="243">
        <f>+D51+D53</f>
        <v>400239</v>
      </c>
      <c r="E60" s="243">
        <f t="shared" si="6"/>
        <v>64212</v>
      </c>
      <c r="F60" s="244">
        <f t="shared" si="7"/>
        <v>0.19109178726709461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92157</v>
      </c>
      <c r="D86" s="237">
        <v>189053</v>
      </c>
      <c r="E86" s="237">
        <f t="shared" ref="E86:E96" si="12">D86-C86</f>
        <v>96896</v>
      </c>
      <c r="F86" s="238">
        <f t="shared" ref="F86:F96" si="13">IF(C86=0,0,E86/C86)</f>
        <v>1.0514231149017437</v>
      </c>
    </row>
    <row r="87" spans="1:6" ht="20.25" customHeight="1" x14ac:dyDescent="0.3">
      <c r="A87" s="235">
        <v>2</v>
      </c>
      <c r="B87" s="236" t="s">
        <v>435</v>
      </c>
      <c r="C87" s="237">
        <v>24127</v>
      </c>
      <c r="D87" s="237">
        <v>38095</v>
      </c>
      <c r="E87" s="237">
        <f t="shared" si="12"/>
        <v>13968</v>
      </c>
      <c r="F87" s="238">
        <f t="shared" si="13"/>
        <v>0.57893646122601239</v>
      </c>
    </row>
    <row r="88" spans="1:6" ht="20.25" customHeight="1" x14ac:dyDescent="0.3">
      <c r="A88" s="235">
        <v>3</v>
      </c>
      <c r="B88" s="236" t="s">
        <v>436</v>
      </c>
      <c r="C88" s="237">
        <v>546862</v>
      </c>
      <c r="D88" s="237">
        <v>766036</v>
      </c>
      <c r="E88" s="237">
        <f t="shared" si="12"/>
        <v>219174</v>
      </c>
      <c r="F88" s="238">
        <f t="shared" si="13"/>
        <v>0.40078484151394683</v>
      </c>
    </row>
    <row r="89" spans="1:6" ht="20.25" customHeight="1" x14ac:dyDescent="0.3">
      <c r="A89" s="235">
        <v>4</v>
      </c>
      <c r="B89" s="236" t="s">
        <v>437</v>
      </c>
      <c r="C89" s="237">
        <v>141583</v>
      </c>
      <c r="D89" s="237">
        <v>174987</v>
      </c>
      <c r="E89" s="237">
        <f t="shared" si="12"/>
        <v>33404</v>
      </c>
      <c r="F89" s="238">
        <f t="shared" si="13"/>
        <v>0.23593228000536787</v>
      </c>
    </row>
    <row r="90" spans="1:6" ht="20.25" customHeight="1" x14ac:dyDescent="0.3">
      <c r="A90" s="235">
        <v>5</v>
      </c>
      <c r="B90" s="236" t="s">
        <v>373</v>
      </c>
      <c r="C90" s="239">
        <v>12</v>
      </c>
      <c r="D90" s="239">
        <v>16</v>
      </c>
      <c r="E90" s="239">
        <f t="shared" si="12"/>
        <v>4</v>
      </c>
      <c r="F90" s="238">
        <f t="shared" si="13"/>
        <v>0.33333333333333331</v>
      </c>
    </row>
    <row r="91" spans="1:6" ht="20.25" customHeight="1" x14ac:dyDescent="0.3">
      <c r="A91" s="235">
        <v>6</v>
      </c>
      <c r="B91" s="236" t="s">
        <v>372</v>
      </c>
      <c r="C91" s="239">
        <v>32</v>
      </c>
      <c r="D91" s="239">
        <v>41</v>
      </c>
      <c r="E91" s="239">
        <f t="shared" si="12"/>
        <v>9</v>
      </c>
      <c r="F91" s="238">
        <f t="shared" si="13"/>
        <v>0.28125</v>
      </c>
    </row>
    <row r="92" spans="1:6" ht="20.25" customHeight="1" x14ac:dyDescent="0.3">
      <c r="A92" s="235">
        <v>7</v>
      </c>
      <c r="B92" s="236" t="s">
        <v>438</v>
      </c>
      <c r="C92" s="239">
        <v>222</v>
      </c>
      <c r="D92" s="239">
        <v>396</v>
      </c>
      <c r="E92" s="239">
        <f t="shared" si="12"/>
        <v>174</v>
      </c>
      <c r="F92" s="238">
        <f t="shared" si="13"/>
        <v>0.78378378378378377</v>
      </c>
    </row>
    <row r="93" spans="1:6" ht="20.25" customHeight="1" x14ac:dyDescent="0.3">
      <c r="A93" s="235">
        <v>8</v>
      </c>
      <c r="B93" s="236" t="s">
        <v>439</v>
      </c>
      <c r="C93" s="239">
        <v>223</v>
      </c>
      <c r="D93" s="239">
        <v>354</v>
      </c>
      <c r="E93" s="239">
        <f t="shared" si="12"/>
        <v>131</v>
      </c>
      <c r="F93" s="238">
        <f t="shared" si="13"/>
        <v>0.58744394618834084</v>
      </c>
    </row>
    <row r="94" spans="1:6" ht="20.25" customHeight="1" x14ac:dyDescent="0.3">
      <c r="A94" s="235">
        <v>9</v>
      </c>
      <c r="B94" s="236" t="s">
        <v>440</v>
      </c>
      <c r="C94" s="239">
        <v>2</v>
      </c>
      <c r="D94" s="239">
        <v>0</v>
      </c>
      <c r="E94" s="239">
        <f t="shared" si="12"/>
        <v>-2</v>
      </c>
      <c r="F94" s="238">
        <f t="shared" si="13"/>
        <v>-1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639019</v>
      </c>
      <c r="D95" s="243">
        <f>+D86+D88</f>
        <v>955089</v>
      </c>
      <c r="E95" s="243">
        <f t="shared" si="12"/>
        <v>316070</v>
      </c>
      <c r="F95" s="244">
        <f t="shared" si="13"/>
        <v>0.49461753093413496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165710</v>
      </c>
      <c r="D96" s="243">
        <f>+D87+D89</f>
        <v>213082</v>
      </c>
      <c r="E96" s="243">
        <f t="shared" si="12"/>
        <v>47372</v>
      </c>
      <c r="F96" s="244">
        <f t="shared" si="13"/>
        <v>0.2858729105063062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187703</v>
      </c>
      <c r="D98" s="237">
        <v>319774</v>
      </c>
      <c r="E98" s="237">
        <f t="shared" ref="E98:E108" si="14">D98-C98</f>
        <v>132071</v>
      </c>
      <c r="F98" s="238">
        <f t="shared" ref="F98:F108" si="15">IF(C98=0,0,E98/C98)</f>
        <v>0.70361688412012591</v>
      </c>
    </row>
    <row r="99" spans="1:7" ht="20.25" customHeight="1" x14ac:dyDescent="0.3">
      <c r="A99" s="235">
        <v>2</v>
      </c>
      <c r="B99" s="236" t="s">
        <v>435</v>
      </c>
      <c r="C99" s="237">
        <v>21023</v>
      </c>
      <c r="D99" s="237">
        <v>56326</v>
      </c>
      <c r="E99" s="237">
        <f t="shared" si="14"/>
        <v>35303</v>
      </c>
      <c r="F99" s="238">
        <f t="shared" si="15"/>
        <v>1.6792560528944489</v>
      </c>
    </row>
    <row r="100" spans="1:7" ht="20.25" customHeight="1" x14ac:dyDescent="0.3">
      <c r="A100" s="235">
        <v>3</v>
      </c>
      <c r="B100" s="236" t="s">
        <v>436</v>
      </c>
      <c r="C100" s="237">
        <v>1230959</v>
      </c>
      <c r="D100" s="237">
        <v>1523689</v>
      </c>
      <c r="E100" s="237">
        <f t="shared" si="14"/>
        <v>292730</v>
      </c>
      <c r="F100" s="238">
        <f t="shared" si="15"/>
        <v>0.23780645821672372</v>
      </c>
    </row>
    <row r="101" spans="1:7" ht="20.25" customHeight="1" x14ac:dyDescent="0.3">
      <c r="A101" s="235">
        <v>4</v>
      </c>
      <c r="B101" s="236" t="s">
        <v>437</v>
      </c>
      <c r="C101" s="237">
        <v>307863</v>
      </c>
      <c r="D101" s="237">
        <v>361766</v>
      </c>
      <c r="E101" s="237">
        <f t="shared" si="14"/>
        <v>53903</v>
      </c>
      <c r="F101" s="238">
        <f t="shared" si="15"/>
        <v>0.17508762014272583</v>
      </c>
    </row>
    <row r="102" spans="1:7" ht="20.25" customHeight="1" x14ac:dyDescent="0.3">
      <c r="A102" s="235">
        <v>5</v>
      </c>
      <c r="B102" s="236" t="s">
        <v>373</v>
      </c>
      <c r="C102" s="239">
        <v>13</v>
      </c>
      <c r="D102" s="239">
        <v>19</v>
      </c>
      <c r="E102" s="239">
        <f t="shared" si="14"/>
        <v>6</v>
      </c>
      <c r="F102" s="238">
        <f t="shared" si="15"/>
        <v>0.46153846153846156</v>
      </c>
    </row>
    <row r="103" spans="1:7" ht="20.25" customHeight="1" x14ac:dyDescent="0.3">
      <c r="A103" s="235">
        <v>6</v>
      </c>
      <c r="B103" s="236" t="s">
        <v>372</v>
      </c>
      <c r="C103" s="239">
        <v>46</v>
      </c>
      <c r="D103" s="239">
        <v>75</v>
      </c>
      <c r="E103" s="239">
        <f t="shared" si="14"/>
        <v>29</v>
      </c>
      <c r="F103" s="238">
        <f t="shared" si="15"/>
        <v>0.63043478260869568</v>
      </c>
    </row>
    <row r="104" spans="1:7" ht="20.25" customHeight="1" x14ac:dyDescent="0.3">
      <c r="A104" s="235">
        <v>7</v>
      </c>
      <c r="B104" s="236" t="s">
        <v>438</v>
      </c>
      <c r="C104" s="239">
        <v>351</v>
      </c>
      <c r="D104" s="239">
        <v>638</v>
      </c>
      <c r="E104" s="239">
        <f t="shared" si="14"/>
        <v>287</v>
      </c>
      <c r="F104" s="238">
        <f t="shared" si="15"/>
        <v>0.81766381766381768</v>
      </c>
    </row>
    <row r="105" spans="1:7" ht="20.25" customHeight="1" x14ac:dyDescent="0.3">
      <c r="A105" s="235">
        <v>8</v>
      </c>
      <c r="B105" s="236" t="s">
        <v>439</v>
      </c>
      <c r="C105" s="239">
        <v>502</v>
      </c>
      <c r="D105" s="239">
        <v>663</v>
      </c>
      <c r="E105" s="239">
        <f t="shared" si="14"/>
        <v>161</v>
      </c>
      <c r="F105" s="238">
        <f t="shared" si="15"/>
        <v>0.32071713147410358</v>
      </c>
    </row>
    <row r="106" spans="1:7" ht="20.25" customHeight="1" x14ac:dyDescent="0.3">
      <c r="A106" s="235">
        <v>9</v>
      </c>
      <c r="B106" s="236" t="s">
        <v>440</v>
      </c>
      <c r="C106" s="239">
        <v>13</v>
      </c>
      <c r="D106" s="239">
        <v>14</v>
      </c>
      <c r="E106" s="239">
        <f t="shared" si="14"/>
        <v>1</v>
      </c>
      <c r="F106" s="238">
        <f t="shared" si="15"/>
        <v>7.6923076923076927E-2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1418662</v>
      </c>
      <c r="D107" s="243">
        <f>+D98+D100</f>
        <v>1843463</v>
      </c>
      <c r="E107" s="243">
        <f t="shared" si="14"/>
        <v>424801</v>
      </c>
      <c r="F107" s="244">
        <f t="shared" si="15"/>
        <v>0.29943778010547967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328886</v>
      </c>
      <c r="D108" s="243">
        <f>+D99+D101</f>
        <v>418092</v>
      </c>
      <c r="E108" s="243">
        <f t="shared" si="14"/>
        <v>89206</v>
      </c>
      <c r="F108" s="244">
        <f t="shared" si="15"/>
        <v>0.27123684194523329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3082158</v>
      </c>
      <c r="D112" s="243">
        <f t="shared" si="16"/>
        <v>3092959</v>
      </c>
      <c r="E112" s="243">
        <f t="shared" ref="E112:E122" si="17">D112-C112</f>
        <v>10801</v>
      </c>
      <c r="F112" s="244">
        <f t="shared" ref="F112:F122" si="18">IF(C112=0,0,E112/C112)</f>
        <v>3.5043628522613054E-3</v>
      </c>
    </row>
    <row r="113" spans="1:6" ht="20.25" customHeight="1" x14ac:dyDescent="0.3">
      <c r="A113" s="249"/>
      <c r="B113" s="250" t="s">
        <v>461</v>
      </c>
      <c r="C113" s="243">
        <f t="shared" si="16"/>
        <v>744646</v>
      </c>
      <c r="D113" s="243">
        <f t="shared" si="16"/>
        <v>868441</v>
      </c>
      <c r="E113" s="243">
        <f t="shared" si="17"/>
        <v>123795</v>
      </c>
      <c r="F113" s="244">
        <f t="shared" si="18"/>
        <v>0.16624678034932036</v>
      </c>
    </row>
    <row r="114" spans="1:6" ht="20.25" customHeight="1" x14ac:dyDescent="0.3">
      <c r="A114" s="249"/>
      <c r="B114" s="250" t="s">
        <v>462</v>
      </c>
      <c r="C114" s="243">
        <f t="shared" si="16"/>
        <v>6931078</v>
      </c>
      <c r="D114" s="243">
        <f t="shared" si="16"/>
        <v>6442304</v>
      </c>
      <c r="E114" s="243">
        <f t="shared" si="17"/>
        <v>-488774</v>
      </c>
      <c r="F114" s="244">
        <f t="shared" si="18"/>
        <v>-7.0519189078524294E-2</v>
      </c>
    </row>
    <row r="115" spans="1:6" ht="20.25" customHeight="1" x14ac:dyDescent="0.3">
      <c r="A115" s="249"/>
      <c r="B115" s="250" t="s">
        <v>463</v>
      </c>
      <c r="C115" s="243">
        <f t="shared" si="16"/>
        <v>1614741</v>
      </c>
      <c r="D115" s="243">
        <f t="shared" si="16"/>
        <v>1832958</v>
      </c>
      <c r="E115" s="243">
        <f t="shared" si="17"/>
        <v>218217</v>
      </c>
      <c r="F115" s="244">
        <f t="shared" si="18"/>
        <v>0.13514055814523815</v>
      </c>
    </row>
    <row r="116" spans="1:6" ht="20.25" customHeight="1" x14ac:dyDescent="0.3">
      <c r="A116" s="249"/>
      <c r="B116" s="250" t="s">
        <v>464</v>
      </c>
      <c r="C116" s="252">
        <f t="shared" si="16"/>
        <v>285</v>
      </c>
      <c r="D116" s="252">
        <f t="shared" si="16"/>
        <v>327</v>
      </c>
      <c r="E116" s="252">
        <f t="shared" si="17"/>
        <v>42</v>
      </c>
      <c r="F116" s="244">
        <f t="shared" si="18"/>
        <v>0.14736842105263157</v>
      </c>
    </row>
    <row r="117" spans="1:6" ht="20.25" customHeight="1" x14ac:dyDescent="0.3">
      <c r="A117" s="249"/>
      <c r="B117" s="250" t="s">
        <v>465</v>
      </c>
      <c r="C117" s="252">
        <f t="shared" si="16"/>
        <v>962</v>
      </c>
      <c r="D117" s="252">
        <f t="shared" si="16"/>
        <v>1034</v>
      </c>
      <c r="E117" s="252">
        <f t="shared" si="17"/>
        <v>72</v>
      </c>
      <c r="F117" s="244">
        <f t="shared" si="18"/>
        <v>7.4844074844074848E-2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2933</v>
      </c>
      <c r="D118" s="252">
        <f t="shared" si="16"/>
        <v>3767</v>
      </c>
      <c r="E118" s="252">
        <f t="shared" si="17"/>
        <v>834</v>
      </c>
      <c r="F118" s="244">
        <f t="shared" si="18"/>
        <v>0.28435049437436072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2471</v>
      </c>
      <c r="D119" s="252">
        <f t="shared" si="16"/>
        <v>2948</v>
      </c>
      <c r="E119" s="252">
        <f t="shared" si="17"/>
        <v>477</v>
      </c>
      <c r="F119" s="244">
        <f t="shared" si="18"/>
        <v>0.19303925536220154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115</v>
      </c>
      <c r="D120" s="252">
        <f t="shared" si="16"/>
        <v>78</v>
      </c>
      <c r="E120" s="252">
        <f t="shared" si="17"/>
        <v>-37</v>
      </c>
      <c r="F120" s="244">
        <f t="shared" si="18"/>
        <v>-0.32173913043478258</v>
      </c>
    </row>
    <row r="121" spans="1:6" ht="39.950000000000003" customHeight="1" x14ac:dyDescent="0.3">
      <c r="A121" s="249"/>
      <c r="B121" s="242" t="s">
        <v>441</v>
      </c>
      <c r="C121" s="243">
        <f>+C112+C114</f>
        <v>10013236</v>
      </c>
      <c r="D121" s="243">
        <f>+D112+D114</f>
        <v>9535263</v>
      </c>
      <c r="E121" s="243">
        <f t="shared" si="17"/>
        <v>-477973</v>
      </c>
      <c r="F121" s="244">
        <f t="shared" si="18"/>
        <v>-4.7734119119932854E-2</v>
      </c>
    </row>
    <row r="122" spans="1:6" ht="39.950000000000003" customHeight="1" x14ac:dyDescent="0.3">
      <c r="A122" s="249"/>
      <c r="B122" s="242" t="s">
        <v>470</v>
      </c>
      <c r="C122" s="243">
        <f>+C113+C115</f>
        <v>2359387</v>
      </c>
      <c r="D122" s="243">
        <f>+D113+D115</f>
        <v>2701399</v>
      </c>
      <c r="E122" s="243">
        <f t="shared" si="17"/>
        <v>342012</v>
      </c>
      <c r="F122" s="244">
        <f t="shared" si="18"/>
        <v>0.14495799120703809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FILING&amp;RJOHNSON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5924225</v>
      </c>
      <c r="E13" s="23">
        <f t="shared" ref="E13:E22" si="0">D13-C13</f>
        <v>5924225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0</v>
      </c>
      <c r="D15" s="23">
        <v>11276872</v>
      </c>
      <c r="E15" s="23">
        <f t="shared" si="0"/>
        <v>11276872</v>
      </c>
      <c r="F15" s="24">
        <f t="shared" si="1"/>
        <v>0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168575</v>
      </c>
      <c r="E17" s="23">
        <f t="shared" si="0"/>
        <v>168575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1191702</v>
      </c>
      <c r="E19" s="23">
        <f t="shared" si="0"/>
        <v>1191702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1660331</v>
      </c>
      <c r="E20" s="23">
        <f t="shared" si="0"/>
        <v>1660331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481512</v>
      </c>
      <c r="E21" s="23">
        <f t="shared" si="0"/>
        <v>481512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0</v>
      </c>
      <c r="D22" s="27">
        <f>SUM(D13:D21)</f>
        <v>20703217</v>
      </c>
      <c r="E22" s="27">
        <f t="shared" si="0"/>
        <v>20703217</v>
      </c>
      <c r="F22" s="28">
        <f t="shared" si="1"/>
        <v>0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4124507</v>
      </c>
      <c r="E25" s="23">
        <f>D25-C25</f>
        <v>4124507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0</v>
      </c>
      <c r="D29" s="27">
        <f>SUM(D25:D28)</f>
        <v>4124507</v>
      </c>
      <c r="E29" s="27">
        <f>D29-C29</f>
        <v>4124507</v>
      </c>
      <c r="F29" s="28">
        <f>IF(C29=0,0,E29/C29)</f>
        <v>0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3065208</v>
      </c>
      <c r="E32" s="23">
        <f>D32-C32</f>
        <v>3065208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0</v>
      </c>
      <c r="D33" s="23">
        <v>1440949</v>
      </c>
      <c r="E33" s="23">
        <f>D33-C33</f>
        <v>1440949</v>
      </c>
      <c r="F33" s="24">
        <f>IF(C33=0,0,E33/C33)</f>
        <v>0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0</v>
      </c>
      <c r="D36" s="23">
        <v>88785708</v>
      </c>
      <c r="E36" s="23">
        <f>D36-C36</f>
        <v>88785708</v>
      </c>
      <c r="F36" s="24">
        <f>IF(C36=0,0,E36/C36)</f>
        <v>0</v>
      </c>
    </row>
    <row r="37" spans="1:8" ht="24" customHeight="1" x14ac:dyDescent="0.2">
      <c r="A37" s="21">
        <v>2</v>
      </c>
      <c r="B37" s="22" t="s">
        <v>39</v>
      </c>
      <c r="C37" s="23">
        <v>0</v>
      </c>
      <c r="D37" s="23">
        <v>49297688</v>
      </c>
      <c r="E37" s="23">
        <f>D37-C37</f>
        <v>49297688</v>
      </c>
      <c r="F37" s="23">
        <f>IF(C37=0,0,E37/C37)</f>
        <v>0</v>
      </c>
    </row>
    <row r="38" spans="1:8" ht="24" customHeight="1" x14ac:dyDescent="0.25">
      <c r="A38" s="25"/>
      <c r="B38" s="26" t="s">
        <v>40</v>
      </c>
      <c r="C38" s="27">
        <f>C36-C37</f>
        <v>0</v>
      </c>
      <c r="D38" s="27">
        <f>D36-D37</f>
        <v>39488020</v>
      </c>
      <c r="E38" s="27">
        <f>D38-C38</f>
        <v>39488020</v>
      </c>
      <c r="F38" s="28">
        <f>IF(C38=0,0,E38/C38)</f>
        <v>0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0</v>
      </c>
      <c r="D41" s="27">
        <f>+D38+D40</f>
        <v>39488020</v>
      </c>
      <c r="E41" s="27">
        <f>D41-C41</f>
        <v>39488020</v>
      </c>
      <c r="F41" s="28">
        <f>IF(C41=0,0,E41/C41)</f>
        <v>0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0</v>
      </c>
      <c r="D43" s="27">
        <f>D22+D29+D31+D32+D33+D41</f>
        <v>68821901</v>
      </c>
      <c r="E43" s="27">
        <f>D43-C43</f>
        <v>68821901</v>
      </c>
      <c r="F43" s="28">
        <f>IF(C43=0,0,E43/C43)</f>
        <v>0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0</v>
      </c>
      <c r="D49" s="23">
        <v>7943203</v>
      </c>
      <c r="E49" s="23">
        <f t="shared" ref="E49:E56" si="2">D49-C49</f>
        <v>7943203</v>
      </c>
      <c r="F49" s="24">
        <f t="shared" ref="F49:F56" si="3">IF(C49=0,0,E49/C49)</f>
        <v>0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4258064</v>
      </c>
      <c r="E50" s="23">
        <f t="shared" si="2"/>
        <v>4258064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726116</v>
      </c>
      <c r="E51" s="23">
        <f t="shared" si="2"/>
        <v>726116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1579563</v>
      </c>
      <c r="E54" s="23">
        <f t="shared" si="2"/>
        <v>1579563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6640286</v>
      </c>
      <c r="E55" s="23">
        <f t="shared" si="2"/>
        <v>6640286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0</v>
      </c>
      <c r="D56" s="27">
        <f>SUM(D49:D55)</f>
        <v>21147232</v>
      </c>
      <c r="E56" s="27">
        <f t="shared" si="2"/>
        <v>21147232</v>
      </c>
      <c r="F56" s="28">
        <f t="shared" si="3"/>
        <v>0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31463740</v>
      </c>
      <c r="E60" s="23">
        <f>D60-C60</f>
        <v>31463740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0</v>
      </c>
      <c r="D61" s="27">
        <f>SUM(D59:D60)</f>
        <v>31463740</v>
      </c>
      <c r="E61" s="27">
        <f>D61-C61</f>
        <v>31463740</v>
      </c>
      <c r="F61" s="28">
        <f>IF(C61=0,0,E61/C61)</f>
        <v>0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9080473</v>
      </c>
      <c r="E64" s="23">
        <f>D64-C64</f>
        <v>9080473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0</v>
      </c>
      <c r="D65" s="27">
        <f>SUM(D61:D64)</f>
        <v>40544213</v>
      </c>
      <c r="E65" s="27">
        <f>D65-C65</f>
        <v>40544213</v>
      </c>
      <c r="F65" s="28">
        <f>IF(C65=0,0,E65/C65)</f>
        <v>0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8299950</v>
      </c>
      <c r="E67" s="23">
        <f>D67-C67</f>
        <v>8299950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0</v>
      </c>
      <c r="D70" s="23">
        <v>-5507538</v>
      </c>
      <c r="E70" s="23">
        <f>D70-C70</f>
        <v>-5507538</v>
      </c>
      <c r="F70" s="24">
        <f>IF(C70=0,0,E70/C70)</f>
        <v>0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40979</v>
      </c>
      <c r="E71" s="23">
        <f>D71-C71</f>
        <v>40979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4297065</v>
      </c>
      <c r="E72" s="23">
        <f>D72-C72</f>
        <v>4297065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0</v>
      </c>
      <c r="D73" s="27">
        <f>SUM(D70:D72)</f>
        <v>-1169494</v>
      </c>
      <c r="E73" s="27">
        <f>D73-C73</f>
        <v>-1169494</v>
      </c>
      <c r="F73" s="28">
        <f>IF(C73=0,0,E73/C73)</f>
        <v>0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0</v>
      </c>
      <c r="D75" s="27">
        <f>D56+D65+D67+D73</f>
        <v>68821901</v>
      </c>
      <c r="E75" s="27">
        <f>D75-C75</f>
        <v>68821901</v>
      </c>
      <c r="F75" s="28">
        <f>IF(C75=0,0,E75/C75)</f>
        <v>0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FILING&amp;RJOHNSON MEMORIAL MEDICAL CENTER,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0</v>
      </c>
      <c r="D12" s="51">
        <v>193977842</v>
      </c>
      <c r="E12" s="51">
        <f t="shared" ref="E12:E19" si="0">D12-C12</f>
        <v>193977842</v>
      </c>
      <c r="F12" s="70">
        <f t="shared" ref="F12:F19" si="1">IF(C12=0,0,E12/C12)</f>
        <v>0</v>
      </c>
    </row>
    <row r="13" spans="1:8" ht="23.1" customHeight="1" x14ac:dyDescent="0.2">
      <c r="A13" s="25">
        <v>2</v>
      </c>
      <c r="B13" s="48" t="s">
        <v>72</v>
      </c>
      <c r="C13" s="51">
        <v>0</v>
      </c>
      <c r="D13" s="51">
        <v>104765918</v>
      </c>
      <c r="E13" s="51">
        <f t="shared" si="0"/>
        <v>104765918</v>
      </c>
      <c r="F13" s="70">
        <f t="shared" si="1"/>
        <v>0</v>
      </c>
    </row>
    <row r="14" spans="1:8" ht="23.1" customHeight="1" x14ac:dyDescent="0.2">
      <c r="A14" s="25">
        <v>3</v>
      </c>
      <c r="B14" s="48" t="s">
        <v>73</v>
      </c>
      <c r="C14" s="51">
        <v>0</v>
      </c>
      <c r="D14" s="51">
        <v>280655</v>
      </c>
      <c r="E14" s="51">
        <f t="shared" si="0"/>
        <v>280655</v>
      </c>
      <c r="F14" s="70">
        <f t="shared" si="1"/>
        <v>0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0</v>
      </c>
      <c r="D16" s="27">
        <f>D12-D13-D14-D15</f>
        <v>88931269</v>
      </c>
      <c r="E16" s="27">
        <f t="shared" si="0"/>
        <v>88931269</v>
      </c>
      <c r="F16" s="28">
        <f t="shared" si="1"/>
        <v>0</v>
      </c>
    </row>
    <row r="17" spans="1:7" ht="23.1" customHeight="1" x14ac:dyDescent="0.2">
      <c r="A17" s="25">
        <v>5</v>
      </c>
      <c r="B17" s="48" t="s">
        <v>76</v>
      </c>
      <c r="C17" s="51">
        <v>0</v>
      </c>
      <c r="D17" s="51">
        <v>3721409</v>
      </c>
      <c r="E17" s="51">
        <f t="shared" si="0"/>
        <v>3721409</v>
      </c>
      <c r="F17" s="70">
        <f t="shared" si="1"/>
        <v>0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0</v>
      </c>
      <c r="D19" s="27">
        <f>SUM(D16:D18)</f>
        <v>92652678</v>
      </c>
      <c r="E19" s="27">
        <f t="shared" si="0"/>
        <v>92652678</v>
      </c>
      <c r="F19" s="28">
        <f t="shared" si="1"/>
        <v>0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0</v>
      </c>
      <c r="D22" s="51">
        <v>45109618</v>
      </c>
      <c r="E22" s="51">
        <f t="shared" ref="E22:E31" si="2">D22-C22</f>
        <v>45109618</v>
      </c>
      <c r="F22" s="70">
        <f t="shared" ref="F22:F31" si="3">IF(C22=0,0,E22/C22)</f>
        <v>0</v>
      </c>
    </row>
    <row r="23" spans="1:7" ht="23.1" customHeight="1" x14ac:dyDescent="0.2">
      <c r="A23" s="25">
        <v>2</v>
      </c>
      <c r="B23" s="48" t="s">
        <v>81</v>
      </c>
      <c r="C23" s="51">
        <v>0</v>
      </c>
      <c r="D23" s="51">
        <v>12718541</v>
      </c>
      <c r="E23" s="51">
        <f t="shared" si="2"/>
        <v>12718541</v>
      </c>
      <c r="F23" s="70">
        <f t="shared" si="3"/>
        <v>0</v>
      </c>
    </row>
    <row r="24" spans="1:7" ht="23.1" customHeight="1" x14ac:dyDescent="0.2">
      <c r="A24" s="25">
        <v>3</v>
      </c>
      <c r="B24" s="48" t="s">
        <v>82</v>
      </c>
      <c r="C24" s="51">
        <v>0</v>
      </c>
      <c r="D24" s="51">
        <v>658322</v>
      </c>
      <c r="E24" s="51">
        <f t="shared" si="2"/>
        <v>658322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0</v>
      </c>
      <c r="D25" s="51">
        <v>9029298</v>
      </c>
      <c r="E25" s="51">
        <f t="shared" si="2"/>
        <v>9029298</v>
      </c>
      <c r="F25" s="70">
        <f t="shared" si="3"/>
        <v>0</v>
      </c>
    </row>
    <row r="26" spans="1:7" ht="23.1" customHeight="1" x14ac:dyDescent="0.2">
      <c r="A26" s="25">
        <v>5</v>
      </c>
      <c r="B26" s="48" t="s">
        <v>84</v>
      </c>
      <c r="C26" s="51">
        <v>0</v>
      </c>
      <c r="D26" s="51">
        <v>4456036</v>
      </c>
      <c r="E26" s="51">
        <f t="shared" si="2"/>
        <v>4456036</v>
      </c>
      <c r="F26" s="70">
        <f t="shared" si="3"/>
        <v>0</v>
      </c>
    </row>
    <row r="27" spans="1:7" ht="23.1" customHeight="1" x14ac:dyDescent="0.2">
      <c r="A27" s="25">
        <v>6</v>
      </c>
      <c r="B27" s="48" t="s">
        <v>85</v>
      </c>
      <c r="C27" s="51">
        <v>0</v>
      </c>
      <c r="D27" s="51">
        <v>5923792</v>
      </c>
      <c r="E27" s="51">
        <f t="shared" si="2"/>
        <v>5923792</v>
      </c>
      <c r="F27" s="70">
        <f t="shared" si="3"/>
        <v>0</v>
      </c>
    </row>
    <row r="28" spans="1:7" ht="23.1" customHeight="1" x14ac:dyDescent="0.2">
      <c r="A28" s="25">
        <v>7</v>
      </c>
      <c r="B28" s="48" t="s">
        <v>86</v>
      </c>
      <c r="C28" s="51">
        <v>0</v>
      </c>
      <c r="D28" s="51">
        <v>900612</v>
      </c>
      <c r="E28" s="51">
        <f t="shared" si="2"/>
        <v>900612</v>
      </c>
      <c r="F28" s="70">
        <f t="shared" si="3"/>
        <v>0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788038</v>
      </c>
      <c r="E29" s="51">
        <f t="shared" si="2"/>
        <v>788038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0</v>
      </c>
      <c r="D30" s="51">
        <v>24658977</v>
      </c>
      <c r="E30" s="51">
        <f t="shared" si="2"/>
        <v>24658977</v>
      </c>
      <c r="F30" s="70">
        <f t="shared" si="3"/>
        <v>0</v>
      </c>
    </row>
    <row r="31" spans="1:7" ht="23.1" customHeight="1" x14ac:dyDescent="0.25">
      <c r="A31" s="29"/>
      <c r="B31" s="71" t="s">
        <v>89</v>
      </c>
      <c r="C31" s="27">
        <f>SUM(C22:C30)</f>
        <v>0</v>
      </c>
      <c r="D31" s="27">
        <f>SUM(D22:D30)</f>
        <v>104243234</v>
      </c>
      <c r="E31" s="27">
        <f t="shared" si="2"/>
        <v>104243234</v>
      </c>
      <c r="F31" s="28">
        <f t="shared" si="3"/>
        <v>0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0</v>
      </c>
      <c r="D33" s="27">
        <f>+D19-D31</f>
        <v>-11590556</v>
      </c>
      <c r="E33" s="27">
        <f>D33-C33</f>
        <v>-11590556</v>
      </c>
      <c r="F33" s="28">
        <f>IF(C33=0,0,E33/C33)</f>
        <v>0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86413</v>
      </c>
      <c r="E36" s="51">
        <f>D36-C36</f>
        <v>86413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36032758</v>
      </c>
      <c r="E38" s="51">
        <f>D38-C38</f>
        <v>36032758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36119171</v>
      </c>
      <c r="E39" s="27">
        <f>D39-C39</f>
        <v>36119171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0</v>
      </c>
      <c r="D41" s="27">
        <f>D33+D39</f>
        <v>24528615</v>
      </c>
      <c r="E41" s="27">
        <f>D41-C41</f>
        <v>24528615</v>
      </c>
      <c r="F41" s="28">
        <f>IF(C41=0,0,E41/C41)</f>
        <v>0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0</v>
      </c>
      <c r="D48" s="27">
        <f>D41+D46</f>
        <v>24528615</v>
      </c>
      <c r="E48" s="27">
        <f>D48-C48</f>
        <v>24528615</v>
      </c>
      <c r="F48" s="28">
        <f>IF(C48=0,0,E48/C48)</f>
        <v>0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FILING&amp;R&amp;8JOHNSON MEMORIAL MEDICAL CENTER,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2011-08-08T12:59:04Z</cp:lastPrinted>
  <dcterms:created xsi:type="dcterms:W3CDTF">2006-08-03T13:49:12Z</dcterms:created>
  <dcterms:modified xsi:type="dcterms:W3CDTF">2011-08-08T13:01:57Z</dcterms:modified>
</cp:coreProperties>
</file>