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Report_400!$A$10:$I$47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5621" fullCalcOnLoad="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306" i="14"/>
  <c r="D238" i="14"/>
  <c r="D237" i="14"/>
  <c r="D230" i="14"/>
  <c r="D229" i="14"/>
  <c r="D227" i="14"/>
  <c r="D226" i="14"/>
  <c r="D223" i="14"/>
  <c r="D204" i="14"/>
  <c r="D285" i="14"/>
  <c r="D203" i="14"/>
  <c r="D283" i="14"/>
  <c r="D198" i="14"/>
  <c r="D290" i="14"/>
  <c r="D191" i="14"/>
  <c r="D264" i="14"/>
  <c r="D189" i="14"/>
  <c r="D278" i="14"/>
  <c r="D188" i="14"/>
  <c r="D206" i="14"/>
  <c r="D180" i="14"/>
  <c r="D181" i="14"/>
  <c r="D179" i="14"/>
  <c r="D171" i="14"/>
  <c r="D172" i="14"/>
  <c r="D173" i="14"/>
  <c r="D170" i="14"/>
  <c r="D165" i="14"/>
  <c r="D164" i="14"/>
  <c r="D158" i="14"/>
  <c r="D159" i="14"/>
  <c r="D155" i="14"/>
  <c r="D145" i="14"/>
  <c r="D144" i="14"/>
  <c r="D146" i="14"/>
  <c r="D136" i="14"/>
  <c r="D137" i="14"/>
  <c r="D135" i="14"/>
  <c r="D130" i="14"/>
  <c r="D129" i="14"/>
  <c r="D123" i="14"/>
  <c r="D120" i="14"/>
  <c r="D110" i="14"/>
  <c r="D109" i="14"/>
  <c r="D111" i="14"/>
  <c r="D101" i="14"/>
  <c r="D102" i="14"/>
  <c r="D103" i="14"/>
  <c r="D100" i="14"/>
  <c r="D95" i="14"/>
  <c r="D94" i="14"/>
  <c r="D88" i="14"/>
  <c r="D89" i="14"/>
  <c r="D85" i="14"/>
  <c r="D76" i="14"/>
  <c r="D77" i="14"/>
  <c r="D67" i="14"/>
  <c r="D66" i="14"/>
  <c r="D68" i="14"/>
  <c r="D59" i="14"/>
  <c r="D60" i="14"/>
  <c r="D61" i="14"/>
  <c r="D58" i="14"/>
  <c r="D53" i="14"/>
  <c r="D52" i="14"/>
  <c r="D47" i="14"/>
  <c r="D48" i="14"/>
  <c r="D90" i="14"/>
  <c r="D44" i="14"/>
  <c r="D36" i="14"/>
  <c r="D35" i="14"/>
  <c r="D37" i="14"/>
  <c r="D30" i="14"/>
  <c r="D31" i="14"/>
  <c r="D32" i="14"/>
  <c r="D29" i="14"/>
  <c r="D24" i="14"/>
  <c r="D23" i="14"/>
  <c r="D21" i="14"/>
  <c r="D49" i="14"/>
  <c r="D50" i="14"/>
  <c r="D20" i="14"/>
  <c r="D17" i="14"/>
  <c r="E97" i="19"/>
  <c r="E98" i="19"/>
  <c r="D97" i="19"/>
  <c r="C97" i="19"/>
  <c r="E96" i="19"/>
  <c r="D96" i="19"/>
  <c r="D98" i="19"/>
  <c r="C96" i="19"/>
  <c r="C98" i="19"/>
  <c r="E92" i="19"/>
  <c r="D92" i="19"/>
  <c r="C92" i="19"/>
  <c r="E91" i="19"/>
  <c r="E93" i="19"/>
  <c r="D91" i="19"/>
  <c r="D93" i="19"/>
  <c r="C91" i="19"/>
  <c r="C93" i="19"/>
  <c r="E87" i="19"/>
  <c r="D87" i="19"/>
  <c r="C87" i="19"/>
  <c r="E86" i="19"/>
  <c r="E88" i="19"/>
  <c r="D86" i="19"/>
  <c r="D88" i="19"/>
  <c r="C86" i="19"/>
  <c r="C88" i="19"/>
  <c r="E83" i="19"/>
  <c r="E101" i="19"/>
  <c r="E102" i="19"/>
  <c r="D83" i="19"/>
  <c r="C83" i="19"/>
  <c r="C102" i="19"/>
  <c r="E76" i="19"/>
  <c r="D76" i="19"/>
  <c r="C76" i="19"/>
  <c r="E75" i="19"/>
  <c r="E77" i="19"/>
  <c r="D75" i="19"/>
  <c r="D77" i="19"/>
  <c r="C75" i="19"/>
  <c r="C77" i="19"/>
  <c r="C108" i="19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D23" i="19"/>
  <c r="D46" i="19"/>
  <c r="C23" i="19"/>
  <c r="C46" i="19"/>
  <c r="D22" i="19"/>
  <c r="D53" i="19"/>
  <c r="C22" i="19"/>
  <c r="C45" i="19"/>
  <c r="E21" i="19"/>
  <c r="D21" i="19"/>
  <c r="C21" i="19"/>
  <c r="E12" i="19"/>
  <c r="E34" i="19"/>
  <c r="D12" i="19"/>
  <c r="D33" i="19"/>
  <c r="C12" i="19"/>
  <c r="C34" i="19"/>
  <c r="C33" i="19"/>
  <c r="D21" i="18"/>
  <c r="E21" i="18"/>
  <c r="F21" i="18"/>
  <c r="C21" i="18"/>
  <c r="D19" i="18"/>
  <c r="E19" i="18"/>
  <c r="F19" i="18"/>
  <c r="C19" i="18"/>
  <c r="E17" i="18"/>
  <c r="F17" i="18"/>
  <c r="E15" i="18"/>
  <c r="F15" i="18"/>
  <c r="D45" i="17"/>
  <c r="E45" i="17"/>
  <c r="C45" i="17"/>
  <c r="D44" i="17"/>
  <c r="E44" i="17"/>
  <c r="C44" i="17"/>
  <c r="D43" i="17"/>
  <c r="E43" i="17"/>
  <c r="E46" i="17"/>
  <c r="D46" i="17"/>
  <c r="C43" i="17"/>
  <c r="C46" i="17"/>
  <c r="D36" i="17"/>
  <c r="D40" i="17"/>
  <c r="C36" i="17"/>
  <c r="C40" i="17"/>
  <c r="E35" i="17"/>
  <c r="F35" i="17"/>
  <c r="F34" i="17"/>
  <c r="E34" i="17"/>
  <c r="E33" i="17"/>
  <c r="E36" i="17"/>
  <c r="F36" i="17"/>
  <c r="E30" i="17"/>
  <c r="F30" i="17"/>
  <c r="E29" i="17"/>
  <c r="F29" i="17"/>
  <c r="E28" i="17"/>
  <c r="F28" i="17"/>
  <c r="E27" i="17"/>
  <c r="F27" i="17"/>
  <c r="D25" i="17"/>
  <c r="D39" i="17"/>
  <c r="C25" i="17"/>
  <c r="F24" i="17"/>
  <c r="E24" i="17"/>
  <c r="E23" i="17"/>
  <c r="F23" i="17"/>
  <c r="F22" i="17"/>
  <c r="E22" i="17"/>
  <c r="E25" i="17"/>
  <c r="D19" i="17"/>
  <c r="E19" i="17"/>
  <c r="D20" i="17"/>
  <c r="C19" i="17"/>
  <c r="C20" i="17"/>
  <c r="E18" i="17"/>
  <c r="F18" i="17"/>
  <c r="D16" i="17"/>
  <c r="E16" i="17"/>
  <c r="C16" i="17"/>
  <c r="F15" i="17"/>
  <c r="E15" i="17"/>
  <c r="E13" i="17"/>
  <c r="F13" i="17"/>
  <c r="F12" i="17"/>
  <c r="E12" i="17"/>
  <c r="C115" i="16"/>
  <c r="C105" i="16"/>
  <c r="C137" i="16"/>
  <c r="C139" i="16"/>
  <c r="C143" i="16"/>
  <c r="C96" i="16"/>
  <c r="C95" i="16"/>
  <c r="C89" i="16"/>
  <c r="C88" i="16"/>
  <c r="C83" i="16"/>
  <c r="C78" i="16"/>
  <c r="C77" i="16"/>
  <c r="C63" i="16"/>
  <c r="C59" i="16"/>
  <c r="C60" i="16"/>
  <c r="C48" i="16"/>
  <c r="C64" i="16"/>
  <c r="C36" i="16"/>
  <c r="C33" i="16"/>
  <c r="C32" i="16"/>
  <c r="C21" i="16"/>
  <c r="C37" i="16"/>
  <c r="E328" i="15"/>
  <c r="E325" i="15"/>
  <c r="E324" i="15"/>
  <c r="D324" i="15"/>
  <c r="D326" i="15"/>
  <c r="C324" i="15"/>
  <c r="C326" i="15"/>
  <c r="C330" i="15"/>
  <c r="E318" i="15"/>
  <c r="E315" i="15"/>
  <c r="D314" i="15"/>
  <c r="D316" i="15"/>
  <c r="C314" i="15"/>
  <c r="C316" i="15"/>
  <c r="C320" i="15"/>
  <c r="E308" i="15"/>
  <c r="E305" i="15"/>
  <c r="D301" i="15"/>
  <c r="E301" i="15"/>
  <c r="C301" i="15"/>
  <c r="D293" i="15"/>
  <c r="C293" i="15"/>
  <c r="E293" i="15"/>
  <c r="D292" i="15"/>
  <c r="E292" i="15"/>
  <c r="C292" i="15"/>
  <c r="D291" i="15"/>
  <c r="E291" i="15"/>
  <c r="C291" i="15"/>
  <c r="D290" i="15"/>
  <c r="E290" i="15"/>
  <c r="C290" i="15"/>
  <c r="D288" i="15"/>
  <c r="C288" i="15"/>
  <c r="E288" i="15"/>
  <c r="D287" i="15"/>
  <c r="E287" i="15"/>
  <c r="C287" i="15"/>
  <c r="D282" i="15"/>
  <c r="C282" i="15"/>
  <c r="E282" i="15"/>
  <c r="D281" i="15"/>
  <c r="E281" i="15"/>
  <c r="C281" i="15"/>
  <c r="D280" i="15"/>
  <c r="E280" i="15"/>
  <c r="C280" i="15"/>
  <c r="D279" i="15"/>
  <c r="C279" i="15"/>
  <c r="E279" i="15"/>
  <c r="D278" i="15"/>
  <c r="C278" i="15"/>
  <c r="E278" i="15"/>
  <c r="D277" i="15"/>
  <c r="E277" i="15"/>
  <c r="C277" i="15"/>
  <c r="D276" i="15"/>
  <c r="E276" i="15"/>
  <c r="C276" i="15"/>
  <c r="E270" i="15"/>
  <c r="D265" i="15"/>
  <c r="D302" i="15"/>
  <c r="C265" i="15"/>
  <c r="D262" i="15"/>
  <c r="E262" i="15"/>
  <c r="C262" i="15"/>
  <c r="D251" i="15"/>
  <c r="C251" i="15"/>
  <c r="D233" i="15"/>
  <c r="C233" i="15"/>
  <c r="D232" i="15"/>
  <c r="C232" i="15"/>
  <c r="E232" i="15"/>
  <c r="D231" i="15"/>
  <c r="E231" i="15"/>
  <c r="C231" i="15"/>
  <c r="D230" i="15"/>
  <c r="E230" i="15"/>
  <c r="C230" i="15"/>
  <c r="D228" i="15"/>
  <c r="C228" i="15"/>
  <c r="E228" i="15"/>
  <c r="D227" i="15"/>
  <c r="E227" i="15"/>
  <c r="C227" i="15"/>
  <c r="D221" i="15"/>
  <c r="D245" i="15"/>
  <c r="C221" i="15"/>
  <c r="C245" i="15"/>
  <c r="D220" i="15"/>
  <c r="E220" i="15"/>
  <c r="C220" i="15"/>
  <c r="C244" i="15"/>
  <c r="D219" i="15"/>
  <c r="E219" i="15"/>
  <c r="C219" i="15"/>
  <c r="C243" i="15"/>
  <c r="C252" i="15"/>
  <c r="D218" i="15"/>
  <c r="D242" i="15"/>
  <c r="C218" i="15"/>
  <c r="C222" i="15"/>
  <c r="D216" i="15"/>
  <c r="D240" i="15"/>
  <c r="E240" i="15"/>
  <c r="C216" i="15"/>
  <c r="C240" i="15"/>
  <c r="D215" i="15"/>
  <c r="C215" i="15"/>
  <c r="C239" i="15"/>
  <c r="C223" i="15"/>
  <c r="E209" i="15"/>
  <c r="E208" i="15"/>
  <c r="E207" i="15"/>
  <c r="E206" i="15"/>
  <c r="D205" i="15"/>
  <c r="C205" i="15"/>
  <c r="C229" i="15"/>
  <c r="E204" i="15"/>
  <c r="E203" i="15"/>
  <c r="E197" i="15"/>
  <c r="E196" i="15"/>
  <c r="D195" i="15"/>
  <c r="D260" i="15"/>
  <c r="C195" i="15"/>
  <c r="C260" i="15"/>
  <c r="E194" i="15"/>
  <c r="E193" i="15"/>
  <c r="E192" i="15"/>
  <c r="E191" i="15"/>
  <c r="E190" i="15"/>
  <c r="D188" i="15"/>
  <c r="C188" i="15"/>
  <c r="C189" i="15"/>
  <c r="E186" i="15"/>
  <c r="E185" i="15"/>
  <c r="D179" i="15"/>
  <c r="C179" i="15"/>
  <c r="E179" i="15"/>
  <c r="D178" i="15"/>
  <c r="C178" i="15"/>
  <c r="E178" i="15"/>
  <c r="D177" i="15"/>
  <c r="E177" i="15"/>
  <c r="C177" i="15"/>
  <c r="D176" i="15"/>
  <c r="C176" i="15"/>
  <c r="D174" i="15"/>
  <c r="E174" i="15"/>
  <c r="C174" i="15"/>
  <c r="D173" i="15"/>
  <c r="C173" i="15"/>
  <c r="D167" i="15"/>
  <c r="E167" i="15"/>
  <c r="C167" i="15"/>
  <c r="D166" i="15"/>
  <c r="C166" i="15"/>
  <c r="D165" i="15"/>
  <c r="E165" i="15"/>
  <c r="C165" i="15"/>
  <c r="D164" i="15"/>
  <c r="C164" i="15"/>
  <c r="E164" i="15"/>
  <c r="D162" i="15"/>
  <c r="E162" i="15"/>
  <c r="C162" i="15"/>
  <c r="D161" i="15"/>
  <c r="E161" i="15"/>
  <c r="C161" i="15"/>
  <c r="E155" i="15"/>
  <c r="E154" i="15"/>
  <c r="E153" i="15"/>
  <c r="E152" i="15"/>
  <c r="D151" i="15"/>
  <c r="C151" i="15"/>
  <c r="C156" i="15"/>
  <c r="C157" i="15"/>
  <c r="E150" i="15"/>
  <c r="E149" i="15"/>
  <c r="E143" i="15"/>
  <c r="E142" i="15"/>
  <c r="E141" i="15"/>
  <c r="E140" i="15"/>
  <c r="D139" i="15"/>
  <c r="D144" i="15"/>
  <c r="C139" i="15"/>
  <c r="E138" i="15"/>
  <c r="E137" i="15"/>
  <c r="D75" i="15"/>
  <c r="E75" i="15"/>
  <c r="C75" i="15"/>
  <c r="D74" i="15"/>
  <c r="C74" i="15"/>
  <c r="D73" i="15"/>
  <c r="C73" i="15"/>
  <c r="E73" i="15"/>
  <c r="D72" i="15"/>
  <c r="E72" i="15"/>
  <c r="C72" i="15"/>
  <c r="D70" i="15"/>
  <c r="C70" i="15"/>
  <c r="D69" i="15"/>
  <c r="C69" i="15"/>
  <c r="E69" i="15"/>
  <c r="D66" i="15"/>
  <c r="E64" i="15"/>
  <c r="E63" i="15"/>
  <c r="E62" i="15"/>
  <c r="E61" i="15"/>
  <c r="D60" i="15"/>
  <c r="D65" i="15"/>
  <c r="C60" i="15"/>
  <c r="E59" i="15"/>
  <c r="E58" i="15"/>
  <c r="D54" i="15"/>
  <c r="D55" i="15"/>
  <c r="E55" i="15"/>
  <c r="C54" i="15"/>
  <c r="C55" i="15"/>
  <c r="E53" i="15"/>
  <c r="E52" i="15"/>
  <c r="E51" i="15"/>
  <c r="E50" i="15"/>
  <c r="E49" i="15"/>
  <c r="E48" i="15"/>
  <c r="E47" i="15"/>
  <c r="D42" i="15"/>
  <c r="C42" i="15"/>
  <c r="D41" i="15"/>
  <c r="C41" i="15"/>
  <c r="E41" i="15"/>
  <c r="D40" i="15"/>
  <c r="E40" i="15"/>
  <c r="C40" i="15"/>
  <c r="D39" i="15"/>
  <c r="C39" i="15"/>
  <c r="E39" i="15"/>
  <c r="D38" i="15"/>
  <c r="C38" i="15"/>
  <c r="D37" i="15"/>
  <c r="D43" i="15"/>
  <c r="C37" i="15"/>
  <c r="D36" i="15"/>
  <c r="C36" i="15"/>
  <c r="D32" i="15"/>
  <c r="D33" i="15"/>
  <c r="C32" i="15"/>
  <c r="E31" i="15"/>
  <c r="E30" i="15"/>
  <c r="E29" i="15"/>
  <c r="E28" i="15"/>
  <c r="E27" i="15"/>
  <c r="E26" i="15"/>
  <c r="E25" i="15"/>
  <c r="D21" i="15"/>
  <c r="C21" i="15"/>
  <c r="C283" i="15"/>
  <c r="E20" i="15"/>
  <c r="E19" i="15"/>
  <c r="E18" i="15"/>
  <c r="E17" i="15"/>
  <c r="E16" i="15"/>
  <c r="E15" i="15"/>
  <c r="E14" i="15"/>
  <c r="E335" i="14"/>
  <c r="F335" i="14"/>
  <c r="E334" i="14"/>
  <c r="F334" i="14"/>
  <c r="E333" i="14"/>
  <c r="F333" i="14"/>
  <c r="E332" i="14"/>
  <c r="F332" i="14"/>
  <c r="E331" i="14"/>
  <c r="F331" i="14"/>
  <c r="E330" i="14"/>
  <c r="F330" i="14"/>
  <c r="F329" i="14"/>
  <c r="E329" i="14"/>
  <c r="F316" i="14"/>
  <c r="E316" i="14"/>
  <c r="C311" i="14"/>
  <c r="F308" i="14"/>
  <c r="E308" i="14"/>
  <c r="E307" i="14"/>
  <c r="C307" i="14"/>
  <c r="C299" i="14"/>
  <c r="E299" i="14"/>
  <c r="C298" i="14"/>
  <c r="C297" i="14"/>
  <c r="F296" i="14"/>
  <c r="C296" i="14"/>
  <c r="E296" i="14"/>
  <c r="E295" i="14"/>
  <c r="C295" i="14"/>
  <c r="C294" i="14"/>
  <c r="C285" i="14"/>
  <c r="C250" i="14"/>
  <c r="E250" i="14"/>
  <c r="E249" i="14"/>
  <c r="F249" i="14"/>
  <c r="E248" i="14"/>
  <c r="F248" i="14"/>
  <c r="F245" i="14"/>
  <c r="E245" i="14"/>
  <c r="E244" i="14"/>
  <c r="F244" i="14"/>
  <c r="E243" i="14"/>
  <c r="F243" i="14"/>
  <c r="C238" i="14"/>
  <c r="C237" i="14"/>
  <c r="E234" i="14"/>
  <c r="F234" i="14"/>
  <c r="E233" i="14"/>
  <c r="F233" i="14"/>
  <c r="F230" i="14"/>
  <c r="C230" i="14"/>
  <c r="E230" i="14"/>
  <c r="F229" i="14"/>
  <c r="C229" i="14"/>
  <c r="E229" i="14"/>
  <c r="E228" i="14"/>
  <c r="F228" i="14"/>
  <c r="F226" i="14"/>
  <c r="C226" i="14"/>
  <c r="E226" i="14"/>
  <c r="C227" i="14"/>
  <c r="E225" i="14"/>
  <c r="F225" i="14"/>
  <c r="E224" i="14"/>
  <c r="F224" i="14"/>
  <c r="C223" i="14"/>
  <c r="E222" i="14"/>
  <c r="F222" i="14"/>
  <c r="E221" i="14"/>
  <c r="F221" i="14"/>
  <c r="F204" i="14"/>
  <c r="C204" i="14"/>
  <c r="E204" i="14"/>
  <c r="C269" i="14"/>
  <c r="C203" i="14"/>
  <c r="E203" i="14"/>
  <c r="C198" i="14"/>
  <c r="C290" i="14"/>
  <c r="C191" i="14"/>
  <c r="E191" i="14"/>
  <c r="C189" i="14"/>
  <c r="E189" i="14"/>
  <c r="C188" i="14"/>
  <c r="C180" i="14"/>
  <c r="F180" i="14"/>
  <c r="C179" i="14"/>
  <c r="E179" i="14"/>
  <c r="C171" i="14"/>
  <c r="C172" i="14"/>
  <c r="C170" i="14"/>
  <c r="F170" i="14"/>
  <c r="F169" i="14"/>
  <c r="E169" i="14"/>
  <c r="F168" i="14"/>
  <c r="E168" i="14"/>
  <c r="C165" i="14"/>
  <c r="E165" i="14"/>
  <c r="F164" i="14"/>
  <c r="C164" i="14"/>
  <c r="E164" i="14"/>
  <c r="F163" i="14"/>
  <c r="E163" i="14"/>
  <c r="C158" i="14"/>
  <c r="E158" i="14"/>
  <c r="F157" i="14"/>
  <c r="E157" i="14"/>
  <c r="F156" i="14"/>
  <c r="E156" i="14"/>
  <c r="C155" i="14"/>
  <c r="E155" i="14"/>
  <c r="F154" i="14"/>
  <c r="E154" i="14"/>
  <c r="F153" i="14"/>
  <c r="E153" i="14"/>
  <c r="C145" i="14"/>
  <c r="E145" i="14"/>
  <c r="C144" i="14"/>
  <c r="E144" i="14"/>
  <c r="F144" i="14"/>
  <c r="E136" i="14"/>
  <c r="C136" i="14"/>
  <c r="C135" i="14"/>
  <c r="E134" i="14"/>
  <c r="F134" i="14"/>
  <c r="E133" i="14"/>
  <c r="F133" i="14"/>
  <c r="C130" i="14"/>
  <c r="E130" i="14"/>
  <c r="F130" i="14"/>
  <c r="C129" i="14"/>
  <c r="E129" i="14"/>
  <c r="E128" i="14"/>
  <c r="F128" i="14"/>
  <c r="C124" i="14"/>
  <c r="F123" i="14"/>
  <c r="C123" i="14"/>
  <c r="E123" i="14"/>
  <c r="F122" i="14"/>
  <c r="E122" i="14"/>
  <c r="F121" i="14"/>
  <c r="E121" i="14"/>
  <c r="C120" i="14"/>
  <c r="E120" i="14"/>
  <c r="E119" i="14"/>
  <c r="F119" i="14"/>
  <c r="E118" i="14"/>
  <c r="F118" i="14"/>
  <c r="E110" i="14"/>
  <c r="C110" i="14"/>
  <c r="F110" i="14"/>
  <c r="E109" i="14"/>
  <c r="C109" i="14"/>
  <c r="C111" i="14"/>
  <c r="C101" i="14"/>
  <c r="E101" i="14"/>
  <c r="F100" i="14"/>
  <c r="C100" i="14"/>
  <c r="E100" i="14"/>
  <c r="F99" i="14"/>
  <c r="E99" i="14"/>
  <c r="F98" i="14"/>
  <c r="E98" i="14"/>
  <c r="C95" i="14"/>
  <c r="E95" i="14"/>
  <c r="C94" i="14"/>
  <c r="E93" i="14"/>
  <c r="F93" i="14"/>
  <c r="C88" i="14"/>
  <c r="C89" i="14"/>
  <c r="E87" i="14"/>
  <c r="F87" i="14"/>
  <c r="F86" i="14"/>
  <c r="E86" i="14"/>
  <c r="E85" i="14"/>
  <c r="C85" i="14"/>
  <c r="F84" i="14"/>
  <c r="E84" i="14"/>
  <c r="F83" i="14"/>
  <c r="E83" i="14"/>
  <c r="C76" i="14"/>
  <c r="C77" i="14"/>
  <c r="E74" i="14"/>
  <c r="F74" i="14"/>
  <c r="E73" i="14"/>
  <c r="F73" i="14"/>
  <c r="C67" i="14"/>
  <c r="C66" i="14"/>
  <c r="E66" i="14"/>
  <c r="C59" i="14"/>
  <c r="C58" i="14"/>
  <c r="E58" i="14"/>
  <c r="E57" i="14"/>
  <c r="F57" i="14"/>
  <c r="E56" i="14"/>
  <c r="F56" i="14"/>
  <c r="C53" i="14"/>
  <c r="C52" i="14"/>
  <c r="E52" i="14"/>
  <c r="E51" i="14"/>
  <c r="F51" i="14"/>
  <c r="C47" i="14"/>
  <c r="E46" i="14"/>
  <c r="F46" i="14"/>
  <c r="E45" i="14"/>
  <c r="F45" i="14"/>
  <c r="C44" i="14"/>
  <c r="E44" i="14"/>
  <c r="F44" i="14"/>
  <c r="E43" i="14"/>
  <c r="F43" i="14"/>
  <c r="E42" i="14"/>
  <c r="F42" i="14"/>
  <c r="E36" i="14"/>
  <c r="C36" i="14"/>
  <c r="F36" i="14"/>
  <c r="C35" i="14"/>
  <c r="C31" i="14"/>
  <c r="C32" i="14"/>
  <c r="E30" i="14"/>
  <c r="C30" i="14"/>
  <c r="F30" i="14"/>
  <c r="C29" i="14"/>
  <c r="E29" i="14"/>
  <c r="E28" i="14"/>
  <c r="F28" i="14"/>
  <c r="E27" i="14"/>
  <c r="F27" i="14"/>
  <c r="C24" i="14"/>
  <c r="E24" i="14"/>
  <c r="F24" i="14"/>
  <c r="C23" i="14"/>
  <c r="E23" i="14"/>
  <c r="F23" i="14"/>
  <c r="E22" i="14"/>
  <c r="F22" i="14"/>
  <c r="C20" i="14"/>
  <c r="E20" i="14"/>
  <c r="F20" i="14"/>
  <c r="E19" i="14"/>
  <c r="F19" i="14"/>
  <c r="E18" i="14"/>
  <c r="F18" i="14"/>
  <c r="C17" i="14"/>
  <c r="E16" i="14"/>
  <c r="F16" i="14"/>
  <c r="E15" i="14"/>
  <c r="F15" i="14"/>
  <c r="D21" i="13"/>
  <c r="C21" i="13"/>
  <c r="E21" i="13"/>
  <c r="E20" i="13"/>
  <c r="F20" i="13"/>
  <c r="D17" i="13"/>
  <c r="C17" i="13"/>
  <c r="E17" i="13"/>
  <c r="E16" i="13"/>
  <c r="F16" i="13"/>
  <c r="D13" i="13"/>
  <c r="C13" i="13"/>
  <c r="E13" i="13"/>
  <c r="E12" i="13"/>
  <c r="F12" i="13"/>
  <c r="D99" i="12"/>
  <c r="C99" i="12"/>
  <c r="E99" i="12"/>
  <c r="E98" i="12"/>
  <c r="F98" i="12"/>
  <c r="E97" i="12"/>
  <c r="F97" i="12"/>
  <c r="E96" i="12"/>
  <c r="F96" i="12"/>
  <c r="D92" i="12"/>
  <c r="C92" i="12"/>
  <c r="E92" i="12"/>
  <c r="E91" i="12"/>
  <c r="F91" i="12"/>
  <c r="E90" i="12"/>
  <c r="F90" i="12"/>
  <c r="E89" i="12"/>
  <c r="F89" i="12"/>
  <c r="E88" i="12"/>
  <c r="F88" i="12"/>
  <c r="E87" i="12"/>
  <c r="F87" i="12"/>
  <c r="D84" i="12"/>
  <c r="C84" i="12"/>
  <c r="E84" i="12"/>
  <c r="E83" i="12"/>
  <c r="F83" i="12"/>
  <c r="E82" i="12"/>
  <c r="F82" i="12"/>
  <c r="E81" i="12"/>
  <c r="F81" i="12"/>
  <c r="F80" i="12"/>
  <c r="E80" i="12"/>
  <c r="E79" i="12"/>
  <c r="F79" i="12"/>
  <c r="D75" i="12"/>
  <c r="C75" i="12"/>
  <c r="E74" i="12"/>
  <c r="F74" i="12"/>
  <c r="E73" i="12"/>
  <c r="F73" i="12"/>
  <c r="D70" i="12"/>
  <c r="C70" i="12"/>
  <c r="E70" i="12"/>
  <c r="E69" i="12"/>
  <c r="F69" i="12"/>
  <c r="E68" i="12"/>
  <c r="F68" i="12"/>
  <c r="D65" i="12"/>
  <c r="C65" i="12"/>
  <c r="E65" i="12"/>
  <c r="E64" i="12"/>
  <c r="F64" i="12"/>
  <c r="E63" i="12"/>
  <c r="F63" i="12"/>
  <c r="D60" i="12"/>
  <c r="C60" i="12"/>
  <c r="F60" i="12"/>
  <c r="F59" i="12"/>
  <c r="E59" i="12"/>
  <c r="F58" i="12"/>
  <c r="E58" i="12"/>
  <c r="E60" i="12"/>
  <c r="D55" i="12"/>
  <c r="C55" i="12"/>
  <c r="E55" i="12"/>
  <c r="F54" i="12"/>
  <c r="E54" i="12"/>
  <c r="E53" i="12"/>
  <c r="F53" i="12"/>
  <c r="D50" i="12"/>
  <c r="C50" i="12"/>
  <c r="E50" i="12"/>
  <c r="E49" i="12"/>
  <c r="F49" i="12"/>
  <c r="E48" i="12"/>
  <c r="F48" i="12"/>
  <c r="D45" i="12"/>
  <c r="C45" i="12"/>
  <c r="E45" i="12"/>
  <c r="E44" i="12"/>
  <c r="F44" i="12"/>
  <c r="E43" i="12"/>
  <c r="F43" i="12"/>
  <c r="D37" i="12"/>
  <c r="C37" i="12"/>
  <c r="E37" i="12"/>
  <c r="F36" i="12"/>
  <c r="E36" i="12"/>
  <c r="E35" i="12"/>
  <c r="F35" i="12"/>
  <c r="E34" i="12"/>
  <c r="F34" i="12"/>
  <c r="E33" i="12"/>
  <c r="F33" i="12"/>
  <c r="D30" i="12"/>
  <c r="E30" i="12"/>
  <c r="C30" i="12"/>
  <c r="F30" i="12"/>
  <c r="F29" i="12"/>
  <c r="E29" i="12"/>
  <c r="F28" i="12"/>
  <c r="E28" i="12"/>
  <c r="F27" i="12"/>
  <c r="E27" i="12"/>
  <c r="F26" i="12"/>
  <c r="E26" i="12"/>
  <c r="D23" i="12"/>
  <c r="C23" i="12"/>
  <c r="E23" i="12"/>
  <c r="E22" i="12"/>
  <c r="F22" i="12"/>
  <c r="E21" i="12"/>
  <c r="F21" i="12"/>
  <c r="E20" i="12"/>
  <c r="F20" i="12"/>
  <c r="E19" i="12"/>
  <c r="F19" i="12"/>
  <c r="D16" i="12"/>
  <c r="C16" i="12"/>
  <c r="E16" i="12"/>
  <c r="F15" i="12"/>
  <c r="E15" i="12"/>
  <c r="E14" i="12"/>
  <c r="F14" i="12"/>
  <c r="E13" i="12"/>
  <c r="F13" i="12"/>
  <c r="E12" i="12"/>
  <c r="F12" i="12"/>
  <c r="I37" i="11"/>
  <c r="H37" i="11"/>
  <c r="I29" i="11"/>
  <c r="H29" i="11"/>
  <c r="I27" i="11"/>
  <c r="H27" i="11"/>
  <c r="I25" i="11"/>
  <c r="H25" i="11"/>
  <c r="I23" i="11"/>
  <c r="H23" i="11"/>
  <c r="I21" i="11"/>
  <c r="H21" i="11"/>
  <c r="I19" i="11"/>
  <c r="H19" i="11"/>
  <c r="G17" i="11"/>
  <c r="G31" i="11"/>
  <c r="G33" i="11"/>
  <c r="F17" i="11"/>
  <c r="F31" i="11"/>
  <c r="E17" i="11"/>
  <c r="E33" i="11"/>
  <c r="E36" i="11"/>
  <c r="E38" i="11"/>
  <c r="E40" i="11"/>
  <c r="D17" i="11"/>
  <c r="D33" i="11"/>
  <c r="D36" i="11"/>
  <c r="D38" i="11"/>
  <c r="D40" i="11"/>
  <c r="C17" i="11"/>
  <c r="C31" i="11"/>
  <c r="I16" i="11"/>
  <c r="H16" i="11"/>
  <c r="I15" i="11"/>
  <c r="H15" i="11"/>
  <c r="I13" i="11"/>
  <c r="H13" i="11"/>
  <c r="I11" i="11"/>
  <c r="H11" i="11"/>
  <c r="E79" i="10"/>
  <c r="D79" i="10"/>
  <c r="C79" i="10"/>
  <c r="E78" i="10"/>
  <c r="E80" i="10"/>
  <c r="E77" i="10"/>
  <c r="D78" i="10"/>
  <c r="D80" i="10"/>
  <c r="D77" i="10"/>
  <c r="C78" i="10"/>
  <c r="C80" i="10"/>
  <c r="C77" i="10"/>
  <c r="E73" i="10"/>
  <c r="E75" i="10"/>
  <c r="D73" i="10"/>
  <c r="D75" i="10"/>
  <c r="C73" i="10"/>
  <c r="C75" i="10"/>
  <c r="E71" i="10"/>
  <c r="D71" i="10"/>
  <c r="C71" i="10"/>
  <c r="E66" i="10"/>
  <c r="E65" i="10"/>
  <c r="D66" i="10"/>
  <c r="D65" i="10"/>
  <c r="C66" i="10"/>
  <c r="C65" i="10"/>
  <c r="E60" i="10"/>
  <c r="D60" i="10"/>
  <c r="C60" i="10"/>
  <c r="C59" i="10"/>
  <c r="C61" i="10"/>
  <c r="C57" i="10"/>
  <c r="E58" i="10"/>
  <c r="D58" i="10"/>
  <c r="C58" i="10"/>
  <c r="E55" i="10"/>
  <c r="E50" i="10"/>
  <c r="D55" i="10"/>
  <c r="C55" i="10"/>
  <c r="E54" i="10"/>
  <c r="D54" i="10"/>
  <c r="C54" i="10"/>
  <c r="C50" i="10"/>
  <c r="D50" i="10"/>
  <c r="E46" i="10"/>
  <c r="E59" i="10"/>
  <c r="E61" i="10"/>
  <c r="E57" i="10"/>
  <c r="D46" i="10"/>
  <c r="D48" i="10"/>
  <c r="D42" i="10"/>
  <c r="C46" i="10"/>
  <c r="C48" i="10"/>
  <c r="C42" i="10"/>
  <c r="E45" i="10"/>
  <c r="D45" i="10"/>
  <c r="C45" i="10"/>
  <c r="E38" i="10"/>
  <c r="D38" i="10"/>
  <c r="C38" i="10"/>
  <c r="E33" i="10"/>
  <c r="E34" i="10"/>
  <c r="D33" i="10"/>
  <c r="D34" i="10"/>
  <c r="E26" i="10"/>
  <c r="D26" i="10"/>
  <c r="C26" i="10"/>
  <c r="E13" i="10"/>
  <c r="D13" i="10"/>
  <c r="C13" i="10"/>
  <c r="D46" i="9"/>
  <c r="C46" i="9"/>
  <c r="F46" i="9"/>
  <c r="F45" i="9"/>
  <c r="E45" i="9"/>
  <c r="F44" i="9"/>
  <c r="E44" i="9"/>
  <c r="D39" i="9"/>
  <c r="C39" i="9"/>
  <c r="E38" i="9"/>
  <c r="F38" i="9"/>
  <c r="E37" i="9"/>
  <c r="F37" i="9"/>
  <c r="E36" i="9"/>
  <c r="F36" i="9"/>
  <c r="D31" i="9"/>
  <c r="C31" i="9"/>
  <c r="E30" i="9"/>
  <c r="F30" i="9"/>
  <c r="E29" i="9"/>
  <c r="F29" i="9"/>
  <c r="E28" i="9"/>
  <c r="F28" i="9"/>
  <c r="E27" i="9"/>
  <c r="F27" i="9"/>
  <c r="E26" i="9"/>
  <c r="F26" i="9"/>
  <c r="E25" i="9"/>
  <c r="F25" i="9"/>
  <c r="E24" i="9"/>
  <c r="F24" i="9"/>
  <c r="E23" i="9"/>
  <c r="F23" i="9"/>
  <c r="E22" i="9"/>
  <c r="F22" i="9"/>
  <c r="E18" i="9"/>
  <c r="F18" i="9"/>
  <c r="E17" i="9"/>
  <c r="F17" i="9"/>
  <c r="D16" i="9"/>
  <c r="E16" i="9"/>
  <c r="C16" i="9"/>
  <c r="F15" i="9"/>
  <c r="E15" i="9"/>
  <c r="E14" i="9"/>
  <c r="F14" i="9"/>
  <c r="E13" i="9"/>
  <c r="F13" i="9"/>
  <c r="E12" i="9"/>
  <c r="F12" i="9"/>
  <c r="D73" i="8"/>
  <c r="E73" i="8"/>
  <c r="C73" i="8"/>
  <c r="E72" i="8"/>
  <c r="F72" i="8"/>
  <c r="E71" i="8"/>
  <c r="F71" i="8"/>
  <c r="E70" i="8"/>
  <c r="F70" i="8"/>
  <c r="F67" i="8"/>
  <c r="E67" i="8"/>
  <c r="F64" i="8"/>
  <c r="E64" i="8"/>
  <c r="F63" i="8"/>
  <c r="E63" i="8"/>
  <c r="D61" i="8"/>
  <c r="D65" i="8"/>
  <c r="E61" i="8"/>
  <c r="F61" i="8"/>
  <c r="C61" i="8"/>
  <c r="C65" i="8"/>
  <c r="E60" i="8"/>
  <c r="F60" i="8"/>
  <c r="F59" i="8"/>
  <c r="E59" i="8"/>
  <c r="D56" i="8"/>
  <c r="E56" i="8"/>
  <c r="C56" i="8"/>
  <c r="E55" i="8"/>
  <c r="F55" i="8"/>
  <c r="F54" i="8"/>
  <c r="E54" i="8"/>
  <c r="E53" i="8"/>
  <c r="F53" i="8"/>
  <c r="E52" i="8"/>
  <c r="F52" i="8"/>
  <c r="E51" i="8"/>
  <c r="F51" i="8"/>
  <c r="E50" i="8"/>
  <c r="F50" i="8"/>
  <c r="A50" i="8"/>
  <c r="A51" i="8"/>
  <c r="A52" i="8"/>
  <c r="A53" i="8"/>
  <c r="A54" i="8"/>
  <c r="A55" i="8"/>
  <c r="E49" i="8"/>
  <c r="F49" i="8"/>
  <c r="F40" i="8"/>
  <c r="E40" i="8"/>
  <c r="D38" i="8"/>
  <c r="E38" i="8"/>
  <c r="F38" i="8"/>
  <c r="C38" i="8"/>
  <c r="C41" i="8"/>
  <c r="F37" i="8"/>
  <c r="E37" i="8"/>
  <c r="F36" i="8"/>
  <c r="E36" i="8"/>
  <c r="F33" i="8"/>
  <c r="E33" i="8"/>
  <c r="F32" i="8"/>
  <c r="E32" i="8"/>
  <c r="F31" i="8"/>
  <c r="E31" i="8"/>
  <c r="D29" i="8"/>
  <c r="E29" i="8"/>
  <c r="F29" i="8"/>
  <c r="C29" i="8"/>
  <c r="F28" i="8"/>
  <c r="E28" i="8"/>
  <c r="F27" i="8"/>
  <c r="E27" i="8"/>
  <c r="F26" i="8"/>
  <c r="E26" i="8"/>
  <c r="F25" i="8"/>
  <c r="E25" i="8"/>
  <c r="D22" i="8"/>
  <c r="E22" i="8"/>
  <c r="F22" i="8"/>
  <c r="C22" i="8"/>
  <c r="C43" i="8"/>
  <c r="E21" i="8"/>
  <c r="F21" i="8"/>
  <c r="E20" i="8"/>
  <c r="F20" i="8"/>
  <c r="E19" i="8"/>
  <c r="F19" i="8"/>
  <c r="F18" i="8"/>
  <c r="E18" i="8"/>
  <c r="E17" i="8"/>
  <c r="F17" i="8"/>
  <c r="F16" i="8"/>
  <c r="E16" i="8"/>
  <c r="E15" i="8"/>
  <c r="F15" i="8"/>
  <c r="F14" i="8"/>
  <c r="E14" i="8"/>
  <c r="E13" i="8"/>
  <c r="F13" i="8"/>
  <c r="D120" i="7"/>
  <c r="C120" i="7"/>
  <c r="D119" i="7"/>
  <c r="E119" i="7"/>
  <c r="C119" i="7"/>
  <c r="D118" i="7"/>
  <c r="E118" i="7"/>
  <c r="C118" i="7"/>
  <c r="D117" i="7"/>
  <c r="C117" i="7"/>
  <c r="D116" i="7"/>
  <c r="C116" i="7"/>
  <c r="D115" i="7"/>
  <c r="C115" i="7"/>
  <c r="D114" i="7"/>
  <c r="E114" i="7"/>
  <c r="C114" i="7"/>
  <c r="F114" i="7"/>
  <c r="D113" i="7"/>
  <c r="C113" i="7"/>
  <c r="D112" i="7"/>
  <c r="E112" i="7"/>
  <c r="F112" i="7"/>
  <c r="C112" i="7"/>
  <c r="C121" i="7"/>
  <c r="D108" i="7"/>
  <c r="C108" i="7"/>
  <c r="D107" i="7"/>
  <c r="E107" i="7"/>
  <c r="C107" i="7"/>
  <c r="F107" i="7"/>
  <c r="E106" i="7"/>
  <c r="F106" i="7"/>
  <c r="E105" i="7"/>
  <c r="F105" i="7"/>
  <c r="E104" i="7"/>
  <c r="F104" i="7"/>
  <c r="E103" i="7"/>
  <c r="F103" i="7"/>
  <c r="E102" i="7"/>
  <c r="F102" i="7"/>
  <c r="E101" i="7"/>
  <c r="F101" i="7"/>
  <c r="E100" i="7"/>
  <c r="F100" i="7"/>
  <c r="E99" i="7"/>
  <c r="F99" i="7"/>
  <c r="E98" i="7"/>
  <c r="F98" i="7"/>
  <c r="D96" i="7"/>
  <c r="C96" i="7"/>
  <c r="D95" i="7"/>
  <c r="E95" i="7"/>
  <c r="C95" i="7"/>
  <c r="E94" i="7"/>
  <c r="F94" i="7"/>
  <c r="E93" i="7"/>
  <c r="F93" i="7"/>
  <c r="E92" i="7"/>
  <c r="F92" i="7"/>
  <c r="E91" i="7"/>
  <c r="F91" i="7"/>
  <c r="E90" i="7"/>
  <c r="F90" i="7"/>
  <c r="E89" i="7"/>
  <c r="F89" i="7"/>
  <c r="E88" i="7"/>
  <c r="F88" i="7"/>
  <c r="E87" i="7"/>
  <c r="F87" i="7"/>
  <c r="E86" i="7"/>
  <c r="F86" i="7"/>
  <c r="D84" i="7"/>
  <c r="E84" i="7"/>
  <c r="C84" i="7"/>
  <c r="F84" i="7"/>
  <c r="D83" i="7"/>
  <c r="E83" i="7"/>
  <c r="C83" i="7"/>
  <c r="F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E72" i="7"/>
  <c r="C72" i="7"/>
  <c r="F72" i="7"/>
  <c r="D71" i="7"/>
  <c r="E71" i="7"/>
  <c r="C71" i="7"/>
  <c r="F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E60" i="7"/>
  <c r="C60" i="7"/>
  <c r="F60" i="7"/>
  <c r="D59" i="7"/>
  <c r="E59" i="7"/>
  <c r="C59" i="7"/>
  <c r="F59" i="7"/>
  <c r="F58" i="7"/>
  <c r="E58" i="7"/>
  <c r="F57" i="7"/>
  <c r="E57" i="7"/>
  <c r="F56" i="7"/>
  <c r="E56" i="7"/>
  <c r="F55" i="7"/>
  <c r="E55" i="7"/>
  <c r="F54" i="7"/>
  <c r="E54" i="7"/>
  <c r="F53" i="7"/>
  <c r="E53" i="7"/>
  <c r="F52" i="7"/>
  <c r="E52" i="7"/>
  <c r="F51" i="7"/>
  <c r="E51" i="7"/>
  <c r="F50" i="7"/>
  <c r="E50" i="7"/>
  <c r="D48" i="7"/>
  <c r="E48" i="7"/>
  <c r="C48" i="7"/>
  <c r="F48" i="7"/>
  <c r="D47" i="7"/>
  <c r="E47" i="7"/>
  <c r="C47" i="7"/>
  <c r="F47" i="7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C36" i="7"/>
  <c r="D35" i="7"/>
  <c r="E35" i="7"/>
  <c r="C35" i="7"/>
  <c r="F35" i="7"/>
  <c r="E34" i="7"/>
  <c r="F34" i="7"/>
  <c r="E33" i="7"/>
  <c r="F33" i="7"/>
  <c r="E32" i="7"/>
  <c r="F32" i="7"/>
  <c r="E31" i="7"/>
  <c r="F31" i="7"/>
  <c r="E30" i="7"/>
  <c r="F30" i="7"/>
  <c r="E29" i="7"/>
  <c r="F29" i="7"/>
  <c r="E28" i="7"/>
  <c r="F28" i="7"/>
  <c r="E27" i="7"/>
  <c r="F27" i="7"/>
  <c r="E26" i="7"/>
  <c r="F26" i="7"/>
  <c r="D24" i="7"/>
  <c r="E24" i="7"/>
  <c r="C24" i="7"/>
  <c r="F24" i="7"/>
  <c r="D23" i="7"/>
  <c r="E23" i="7"/>
  <c r="C23" i="7"/>
  <c r="F23" i="7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D206" i="6"/>
  <c r="E206" i="6"/>
  <c r="F206" i="6"/>
  <c r="C206" i="6"/>
  <c r="D205" i="6"/>
  <c r="E205" i="6"/>
  <c r="F205" i="6"/>
  <c r="C205" i="6"/>
  <c r="D204" i="6"/>
  <c r="E204" i="6"/>
  <c r="F204" i="6"/>
  <c r="C204" i="6"/>
  <c r="D203" i="6"/>
  <c r="E203" i="6"/>
  <c r="F203" i="6"/>
  <c r="C203" i="6"/>
  <c r="D202" i="6"/>
  <c r="E202" i="6"/>
  <c r="F202" i="6"/>
  <c r="C202" i="6"/>
  <c r="D201" i="6"/>
  <c r="C201" i="6"/>
  <c r="D200" i="6"/>
  <c r="E200" i="6"/>
  <c r="C200" i="6"/>
  <c r="D199" i="6"/>
  <c r="D208" i="6"/>
  <c r="C199" i="6"/>
  <c r="D198" i="6"/>
  <c r="E198" i="6"/>
  <c r="F198" i="6"/>
  <c r="C198" i="6"/>
  <c r="C207" i="6"/>
  <c r="D193" i="6"/>
  <c r="E193" i="6"/>
  <c r="C193" i="6"/>
  <c r="F193" i="6"/>
  <c r="D192" i="6"/>
  <c r="C192" i="6"/>
  <c r="E192" i="6"/>
  <c r="F191" i="6"/>
  <c r="E191" i="6"/>
  <c r="F190" i="6"/>
  <c r="E190" i="6"/>
  <c r="E189" i="6"/>
  <c r="F189" i="6"/>
  <c r="F188" i="6"/>
  <c r="E188" i="6"/>
  <c r="F187" i="6"/>
  <c r="E187" i="6"/>
  <c r="E186" i="6"/>
  <c r="F186" i="6"/>
  <c r="E185" i="6"/>
  <c r="F185" i="6"/>
  <c r="F184" i="6"/>
  <c r="E184" i="6"/>
  <c r="F183" i="6"/>
  <c r="E183" i="6"/>
  <c r="D180" i="6"/>
  <c r="E180" i="6"/>
  <c r="C180" i="6"/>
  <c r="F180" i="6"/>
  <c r="D179" i="6"/>
  <c r="E179" i="6"/>
  <c r="C179" i="6"/>
  <c r="F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E167" i="6"/>
  <c r="C167" i="6"/>
  <c r="F167" i="6"/>
  <c r="D166" i="6"/>
  <c r="E166" i="6"/>
  <c r="C166" i="6"/>
  <c r="F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E154" i="6"/>
  <c r="C154" i="6"/>
  <c r="D153" i="6"/>
  <c r="C153" i="6"/>
  <c r="E153" i="6"/>
  <c r="E152" i="6"/>
  <c r="F152" i="6"/>
  <c r="E151" i="6"/>
  <c r="F151" i="6"/>
  <c r="E150" i="6"/>
  <c r="F150" i="6"/>
  <c r="E149" i="6"/>
  <c r="F149" i="6"/>
  <c r="E148" i="6"/>
  <c r="F148" i="6"/>
  <c r="E147" i="6"/>
  <c r="F147" i="6"/>
  <c r="E146" i="6"/>
  <c r="F146" i="6"/>
  <c r="E145" i="6"/>
  <c r="F145" i="6"/>
  <c r="E144" i="6"/>
  <c r="F144" i="6"/>
  <c r="D141" i="6"/>
  <c r="E141" i="6"/>
  <c r="C141" i="6"/>
  <c r="F141" i="6"/>
  <c r="D140" i="6"/>
  <c r="E140" i="6"/>
  <c r="C140" i="6"/>
  <c r="F140" i="6"/>
  <c r="F139" i="6"/>
  <c r="E139" i="6"/>
  <c r="F138" i="6"/>
  <c r="E138" i="6"/>
  <c r="F137" i="6"/>
  <c r="E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D128" i="6"/>
  <c r="E128" i="6"/>
  <c r="C128" i="6"/>
  <c r="F128" i="6"/>
  <c r="D127" i="6"/>
  <c r="C127" i="6"/>
  <c r="E127" i="6"/>
  <c r="E126" i="6"/>
  <c r="F126" i="6"/>
  <c r="E125" i="6"/>
  <c r="F125" i="6"/>
  <c r="E124" i="6"/>
  <c r="F124" i="6"/>
  <c r="E123" i="6"/>
  <c r="F123" i="6"/>
  <c r="E122" i="6"/>
  <c r="F122" i="6"/>
  <c r="E121" i="6"/>
  <c r="F121" i="6"/>
  <c r="E120" i="6"/>
  <c r="F120" i="6"/>
  <c r="E119" i="6"/>
  <c r="F119" i="6"/>
  <c r="E118" i="6"/>
  <c r="F118" i="6"/>
  <c r="D115" i="6"/>
  <c r="E115" i="6"/>
  <c r="C115" i="6"/>
  <c r="D114" i="6"/>
  <c r="C114" i="6"/>
  <c r="E114" i="6"/>
  <c r="E113" i="6"/>
  <c r="F113" i="6"/>
  <c r="E112" i="6"/>
  <c r="F112" i="6"/>
  <c r="E111" i="6"/>
  <c r="F111" i="6"/>
  <c r="E110" i="6"/>
  <c r="F110" i="6"/>
  <c r="E109" i="6"/>
  <c r="F109" i="6"/>
  <c r="E108" i="6"/>
  <c r="F108" i="6"/>
  <c r="E107" i="6"/>
  <c r="F107" i="6"/>
  <c r="E106" i="6"/>
  <c r="F106" i="6"/>
  <c r="E105" i="6"/>
  <c r="F105" i="6"/>
  <c r="D102" i="6"/>
  <c r="E102" i="6"/>
  <c r="C102" i="6"/>
  <c r="F102" i="6"/>
  <c r="D101" i="6"/>
  <c r="E101" i="6"/>
  <c r="C101" i="6"/>
  <c r="F101" i="6"/>
  <c r="F100" i="6"/>
  <c r="E100" i="6"/>
  <c r="F99" i="6"/>
  <c r="E99" i="6"/>
  <c r="F98" i="6"/>
  <c r="E98" i="6"/>
  <c r="F97" i="6"/>
  <c r="E97" i="6"/>
  <c r="F96" i="6"/>
  <c r="E96" i="6"/>
  <c r="F95" i="6"/>
  <c r="E95" i="6"/>
  <c r="F94" i="6"/>
  <c r="E94" i="6"/>
  <c r="F93" i="6"/>
  <c r="E93" i="6"/>
  <c r="F92" i="6"/>
  <c r="E92" i="6"/>
  <c r="D89" i="6"/>
  <c r="E89" i="6"/>
  <c r="C89" i="6"/>
  <c r="F89" i="6"/>
  <c r="D88" i="6"/>
  <c r="E88" i="6"/>
  <c r="C88" i="6"/>
  <c r="F88" i="6"/>
  <c r="F87" i="6"/>
  <c r="E87" i="6"/>
  <c r="F86" i="6"/>
  <c r="E86" i="6"/>
  <c r="F85" i="6"/>
  <c r="E85" i="6"/>
  <c r="F84" i="6"/>
  <c r="E84" i="6"/>
  <c r="F83" i="6"/>
  <c r="E83" i="6"/>
  <c r="F82" i="6"/>
  <c r="E82" i="6"/>
  <c r="F81" i="6"/>
  <c r="E81" i="6"/>
  <c r="F80" i="6"/>
  <c r="E80" i="6"/>
  <c r="F79" i="6"/>
  <c r="E79" i="6"/>
  <c r="D76" i="6"/>
  <c r="E76" i="6"/>
  <c r="C76" i="6"/>
  <c r="F76" i="6"/>
  <c r="D75" i="6"/>
  <c r="C75" i="6"/>
  <c r="E75" i="6"/>
  <c r="E74" i="6"/>
  <c r="F74" i="6"/>
  <c r="E73" i="6"/>
  <c r="F73" i="6"/>
  <c r="E72" i="6"/>
  <c r="F72" i="6"/>
  <c r="E71" i="6"/>
  <c r="F71" i="6"/>
  <c r="E70" i="6"/>
  <c r="F70" i="6"/>
  <c r="E69" i="6"/>
  <c r="F69" i="6"/>
  <c r="E68" i="6"/>
  <c r="F68" i="6"/>
  <c r="E67" i="6"/>
  <c r="F67" i="6"/>
  <c r="E66" i="6"/>
  <c r="F66" i="6"/>
  <c r="D63" i="6"/>
  <c r="E63" i="6"/>
  <c r="C63" i="6"/>
  <c r="D62" i="6"/>
  <c r="C62" i="6"/>
  <c r="E62" i="6"/>
  <c r="E61" i="6"/>
  <c r="F61" i="6"/>
  <c r="E60" i="6"/>
  <c r="F60" i="6"/>
  <c r="E59" i="6"/>
  <c r="F59" i="6"/>
  <c r="E58" i="6"/>
  <c r="F58" i="6"/>
  <c r="E57" i="6"/>
  <c r="F57" i="6"/>
  <c r="E56" i="6"/>
  <c r="F56" i="6"/>
  <c r="E55" i="6"/>
  <c r="F55" i="6"/>
  <c r="E54" i="6"/>
  <c r="F54" i="6"/>
  <c r="E53" i="6"/>
  <c r="F53" i="6"/>
  <c r="D50" i="6"/>
  <c r="E50" i="6"/>
  <c r="C50" i="6"/>
  <c r="F50" i="6"/>
  <c r="D49" i="6"/>
  <c r="C49" i="6"/>
  <c r="E49" i="6"/>
  <c r="E48" i="6"/>
  <c r="F48" i="6"/>
  <c r="E47" i="6"/>
  <c r="F47" i="6"/>
  <c r="E46" i="6"/>
  <c r="F46" i="6"/>
  <c r="E45" i="6"/>
  <c r="F45" i="6"/>
  <c r="E44" i="6"/>
  <c r="F44" i="6"/>
  <c r="E43" i="6"/>
  <c r="F43" i="6"/>
  <c r="E42" i="6"/>
  <c r="F42" i="6"/>
  <c r="E41" i="6"/>
  <c r="F41" i="6"/>
  <c r="E40" i="6"/>
  <c r="F40" i="6"/>
  <c r="D37" i="6"/>
  <c r="E37" i="6"/>
  <c r="C37" i="6"/>
  <c r="D36" i="6"/>
  <c r="C36" i="6"/>
  <c r="E36" i="6"/>
  <c r="E35" i="6"/>
  <c r="F35" i="6"/>
  <c r="E34" i="6"/>
  <c r="F34" i="6"/>
  <c r="E33" i="6"/>
  <c r="F33" i="6"/>
  <c r="E32" i="6"/>
  <c r="F32" i="6"/>
  <c r="E31" i="6"/>
  <c r="F31" i="6"/>
  <c r="E30" i="6"/>
  <c r="F30" i="6"/>
  <c r="E29" i="6"/>
  <c r="F29" i="6"/>
  <c r="E28" i="6"/>
  <c r="F28" i="6"/>
  <c r="E27" i="6"/>
  <c r="F27" i="6"/>
  <c r="D24" i="6"/>
  <c r="E24" i="6"/>
  <c r="C24" i="6"/>
  <c r="F24" i="6"/>
  <c r="D23" i="6"/>
  <c r="C23" i="6"/>
  <c r="E23" i="6"/>
  <c r="E22" i="6"/>
  <c r="F22" i="6"/>
  <c r="E21" i="6"/>
  <c r="F21" i="6"/>
  <c r="E20" i="6"/>
  <c r="F20" i="6"/>
  <c r="E19" i="6"/>
  <c r="F19" i="6"/>
  <c r="E18" i="6"/>
  <c r="F18" i="6"/>
  <c r="E17" i="6"/>
  <c r="F17" i="6"/>
  <c r="E16" i="6"/>
  <c r="F16" i="6"/>
  <c r="E15" i="6"/>
  <c r="F15" i="6"/>
  <c r="E14" i="6"/>
  <c r="F14" i="6"/>
  <c r="E191" i="5"/>
  <c r="D191" i="5"/>
  <c r="C191" i="5"/>
  <c r="E176" i="5"/>
  <c r="D176" i="5"/>
  <c r="C176" i="5"/>
  <c r="E164" i="5"/>
  <c r="D164" i="5"/>
  <c r="D160" i="5"/>
  <c r="C164" i="5"/>
  <c r="E162" i="5"/>
  <c r="D162" i="5"/>
  <c r="C162" i="5"/>
  <c r="E161" i="5"/>
  <c r="D161" i="5"/>
  <c r="C161" i="5"/>
  <c r="E160" i="5"/>
  <c r="E166" i="5"/>
  <c r="C160" i="5"/>
  <c r="C166" i="5"/>
  <c r="E147" i="5"/>
  <c r="D147" i="5"/>
  <c r="D143" i="5"/>
  <c r="C147" i="5"/>
  <c r="E145" i="5"/>
  <c r="D145" i="5"/>
  <c r="C145" i="5"/>
  <c r="E144" i="5"/>
  <c r="D144" i="5"/>
  <c r="C144" i="5"/>
  <c r="E143" i="5"/>
  <c r="E149" i="5"/>
  <c r="C143" i="5"/>
  <c r="C149" i="5"/>
  <c r="E126" i="5"/>
  <c r="D126" i="5"/>
  <c r="C126" i="5"/>
  <c r="E119" i="5"/>
  <c r="D119" i="5"/>
  <c r="C119" i="5"/>
  <c r="E108" i="5"/>
  <c r="D108" i="5"/>
  <c r="C108" i="5"/>
  <c r="E107" i="5"/>
  <c r="E109" i="5"/>
  <c r="E106" i="5"/>
  <c r="D107" i="5"/>
  <c r="C107" i="5"/>
  <c r="C109" i="5"/>
  <c r="C106" i="5"/>
  <c r="E102" i="5"/>
  <c r="E104" i="5"/>
  <c r="D102" i="5"/>
  <c r="D104" i="5"/>
  <c r="C102" i="5"/>
  <c r="C104" i="5"/>
  <c r="E100" i="5"/>
  <c r="D100" i="5"/>
  <c r="C100" i="5"/>
  <c r="E95" i="5"/>
  <c r="E94" i="5"/>
  <c r="D95" i="5"/>
  <c r="D94" i="5"/>
  <c r="C95" i="5"/>
  <c r="C94" i="5"/>
  <c r="E89" i="5"/>
  <c r="D89" i="5"/>
  <c r="C89" i="5"/>
  <c r="E87" i="5"/>
  <c r="D87" i="5"/>
  <c r="C87" i="5"/>
  <c r="E84" i="5"/>
  <c r="D84" i="5"/>
  <c r="D79" i="5"/>
  <c r="C84" i="5"/>
  <c r="E83" i="5"/>
  <c r="D83" i="5"/>
  <c r="C83" i="5"/>
  <c r="C79" i="5"/>
  <c r="E75" i="5"/>
  <c r="E88" i="5"/>
  <c r="E90" i="5"/>
  <c r="E86" i="5"/>
  <c r="D75" i="5"/>
  <c r="C75" i="5"/>
  <c r="C77" i="5"/>
  <c r="C71" i="5"/>
  <c r="E74" i="5"/>
  <c r="D74" i="5"/>
  <c r="C74" i="5"/>
  <c r="E67" i="5"/>
  <c r="D67" i="5"/>
  <c r="C67" i="5"/>
  <c r="E38" i="5"/>
  <c r="E49" i="5"/>
  <c r="D38" i="5"/>
  <c r="D53" i="5"/>
  <c r="D49" i="5"/>
  <c r="C38" i="5"/>
  <c r="C57" i="5"/>
  <c r="C62" i="5"/>
  <c r="D34" i="5"/>
  <c r="E33" i="5"/>
  <c r="E34" i="5"/>
  <c r="D33" i="5"/>
  <c r="E26" i="5"/>
  <c r="D26" i="5"/>
  <c r="C26" i="5"/>
  <c r="E13" i="5"/>
  <c r="E15" i="5"/>
  <c r="D13" i="5"/>
  <c r="C13" i="5"/>
  <c r="C25" i="5"/>
  <c r="C27" i="5"/>
  <c r="E186" i="4"/>
  <c r="F186" i="4"/>
  <c r="D183" i="4"/>
  <c r="C183" i="4"/>
  <c r="E183" i="4"/>
  <c r="F182" i="4"/>
  <c r="E182" i="4"/>
  <c r="F181" i="4"/>
  <c r="E181" i="4"/>
  <c r="F180" i="4"/>
  <c r="E180" i="4"/>
  <c r="F179" i="4"/>
  <c r="E179" i="4"/>
  <c r="F178" i="4"/>
  <c r="E178" i="4"/>
  <c r="F177" i="4"/>
  <c r="E177" i="4"/>
  <c r="F176" i="4"/>
  <c r="E176" i="4"/>
  <c r="F175" i="4"/>
  <c r="E175" i="4"/>
  <c r="F174" i="4"/>
  <c r="E174" i="4"/>
  <c r="F173" i="4"/>
  <c r="E173" i="4"/>
  <c r="F172" i="4"/>
  <c r="E172" i="4"/>
  <c r="F171" i="4"/>
  <c r="E171" i="4"/>
  <c r="F170" i="4"/>
  <c r="E170" i="4"/>
  <c r="D167" i="4"/>
  <c r="C167" i="4"/>
  <c r="E166" i="4"/>
  <c r="F166" i="4"/>
  <c r="F165" i="4"/>
  <c r="E165" i="4"/>
  <c r="E164" i="4"/>
  <c r="F164" i="4"/>
  <c r="E163" i="4"/>
  <c r="F163" i="4"/>
  <c r="F162" i="4"/>
  <c r="E162" i="4"/>
  <c r="E161" i="4"/>
  <c r="F161" i="4"/>
  <c r="E160" i="4"/>
  <c r="F160" i="4"/>
  <c r="F159" i="4"/>
  <c r="E159" i="4"/>
  <c r="F158" i="4"/>
  <c r="E158" i="4"/>
  <c r="E157" i="4"/>
  <c r="F157" i="4"/>
  <c r="E156" i="4"/>
  <c r="F156" i="4"/>
  <c r="E155" i="4"/>
  <c r="F155" i="4"/>
  <c r="E154" i="4"/>
  <c r="F154" i="4"/>
  <c r="F153" i="4"/>
  <c r="E153" i="4"/>
  <c r="E152" i="4"/>
  <c r="F152" i="4"/>
  <c r="E151" i="4"/>
  <c r="F151" i="4"/>
  <c r="E150" i="4"/>
  <c r="F150" i="4"/>
  <c r="F149" i="4"/>
  <c r="E149" i="4"/>
  <c r="F148" i="4"/>
  <c r="E148" i="4"/>
  <c r="F147" i="4"/>
  <c r="E147" i="4"/>
  <c r="E146" i="4"/>
  <c r="F146" i="4"/>
  <c r="F145" i="4"/>
  <c r="E145" i="4"/>
  <c r="E144" i="4"/>
  <c r="F144" i="4"/>
  <c r="E143" i="4"/>
  <c r="F143" i="4"/>
  <c r="E142" i="4"/>
  <c r="F142" i="4"/>
  <c r="E141" i="4"/>
  <c r="F141" i="4"/>
  <c r="E140" i="4"/>
  <c r="F140" i="4"/>
  <c r="E139" i="4"/>
  <c r="F139" i="4"/>
  <c r="E138" i="4"/>
  <c r="F138" i="4"/>
  <c r="E137" i="4"/>
  <c r="F137" i="4"/>
  <c r="E136" i="4"/>
  <c r="F136" i="4"/>
  <c r="E135" i="4"/>
  <c r="F135" i="4"/>
  <c r="E134" i="4"/>
  <c r="F134" i="4"/>
  <c r="E133" i="4"/>
  <c r="F133" i="4"/>
  <c r="D130" i="4"/>
  <c r="C130" i="4"/>
  <c r="E129" i="4"/>
  <c r="F129" i="4"/>
  <c r="E128" i="4"/>
  <c r="F128" i="4"/>
  <c r="E127" i="4"/>
  <c r="F127" i="4"/>
  <c r="E126" i="4"/>
  <c r="F126" i="4"/>
  <c r="E125" i="4"/>
  <c r="F125" i="4"/>
  <c r="E124" i="4"/>
  <c r="F124" i="4"/>
  <c r="D121" i="4"/>
  <c r="E121" i="4"/>
  <c r="C121" i="4"/>
  <c r="E120" i="4"/>
  <c r="F120" i="4"/>
  <c r="E119" i="4"/>
  <c r="F119" i="4"/>
  <c r="E118" i="4"/>
  <c r="F118" i="4"/>
  <c r="E117" i="4"/>
  <c r="F117" i="4"/>
  <c r="E116" i="4"/>
  <c r="F116" i="4"/>
  <c r="E115" i="4"/>
  <c r="F115" i="4"/>
  <c r="E114" i="4"/>
  <c r="F114" i="4"/>
  <c r="E113" i="4"/>
  <c r="F113" i="4"/>
  <c r="E112" i="4"/>
  <c r="F112" i="4"/>
  <c r="E111" i="4"/>
  <c r="F111" i="4"/>
  <c r="E110" i="4"/>
  <c r="F110" i="4"/>
  <c r="E109" i="4"/>
  <c r="F109" i="4"/>
  <c r="E108" i="4"/>
  <c r="F108" i="4"/>
  <c r="E107" i="4"/>
  <c r="F107" i="4"/>
  <c r="E106" i="4"/>
  <c r="F106" i="4"/>
  <c r="E105" i="4"/>
  <c r="F105" i="4"/>
  <c r="E104" i="4"/>
  <c r="F104" i="4"/>
  <c r="E103" i="4"/>
  <c r="F103" i="4"/>
  <c r="E93" i="4"/>
  <c r="F93" i="4"/>
  <c r="D90" i="4"/>
  <c r="C90" i="4"/>
  <c r="F89" i="4"/>
  <c r="E89" i="4"/>
  <c r="F88" i="4"/>
  <c r="E88" i="4"/>
  <c r="F87" i="4"/>
  <c r="E87" i="4"/>
  <c r="F86" i="4"/>
  <c r="E86" i="4"/>
  <c r="F85" i="4"/>
  <c r="E85" i="4"/>
  <c r="F84" i="4"/>
  <c r="E84" i="4"/>
  <c r="F83" i="4"/>
  <c r="E83" i="4"/>
  <c r="F82" i="4"/>
  <c r="E82" i="4"/>
  <c r="F81" i="4"/>
  <c r="E81" i="4"/>
  <c r="F80" i="4"/>
  <c r="E80" i="4"/>
  <c r="F79" i="4"/>
  <c r="E79" i="4"/>
  <c r="F78" i="4"/>
  <c r="E78" i="4"/>
  <c r="F77" i="4"/>
  <c r="E77" i="4"/>
  <c r="F76" i="4"/>
  <c r="E76" i="4"/>
  <c r="F75" i="4"/>
  <c r="E75" i="4"/>
  <c r="F74" i="4"/>
  <c r="E74" i="4"/>
  <c r="F73" i="4"/>
  <c r="E73" i="4"/>
  <c r="F72" i="4"/>
  <c r="E72" i="4"/>
  <c r="F71" i="4"/>
  <c r="E71" i="4"/>
  <c r="F70" i="4"/>
  <c r="E70" i="4"/>
  <c r="F69" i="4"/>
  <c r="E69" i="4"/>
  <c r="F68" i="4"/>
  <c r="E68" i="4"/>
  <c r="F67" i="4"/>
  <c r="E67" i="4"/>
  <c r="F66" i="4"/>
  <c r="E66" i="4"/>
  <c r="F65" i="4"/>
  <c r="E65" i="4"/>
  <c r="F64" i="4"/>
  <c r="E64" i="4"/>
  <c r="F63" i="4"/>
  <c r="E63" i="4"/>
  <c r="F62" i="4"/>
  <c r="E62" i="4"/>
  <c r="D59" i="4"/>
  <c r="E59" i="4"/>
  <c r="F59" i="4"/>
  <c r="C59" i="4"/>
  <c r="F58" i="4"/>
  <c r="E58" i="4"/>
  <c r="F57" i="4"/>
  <c r="E57" i="4"/>
  <c r="F56" i="4"/>
  <c r="E56" i="4"/>
  <c r="F55" i="4"/>
  <c r="E55" i="4"/>
  <c r="F54" i="4"/>
  <c r="E54" i="4"/>
  <c r="F53" i="4"/>
  <c r="E53" i="4"/>
  <c r="F50" i="4"/>
  <c r="E50" i="4"/>
  <c r="F47" i="4"/>
  <c r="E47" i="4"/>
  <c r="F44" i="4"/>
  <c r="E44" i="4"/>
  <c r="D41" i="4"/>
  <c r="E41" i="4"/>
  <c r="F41" i="4"/>
  <c r="C41" i="4"/>
  <c r="F40" i="4"/>
  <c r="E40" i="4"/>
  <c r="F39" i="4"/>
  <c r="E39" i="4"/>
  <c r="F38" i="4"/>
  <c r="E38" i="4"/>
  <c r="D35" i="4"/>
  <c r="E35" i="4"/>
  <c r="F35" i="4"/>
  <c r="C35" i="4"/>
  <c r="F34" i="4"/>
  <c r="E34" i="4"/>
  <c r="F33" i="4"/>
  <c r="E33" i="4"/>
  <c r="D30" i="4"/>
  <c r="E30" i="4"/>
  <c r="F30" i="4"/>
  <c r="C30" i="4"/>
  <c r="F29" i="4"/>
  <c r="E29" i="4"/>
  <c r="F28" i="4"/>
  <c r="E28" i="4"/>
  <c r="F27" i="4"/>
  <c r="E27" i="4"/>
  <c r="D24" i="4"/>
  <c r="E24" i="4"/>
  <c r="F24" i="4"/>
  <c r="C24" i="4"/>
  <c r="F23" i="4"/>
  <c r="E23" i="4"/>
  <c r="F22" i="4"/>
  <c r="E22" i="4"/>
  <c r="F21" i="4"/>
  <c r="E21" i="4"/>
  <c r="D18" i="4"/>
  <c r="E18" i="4"/>
  <c r="F18" i="4"/>
  <c r="C18" i="4"/>
  <c r="F17" i="4"/>
  <c r="E17" i="4"/>
  <c r="F16" i="4"/>
  <c r="E16" i="4"/>
  <c r="F15" i="4"/>
  <c r="E15" i="4"/>
  <c r="D179" i="3"/>
  <c r="E179" i="3"/>
  <c r="F179" i="3"/>
  <c r="C179" i="3"/>
  <c r="F178" i="3"/>
  <c r="E178" i="3"/>
  <c r="F177" i="3"/>
  <c r="E177" i="3"/>
  <c r="F176" i="3"/>
  <c r="E176" i="3"/>
  <c r="F175" i="3"/>
  <c r="E175" i="3"/>
  <c r="F174" i="3"/>
  <c r="E174" i="3"/>
  <c r="F173" i="3"/>
  <c r="E173" i="3"/>
  <c r="F172" i="3"/>
  <c r="E172" i="3"/>
  <c r="F171" i="3"/>
  <c r="E171" i="3"/>
  <c r="F170" i="3"/>
  <c r="E170" i="3"/>
  <c r="F169" i="3"/>
  <c r="E169" i="3"/>
  <c r="F168" i="3"/>
  <c r="E168" i="3"/>
  <c r="D166" i="3"/>
  <c r="C166" i="3"/>
  <c r="F165" i="3"/>
  <c r="E165" i="3"/>
  <c r="F164" i="3"/>
  <c r="E164" i="3"/>
  <c r="E163" i="3"/>
  <c r="F163" i="3"/>
  <c r="E162" i="3"/>
  <c r="F162" i="3"/>
  <c r="E161" i="3"/>
  <c r="F161" i="3"/>
  <c r="E160" i="3"/>
  <c r="F160" i="3"/>
  <c r="E159" i="3"/>
  <c r="F159" i="3"/>
  <c r="E158" i="3"/>
  <c r="F158" i="3"/>
  <c r="E157" i="3"/>
  <c r="F157" i="3"/>
  <c r="E156" i="3"/>
  <c r="F156" i="3"/>
  <c r="E155" i="3"/>
  <c r="F155" i="3"/>
  <c r="D153" i="3"/>
  <c r="E153" i="3"/>
  <c r="C153" i="3"/>
  <c r="F152" i="3"/>
  <c r="E152" i="3"/>
  <c r="F151" i="3"/>
  <c r="E151" i="3"/>
  <c r="E150" i="3"/>
  <c r="F150" i="3"/>
  <c r="E149" i="3"/>
  <c r="F149" i="3"/>
  <c r="E148" i="3"/>
  <c r="F148" i="3"/>
  <c r="E147" i="3"/>
  <c r="F147" i="3"/>
  <c r="E146" i="3"/>
  <c r="F146" i="3"/>
  <c r="E145" i="3"/>
  <c r="F145" i="3"/>
  <c r="E144" i="3"/>
  <c r="F144" i="3"/>
  <c r="E143" i="3"/>
  <c r="F143" i="3"/>
  <c r="E142" i="3"/>
  <c r="F142" i="3"/>
  <c r="D137" i="3"/>
  <c r="C137" i="3"/>
  <c r="F136" i="3"/>
  <c r="E136" i="3"/>
  <c r="F135" i="3"/>
  <c r="E135" i="3"/>
  <c r="E134" i="3"/>
  <c r="F134" i="3"/>
  <c r="E133" i="3"/>
  <c r="F133" i="3"/>
  <c r="E132" i="3"/>
  <c r="F132" i="3"/>
  <c r="E131" i="3"/>
  <c r="F131" i="3"/>
  <c r="E130" i="3"/>
  <c r="F130" i="3"/>
  <c r="E129" i="3"/>
  <c r="F129" i="3"/>
  <c r="E128" i="3"/>
  <c r="F128" i="3"/>
  <c r="E127" i="3"/>
  <c r="F127" i="3"/>
  <c r="E126" i="3"/>
  <c r="F126" i="3"/>
  <c r="D124" i="3"/>
  <c r="E124" i="3"/>
  <c r="C124" i="3"/>
  <c r="F123" i="3"/>
  <c r="E123" i="3"/>
  <c r="F122" i="3"/>
  <c r="E122" i="3"/>
  <c r="E121" i="3"/>
  <c r="F121" i="3"/>
  <c r="E120" i="3"/>
  <c r="F120" i="3"/>
  <c r="E119" i="3"/>
  <c r="F119" i="3"/>
  <c r="E118" i="3"/>
  <c r="F118" i="3"/>
  <c r="E117" i="3"/>
  <c r="F117" i="3"/>
  <c r="E116" i="3"/>
  <c r="F116" i="3"/>
  <c r="E115" i="3"/>
  <c r="F115" i="3"/>
  <c r="E114" i="3"/>
  <c r="F114" i="3"/>
  <c r="E113" i="3"/>
  <c r="F113" i="3"/>
  <c r="D111" i="3"/>
  <c r="C111" i="3"/>
  <c r="F110" i="3"/>
  <c r="E110" i="3"/>
  <c r="F109" i="3"/>
  <c r="E109" i="3"/>
  <c r="E108" i="3"/>
  <c r="F108" i="3"/>
  <c r="E107" i="3"/>
  <c r="F107" i="3"/>
  <c r="E106" i="3"/>
  <c r="F106" i="3"/>
  <c r="E105" i="3"/>
  <c r="F105" i="3"/>
  <c r="E104" i="3"/>
  <c r="F104" i="3"/>
  <c r="E103" i="3"/>
  <c r="F103" i="3"/>
  <c r="E102" i="3"/>
  <c r="F102" i="3"/>
  <c r="E101" i="3"/>
  <c r="F101" i="3"/>
  <c r="E100" i="3"/>
  <c r="F100" i="3"/>
  <c r="F94" i="3"/>
  <c r="D94" i="3"/>
  <c r="E94" i="3"/>
  <c r="C94" i="3"/>
  <c r="F93" i="3"/>
  <c r="D93" i="3"/>
  <c r="E93" i="3"/>
  <c r="C93" i="3"/>
  <c r="D92" i="3"/>
  <c r="E92" i="3"/>
  <c r="C92" i="3"/>
  <c r="D91" i="3"/>
  <c r="E91" i="3"/>
  <c r="C91" i="3"/>
  <c r="D90" i="3"/>
  <c r="E90" i="3"/>
  <c r="C90" i="3"/>
  <c r="D89" i="3"/>
  <c r="E89" i="3"/>
  <c r="C89" i="3"/>
  <c r="D88" i="3"/>
  <c r="E88" i="3"/>
  <c r="C88" i="3"/>
  <c r="D87" i="3"/>
  <c r="E87" i="3"/>
  <c r="C87" i="3"/>
  <c r="D86" i="3"/>
  <c r="E86" i="3"/>
  <c r="C86" i="3"/>
  <c r="D85" i="3"/>
  <c r="E85" i="3"/>
  <c r="C85" i="3"/>
  <c r="D84" i="3"/>
  <c r="D95" i="3"/>
  <c r="E95" i="3"/>
  <c r="C84" i="3"/>
  <c r="C95" i="3"/>
  <c r="F95" i="3"/>
  <c r="D81" i="3"/>
  <c r="E81" i="3"/>
  <c r="C81" i="3"/>
  <c r="F81" i="3"/>
  <c r="F80" i="3"/>
  <c r="E80" i="3"/>
  <c r="F79" i="3"/>
  <c r="E79" i="3"/>
  <c r="E78" i="3"/>
  <c r="F78" i="3"/>
  <c r="E77" i="3"/>
  <c r="F77" i="3"/>
  <c r="E76" i="3"/>
  <c r="F76" i="3"/>
  <c r="E75" i="3"/>
  <c r="F75" i="3"/>
  <c r="E74" i="3"/>
  <c r="F74" i="3"/>
  <c r="E73" i="3"/>
  <c r="F73" i="3"/>
  <c r="E72" i="3"/>
  <c r="F72" i="3"/>
  <c r="E71" i="3"/>
  <c r="F71" i="3"/>
  <c r="E70" i="3"/>
  <c r="F70" i="3"/>
  <c r="D68" i="3"/>
  <c r="C68" i="3"/>
  <c r="F67" i="3"/>
  <c r="E67" i="3"/>
  <c r="F66" i="3"/>
  <c r="E66" i="3"/>
  <c r="E65" i="3"/>
  <c r="F65" i="3"/>
  <c r="E64" i="3"/>
  <c r="F64" i="3"/>
  <c r="E63" i="3"/>
  <c r="F63" i="3"/>
  <c r="E62" i="3"/>
  <c r="F62" i="3"/>
  <c r="E61" i="3"/>
  <c r="F61" i="3"/>
  <c r="E60" i="3"/>
  <c r="F60" i="3"/>
  <c r="E59" i="3"/>
  <c r="F59" i="3"/>
  <c r="E58" i="3"/>
  <c r="F58" i="3"/>
  <c r="E57" i="3"/>
  <c r="F57" i="3"/>
  <c r="D51" i="3"/>
  <c r="C51" i="3"/>
  <c r="F51" i="3"/>
  <c r="D50" i="3"/>
  <c r="C50" i="3"/>
  <c r="F50" i="3"/>
  <c r="D49" i="3"/>
  <c r="E49" i="3"/>
  <c r="C49" i="3"/>
  <c r="D48" i="3"/>
  <c r="E48" i="3"/>
  <c r="C48" i="3"/>
  <c r="D47" i="3"/>
  <c r="E47" i="3"/>
  <c r="C47" i="3"/>
  <c r="D46" i="3"/>
  <c r="E46" i="3"/>
  <c r="C46" i="3"/>
  <c r="D45" i="3"/>
  <c r="E45" i="3"/>
  <c r="C45" i="3"/>
  <c r="D44" i="3"/>
  <c r="E44" i="3"/>
  <c r="C44" i="3"/>
  <c r="D43" i="3"/>
  <c r="E43" i="3"/>
  <c r="C43" i="3"/>
  <c r="D42" i="3"/>
  <c r="E42" i="3"/>
  <c r="C42" i="3"/>
  <c r="D41" i="3"/>
  <c r="D52" i="3"/>
  <c r="E52" i="3"/>
  <c r="C41" i="3"/>
  <c r="C52" i="3"/>
  <c r="D38" i="3"/>
  <c r="E38" i="3"/>
  <c r="C38" i="3"/>
  <c r="F37" i="3"/>
  <c r="E37" i="3"/>
  <c r="F36" i="3"/>
  <c r="E36" i="3"/>
  <c r="E35" i="3"/>
  <c r="F35" i="3"/>
  <c r="E34" i="3"/>
  <c r="F34" i="3"/>
  <c r="E33" i="3"/>
  <c r="F33" i="3"/>
  <c r="E32" i="3"/>
  <c r="F32" i="3"/>
  <c r="E31" i="3"/>
  <c r="F31" i="3"/>
  <c r="E30" i="3"/>
  <c r="F30" i="3"/>
  <c r="E29" i="3"/>
  <c r="F29" i="3"/>
  <c r="E28" i="3"/>
  <c r="F28" i="3"/>
  <c r="E27" i="3"/>
  <c r="F27" i="3"/>
  <c r="D25" i="3"/>
  <c r="E25" i="3"/>
  <c r="C25" i="3"/>
  <c r="F25" i="3"/>
  <c r="F24" i="3"/>
  <c r="E24" i="3"/>
  <c r="F23" i="3"/>
  <c r="E23" i="3"/>
  <c r="E22" i="3"/>
  <c r="F22" i="3"/>
  <c r="E21" i="3"/>
  <c r="F21" i="3"/>
  <c r="E20" i="3"/>
  <c r="F20" i="3"/>
  <c r="E19" i="3"/>
  <c r="F19" i="3"/>
  <c r="E18" i="3"/>
  <c r="F18" i="3"/>
  <c r="E17" i="3"/>
  <c r="F17" i="3"/>
  <c r="E16" i="3"/>
  <c r="F16" i="3"/>
  <c r="E15" i="3"/>
  <c r="F15" i="3"/>
  <c r="E14" i="3"/>
  <c r="F14" i="3"/>
  <c r="E49" i="2"/>
  <c r="F49" i="2"/>
  <c r="D46" i="2"/>
  <c r="E46" i="2"/>
  <c r="C46" i="2"/>
  <c r="F46" i="2"/>
  <c r="F45" i="2"/>
  <c r="E45" i="2"/>
  <c r="F44" i="2"/>
  <c r="E44" i="2"/>
  <c r="D39" i="2"/>
  <c r="C39" i="2"/>
  <c r="E38" i="2"/>
  <c r="F38" i="2"/>
  <c r="E37" i="2"/>
  <c r="F37" i="2"/>
  <c r="E36" i="2"/>
  <c r="F36" i="2"/>
  <c r="D31" i="2"/>
  <c r="C31" i="2"/>
  <c r="E30" i="2"/>
  <c r="F30" i="2"/>
  <c r="E29" i="2"/>
  <c r="F29" i="2"/>
  <c r="E28" i="2"/>
  <c r="F28" i="2"/>
  <c r="E27" i="2"/>
  <c r="F27" i="2"/>
  <c r="E26" i="2"/>
  <c r="F26" i="2"/>
  <c r="E25" i="2"/>
  <c r="F25" i="2"/>
  <c r="E24" i="2"/>
  <c r="F24" i="2"/>
  <c r="E23" i="2"/>
  <c r="F23" i="2"/>
  <c r="E22" i="2"/>
  <c r="F22" i="2"/>
  <c r="E18" i="2"/>
  <c r="F18" i="2"/>
  <c r="E17" i="2"/>
  <c r="F17" i="2"/>
  <c r="D16" i="2"/>
  <c r="D19" i="2"/>
  <c r="C16" i="2"/>
  <c r="C19" i="2"/>
  <c r="E15" i="2"/>
  <c r="F15" i="2"/>
  <c r="E14" i="2"/>
  <c r="F14" i="2"/>
  <c r="E13" i="2"/>
  <c r="F13" i="2"/>
  <c r="E12" i="2"/>
  <c r="F12" i="2"/>
  <c r="D73" i="1"/>
  <c r="C73" i="1"/>
  <c r="E72" i="1"/>
  <c r="F72" i="1"/>
  <c r="E71" i="1"/>
  <c r="F71" i="1"/>
  <c r="E70" i="1"/>
  <c r="F70" i="1"/>
  <c r="F67" i="1"/>
  <c r="E67" i="1"/>
  <c r="E64" i="1"/>
  <c r="F64" i="1"/>
  <c r="E63" i="1"/>
  <c r="F63" i="1"/>
  <c r="D61" i="1"/>
  <c r="D65" i="1"/>
  <c r="C61" i="1"/>
  <c r="C65" i="1"/>
  <c r="E60" i="1"/>
  <c r="F60" i="1"/>
  <c r="F59" i="1"/>
  <c r="E59" i="1"/>
  <c r="D56" i="1"/>
  <c r="C56" i="1"/>
  <c r="E55" i="1"/>
  <c r="F55" i="1"/>
  <c r="F54" i="1"/>
  <c r="E54" i="1"/>
  <c r="E53" i="1"/>
  <c r="F53" i="1"/>
  <c r="E52" i="1"/>
  <c r="F52" i="1"/>
  <c r="E51" i="1"/>
  <c r="F51" i="1"/>
  <c r="E50" i="1"/>
  <c r="F50" i="1"/>
  <c r="A50" i="1"/>
  <c r="A51" i="1"/>
  <c r="A52" i="1"/>
  <c r="A53" i="1"/>
  <c r="A54" i="1"/>
  <c r="A55" i="1"/>
  <c r="E49" i="1"/>
  <c r="F49" i="1"/>
  <c r="E40" i="1"/>
  <c r="F40" i="1"/>
  <c r="D38" i="1"/>
  <c r="D41" i="1"/>
  <c r="C38" i="1"/>
  <c r="E37" i="1"/>
  <c r="F37" i="1"/>
  <c r="E36" i="1"/>
  <c r="F36" i="1"/>
  <c r="E33" i="1"/>
  <c r="F33" i="1"/>
  <c r="E32" i="1"/>
  <c r="F32" i="1"/>
  <c r="F31" i="1"/>
  <c r="E31" i="1"/>
  <c r="D29" i="1"/>
  <c r="C29" i="1"/>
  <c r="F28" i="1"/>
  <c r="E28" i="1"/>
  <c r="F27" i="1"/>
  <c r="E27" i="1"/>
  <c r="F26" i="1"/>
  <c r="E26" i="1"/>
  <c r="E25" i="1"/>
  <c r="F25" i="1"/>
  <c r="D22" i="1"/>
  <c r="C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E94" i="14"/>
  <c r="F94" i="14"/>
  <c r="E135" i="14"/>
  <c r="F135" i="14"/>
  <c r="E198" i="14"/>
  <c r="F198" i="14"/>
  <c r="D91" i="14"/>
  <c r="D92" i="14"/>
  <c r="D239" i="14"/>
  <c r="D269" i="14"/>
  <c r="E269" i="14"/>
  <c r="F269" i="14"/>
  <c r="E47" i="14"/>
  <c r="E77" i="14"/>
  <c r="E290" i="14"/>
  <c r="F290" i="14"/>
  <c r="E227" i="14"/>
  <c r="F227" i="14"/>
  <c r="D190" i="14"/>
  <c r="D214" i="14"/>
  <c r="D261" i="14"/>
  <c r="D263" i="14"/>
  <c r="E263" i="14"/>
  <c r="F263" i="14"/>
  <c r="E172" i="14"/>
  <c r="D192" i="14"/>
  <c r="D199" i="14"/>
  <c r="D215" i="14"/>
  <c r="D255" i="14"/>
  <c r="E255" i="14"/>
  <c r="F255" i="14"/>
  <c r="C33" i="2"/>
  <c r="E19" i="2"/>
  <c r="F19" i="2"/>
  <c r="D33" i="2"/>
  <c r="E65" i="1"/>
  <c r="E139" i="5"/>
  <c r="E135" i="5"/>
  <c r="E137" i="5"/>
  <c r="E140" i="5"/>
  <c r="E138" i="5"/>
  <c r="E136" i="5"/>
  <c r="C137" i="5"/>
  <c r="C139" i="5"/>
  <c r="C135" i="5"/>
  <c r="C138" i="5"/>
  <c r="C136" i="5"/>
  <c r="C140" i="5"/>
  <c r="C154" i="5"/>
  <c r="C156" i="5"/>
  <c r="C152" i="5"/>
  <c r="C153" i="5"/>
  <c r="C157" i="5"/>
  <c r="C155" i="5"/>
  <c r="C21" i="5"/>
  <c r="F65" i="1"/>
  <c r="D75" i="1"/>
  <c r="C75" i="1"/>
  <c r="G36" i="11"/>
  <c r="G38" i="11"/>
  <c r="G40" i="11"/>
  <c r="D188" i="4"/>
  <c r="D149" i="5"/>
  <c r="D207" i="6"/>
  <c r="E207" i="6"/>
  <c r="F207" i="6"/>
  <c r="D15" i="5"/>
  <c r="D25" i="5"/>
  <c r="D27" i="5"/>
  <c r="E53" i="5"/>
  <c r="E43" i="5"/>
  <c r="D77" i="5"/>
  <c r="D71" i="5"/>
  <c r="D88" i="5"/>
  <c r="D90" i="5"/>
  <c r="D86" i="5"/>
  <c r="D295" i="15"/>
  <c r="E56" i="1"/>
  <c r="F56" i="1"/>
  <c r="E61" i="1"/>
  <c r="F61" i="1"/>
  <c r="E16" i="2"/>
  <c r="F16" i="2"/>
  <c r="D166" i="5"/>
  <c r="D121" i="7"/>
  <c r="E121" i="7"/>
  <c r="F121" i="7"/>
  <c r="D41" i="8"/>
  <c r="E41" i="8"/>
  <c r="F41" i="8"/>
  <c r="C75" i="8"/>
  <c r="D19" i="9"/>
  <c r="E24" i="5"/>
  <c r="E17" i="5"/>
  <c r="E156" i="5"/>
  <c r="E152" i="5"/>
  <c r="E154" i="5"/>
  <c r="E32" i="14"/>
  <c r="F32" i="14"/>
  <c r="D145" i="15"/>
  <c r="D95" i="4"/>
  <c r="D75" i="8"/>
  <c r="C43" i="5"/>
  <c r="C53" i="5"/>
  <c r="D25" i="10"/>
  <c r="D27" i="10"/>
  <c r="D15" i="10"/>
  <c r="C49" i="5"/>
  <c r="E79" i="5"/>
  <c r="D109" i="5"/>
  <c r="D106" i="5"/>
  <c r="E155" i="5"/>
  <c r="D122" i="7"/>
  <c r="E65" i="8"/>
  <c r="F65" i="8"/>
  <c r="E294" i="14"/>
  <c r="F294" i="14"/>
  <c r="C43" i="15"/>
  <c r="E37" i="15"/>
  <c r="D320" i="15"/>
  <c r="E320" i="15"/>
  <c r="E316" i="15"/>
  <c r="D330" i="15"/>
  <c r="E330" i="15"/>
  <c r="E326" i="15"/>
  <c r="D41" i="17"/>
  <c r="E109" i="19"/>
  <c r="E108" i="19"/>
  <c r="H17" i="11"/>
  <c r="F33" i="11"/>
  <c r="F52" i="14"/>
  <c r="F66" i="14"/>
  <c r="C68" i="14"/>
  <c r="C102" i="14"/>
  <c r="C159" i="14"/>
  <c r="F171" i="14"/>
  <c r="C181" i="14"/>
  <c r="C306" i="14"/>
  <c r="C253" i="15"/>
  <c r="E245" i="15"/>
  <c r="D286" i="14"/>
  <c r="C278" i="14"/>
  <c r="C215" i="14"/>
  <c r="F189" i="14"/>
  <c r="C239" i="14"/>
  <c r="E237" i="14"/>
  <c r="F237" i="14"/>
  <c r="D22" i="15"/>
  <c r="D283" i="15"/>
  <c r="E283" i="15"/>
  <c r="D289" i="15"/>
  <c r="E60" i="15"/>
  <c r="D109" i="19"/>
  <c r="D108" i="19"/>
  <c r="D175" i="14"/>
  <c r="D62" i="14"/>
  <c r="D105" i="14"/>
  <c r="D57" i="5"/>
  <c r="D62" i="5"/>
  <c r="D59" i="10"/>
  <c r="D61" i="10"/>
  <c r="D57" i="10"/>
  <c r="D31" i="11"/>
  <c r="E31" i="14"/>
  <c r="F31" i="14"/>
  <c r="C48" i="14"/>
  <c r="E76" i="14"/>
  <c r="F76" i="14"/>
  <c r="F85" i="14"/>
  <c r="F101" i="14"/>
  <c r="F136" i="14"/>
  <c r="F158" i="14"/>
  <c r="F165" i="14"/>
  <c r="E171" i="14"/>
  <c r="C173" i="14"/>
  <c r="F173" i="14"/>
  <c r="E180" i="14"/>
  <c r="C192" i="14"/>
  <c r="C255" i="14"/>
  <c r="E38" i="15"/>
  <c r="D71" i="15"/>
  <c r="E74" i="15"/>
  <c r="C38" i="16"/>
  <c r="C127" i="16"/>
  <c r="C129" i="16"/>
  <c r="C133" i="16"/>
  <c r="C65" i="16"/>
  <c r="C114" i="16"/>
  <c r="C116" i="16"/>
  <c r="C119" i="16"/>
  <c r="C123" i="16"/>
  <c r="F25" i="17"/>
  <c r="F250" i="14"/>
  <c r="F311" i="14"/>
  <c r="E311" i="14"/>
  <c r="D294" i="15"/>
  <c r="E32" i="15"/>
  <c r="C71" i="15"/>
  <c r="C65" i="15"/>
  <c r="C66" i="15"/>
  <c r="C289" i="15"/>
  <c r="D76" i="15"/>
  <c r="E70" i="15"/>
  <c r="D163" i="15"/>
  <c r="D175" i="15"/>
  <c r="E139" i="15"/>
  <c r="E260" i="15"/>
  <c r="D303" i="15"/>
  <c r="D104" i="14"/>
  <c r="D174" i="14"/>
  <c r="D254" i="14"/>
  <c r="D216" i="14"/>
  <c r="F29" i="14"/>
  <c r="C37" i="14"/>
  <c r="F47" i="14"/>
  <c r="F58" i="14"/>
  <c r="F95" i="14"/>
  <c r="F129" i="14"/>
  <c r="C146" i="14"/>
  <c r="F172" i="14"/>
  <c r="F299" i="14"/>
  <c r="E103" i="19"/>
  <c r="E111" i="14"/>
  <c r="F111" i="14"/>
  <c r="C214" i="14"/>
  <c r="C304" i="14"/>
  <c r="C261" i="14"/>
  <c r="C254" i="14"/>
  <c r="E188" i="14"/>
  <c r="F188" i="14"/>
  <c r="C283" i="14"/>
  <c r="C205" i="14"/>
  <c r="F203" i="14"/>
  <c r="F298" i="14"/>
  <c r="E298" i="14"/>
  <c r="C33" i="15"/>
  <c r="C295" i="15"/>
  <c r="E295" i="15"/>
  <c r="C294" i="15"/>
  <c r="C144" i="15"/>
  <c r="E144" i="15"/>
  <c r="C175" i="15"/>
  <c r="E175" i="15"/>
  <c r="C163" i="15"/>
  <c r="D207" i="14"/>
  <c r="D138" i="14"/>
  <c r="D140" i="14"/>
  <c r="D141" i="14"/>
  <c r="D322" i="14"/>
  <c r="I17" i="11"/>
  <c r="C21" i="14"/>
  <c r="E35" i="14"/>
  <c r="F35" i="14"/>
  <c r="E88" i="14"/>
  <c r="F88" i="14"/>
  <c r="F109" i="14"/>
  <c r="C137" i="14"/>
  <c r="F145" i="14"/>
  <c r="E170" i="14"/>
  <c r="F179" i="14"/>
  <c r="C190" i="14"/>
  <c r="C193" i="14"/>
  <c r="C266" i="14"/>
  <c r="E223" i="14"/>
  <c r="F223" i="14"/>
  <c r="E238" i="14"/>
  <c r="F238" i="14"/>
  <c r="C262" i="14"/>
  <c r="C267" i="14"/>
  <c r="C277" i="14"/>
  <c r="F295" i="14"/>
  <c r="C44" i="15"/>
  <c r="E42" i="15"/>
  <c r="E54" i="15"/>
  <c r="E65" i="15"/>
  <c r="C76" i="15"/>
  <c r="C77" i="15"/>
  <c r="C246" i="15"/>
  <c r="C254" i="15"/>
  <c r="F46" i="17"/>
  <c r="E192" i="14"/>
  <c r="D288" i="14"/>
  <c r="C199" i="14"/>
  <c r="C22" i="15"/>
  <c r="C284" i="15"/>
  <c r="E188" i="15"/>
  <c r="D217" i="15"/>
  <c r="E218" i="15"/>
  <c r="E233" i="15"/>
  <c r="D239" i="15"/>
  <c r="E239" i="15"/>
  <c r="C242" i="15"/>
  <c r="E242" i="15"/>
  <c r="D243" i="15"/>
  <c r="E251" i="15"/>
  <c r="C22" i="16"/>
  <c r="C39" i="17"/>
  <c r="E22" i="19"/>
  <c r="D34" i="19"/>
  <c r="C53" i="19"/>
  <c r="D54" i="19"/>
  <c r="C101" i="19"/>
  <c r="C103" i="19"/>
  <c r="D102" i="19"/>
  <c r="C109" i="19"/>
  <c r="D110" i="19"/>
  <c r="D161" i="14"/>
  <c r="D193" i="14"/>
  <c r="D267" i="14"/>
  <c r="D277" i="14"/>
  <c r="E195" i="15"/>
  <c r="E215" i="15"/>
  <c r="C217" i="15"/>
  <c r="C241" i="15"/>
  <c r="D222" i="15"/>
  <c r="C261" i="15"/>
  <c r="C302" i="15"/>
  <c r="C303" i="15"/>
  <c r="C306" i="15"/>
  <c r="E314" i="15"/>
  <c r="C49" i="16"/>
  <c r="F33" i="17"/>
  <c r="F43" i="17"/>
  <c r="E23" i="19"/>
  <c r="D29" i="19"/>
  <c r="D35" i="19"/>
  <c r="D39" i="19"/>
  <c r="D45" i="19"/>
  <c r="C110" i="19"/>
  <c r="D111" i="19"/>
  <c r="D124" i="14"/>
  <c r="E124" i="14"/>
  <c r="F124" i="14"/>
  <c r="D160" i="14"/>
  <c r="D200" i="14"/>
  <c r="D262" i="14"/>
  <c r="D274" i="14"/>
  <c r="D280" i="14"/>
  <c r="C29" i="19"/>
  <c r="D30" i="19"/>
  <c r="E33" i="19"/>
  <c r="C35" i="19"/>
  <c r="D36" i="19"/>
  <c r="C39" i="19"/>
  <c r="D40" i="19"/>
  <c r="E221" i="15"/>
  <c r="C30" i="19"/>
  <c r="C36" i="19"/>
  <c r="C40" i="19"/>
  <c r="D47" i="19"/>
  <c r="D37" i="19"/>
  <c r="D112" i="19"/>
  <c r="D55" i="19"/>
  <c r="D246" i="15"/>
  <c r="E246" i="15"/>
  <c r="E222" i="15"/>
  <c r="D287" i="14"/>
  <c r="D279" i="14"/>
  <c r="D284" i="14"/>
  <c r="E277" i="14"/>
  <c r="F277" i="14"/>
  <c r="D194" i="14"/>
  <c r="E193" i="14"/>
  <c r="C272" i="14"/>
  <c r="E190" i="14"/>
  <c r="F190" i="14"/>
  <c r="C138" i="14"/>
  <c r="E137" i="14"/>
  <c r="F137" i="14"/>
  <c r="C207" i="14"/>
  <c r="C161" i="14"/>
  <c r="C126" i="14"/>
  <c r="C49" i="14"/>
  <c r="E21" i="14"/>
  <c r="F21" i="14"/>
  <c r="C91" i="14"/>
  <c r="C268" i="14"/>
  <c r="E261" i="14"/>
  <c r="F261" i="14"/>
  <c r="C263" i="14"/>
  <c r="C271" i="14"/>
  <c r="E37" i="14"/>
  <c r="F37" i="14"/>
  <c r="C90" i="14"/>
  <c r="C160" i="14"/>
  <c r="C125" i="14"/>
  <c r="E48" i="14"/>
  <c r="F48" i="14"/>
  <c r="E215" i="14"/>
  <c r="F215" i="14"/>
  <c r="E306" i="14"/>
  <c r="F159" i="14"/>
  <c r="E159" i="14"/>
  <c r="E68" i="14"/>
  <c r="F68" i="14"/>
  <c r="E28" i="5"/>
  <c r="E112" i="5"/>
  <c r="E111" i="5"/>
  <c r="C41" i="2"/>
  <c r="D282" i="14"/>
  <c r="E163" i="15"/>
  <c r="E173" i="14"/>
  <c r="C158" i="5"/>
  <c r="C270" i="14"/>
  <c r="D208" i="14"/>
  <c r="D63" i="14"/>
  <c r="D284" i="15"/>
  <c r="E284" i="15"/>
  <c r="E22" i="15"/>
  <c r="D17" i="10"/>
  <c r="D28" i="10"/>
  <c r="D70" i="10"/>
  <c r="D72" i="10"/>
  <c r="D69" i="10"/>
  <c r="D24" i="10"/>
  <c r="D24" i="5"/>
  <c r="D17" i="5"/>
  <c r="C282" i="14"/>
  <c r="E302" i="15"/>
  <c r="E294" i="15"/>
  <c r="C259" i="15"/>
  <c r="C263" i="15"/>
  <c r="E217" i="15"/>
  <c r="D241" i="15"/>
  <c r="E241" i="15"/>
  <c r="C112" i="19"/>
  <c r="C55" i="19"/>
  <c r="C47" i="19"/>
  <c r="C37" i="19"/>
  <c r="C99" i="15"/>
  <c r="C95" i="15"/>
  <c r="C88" i="15"/>
  <c r="C84" i="15"/>
  <c r="C258" i="15"/>
  <c r="C100" i="15"/>
  <c r="C96" i="15"/>
  <c r="C89" i="15"/>
  <c r="C85" i="15"/>
  <c r="C83" i="15"/>
  <c r="C97" i="15"/>
  <c r="C86" i="15"/>
  <c r="C98" i="15"/>
  <c r="C87" i="15"/>
  <c r="C101" i="15"/>
  <c r="E146" i="14"/>
  <c r="F146" i="14"/>
  <c r="D306" i="15"/>
  <c r="E303" i="15"/>
  <c r="E239" i="14"/>
  <c r="F239" i="14"/>
  <c r="E181" i="14"/>
  <c r="F181" i="14"/>
  <c r="D33" i="9"/>
  <c r="D155" i="5"/>
  <c r="D157" i="5"/>
  <c r="D153" i="5"/>
  <c r="D156" i="5"/>
  <c r="D154" i="5"/>
  <c r="D152" i="5"/>
  <c r="D125" i="14"/>
  <c r="E125" i="14"/>
  <c r="F125" i="14"/>
  <c r="E138" i="14"/>
  <c r="E76" i="15"/>
  <c r="D300" i="14"/>
  <c r="D77" i="15"/>
  <c r="E43" i="15"/>
  <c r="E75" i="8"/>
  <c r="F75" i="8"/>
  <c r="C175" i="14"/>
  <c r="E33" i="15"/>
  <c r="C141" i="5"/>
  <c r="C41" i="17"/>
  <c r="E199" i="14"/>
  <c r="F199" i="14"/>
  <c r="F193" i="14"/>
  <c r="C194" i="14"/>
  <c r="C56" i="19"/>
  <c r="C48" i="19"/>
  <c r="C38" i="19"/>
  <c r="C113" i="19"/>
  <c r="D272" i="14"/>
  <c r="E272" i="14"/>
  <c r="E262" i="14"/>
  <c r="F262" i="14"/>
  <c r="D270" i="14"/>
  <c r="E270" i="14"/>
  <c r="E267" i="14"/>
  <c r="F267" i="14"/>
  <c r="E110" i="19"/>
  <c r="E53" i="19"/>
  <c r="E45" i="19"/>
  <c r="E39" i="19"/>
  <c r="E35" i="19"/>
  <c r="E29" i="19"/>
  <c r="E243" i="15"/>
  <c r="D252" i="15"/>
  <c r="C168" i="15"/>
  <c r="C145" i="15"/>
  <c r="D113" i="19"/>
  <c r="D56" i="19"/>
  <c r="D48" i="19"/>
  <c r="D38" i="19"/>
  <c r="E54" i="19"/>
  <c r="E46" i="19"/>
  <c r="E40" i="19"/>
  <c r="E36" i="19"/>
  <c r="E30" i="19"/>
  <c r="E111" i="19"/>
  <c r="D162" i="14"/>
  <c r="E161" i="14"/>
  <c r="C287" i="14"/>
  <c r="C279" i="14"/>
  <c r="C284" i="14"/>
  <c r="C286" i="14"/>
  <c r="E286" i="14"/>
  <c r="E283" i="14"/>
  <c r="F283" i="14"/>
  <c r="C216" i="14"/>
  <c r="E214" i="14"/>
  <c r="F214" i="14"/>
  <c r="E254" i="14"/>
  <c r="F254" i="14"/>
  <c r="D106" i="14"/>
  <c r="D176" i="14"/>
  <c r="E175" i="14"/>
  <c r="C288" i="14"/>
  <c r="E288" i="14"/>
  <c r="F288" i="14"/>
  <c r="E278" i="14"/>
  <c r="F278" i="14"/>
  <c r="E102" i="14"/>
  <c r="F102" i="14"/>
  <c r="C103" i="14"/>
  <c r="F36" i="11"/>
  <c r="F38" i="11"/>
  <c r="F40" i="11"/>
  <c r="E145" i="15"/>
  <c r="D138" i="5"/>
  <c r="D140" i="5"/>
  <c r="D136" i="5"/>
  <c r="D135" i="5"/>
  <c r="D139" i="5"/>
  <c r="D137" i="5"/>
  <c r="D141" i="5"/>
  <c r="E33" i="2"/>
  <c r="F33" i="2"/>
  <c r="D41" i="2"/>
  <c r="D268" i="14"/>
  <c r="E268" i="14"/>
  <c r="F268" i="14"/>
  <c r="D266" i="14"/>
  <c r="E160" i="14"/>
  <c r="D271" i="14"/>
  <c r="D223" i="15"/>
  <c r="D126" i="14"/>
  <c r="D259" i="15"/>
  <c r="D139" i="14"/>
  <c r="E71" i="15"/>
  <c r="F192" i="14"/>
  <c r="E289" i="15"/>
  <c r="E39" i="17"/>
  <c r="D43" i="8"/>
  <c r="E43" i="8"/>
  <c r="F43" i="8"/>
  <c r="E75" i="1"/>
  <c r="F75" i="1"/>
  <c r="E141" i="5"/>
  <c r="E252" i="15"/>
  <c r="D127" i="15"/>
  <c r="D123" i="15"/>
  <c r="D112" i="15"/>
  <c r="D124" i="15"/>
  <c r="D113" i="15"/>
  <c r="D109" i="15"/>
  <c r="D122" i="15"/>
  <c r="D111" i="15"/>
  <c r="D125" i="15"/>
  <c r="D114" i="15"/>
  <c r="D126" i="15"/>
  <c r="D115" i="15"/>
  <c r="D121" i="15"/>
  <c r="D110" i="15"/>
  <c r="D310" i="15"/>
  <c r="C208" i="14"/>
  <c r="F270" i="14"/>
  <c r="E282" i="14"/>
  <c r="F282" i="14"/>
  <c r="F160" i="14"/>
  <c r="E279" i="14"/>
  <c r="F279" i="14"/>
  <c r="D48" i="2"/>
  <c r="E41" i="2"/>
  <c r="D183" i="14"/>
  <c r="D323" i="14"/>
  <c r="E162" i="14"/>
  <c r="C169" i="15"/>
  <c r="D41" i="9"/>
  <c r="D210" i="14"/>
  <c r="D209" i="14"/>
  <c r="C273" i="14"/>
  <c r="C92" i="14"/>
  <c r="E91" i="14"/>
  <c r="F91" i="14"/>
  <c r="F161" i="14"/>
  <c r="C162" i="14"/>
  <c r="F138" i="14"/>
  <c r="C140" i="14"/>
  <c r="C102" i="15"/>
  <c r="C195" i="14"/>
  <c r="F272" i="14"/>
  <c r="E284" i="14"/>
  <c r="D304" i="14"/>
  <c r="D273" i="14"/>
  <c r="E273" i="14"/>
  <c r="E271" i="14"/>
  <c r="F271" i="14"/>
  <c r="E259" i="15"/>
  <c r="E223" i="15"/>
  <c r="D247" i="15"/>
  <c r="D265" i="14"/>
  <c r="C291" i="14"/>
  <c r="C289" i="14"/>
  <c r="E48" i="19"/>
  <c r="E38" i="19"/>
  <c r="E113" i="19"/>
  <c r="E56" i="19"/>
  <c r="E47" i="19"/>
  <c r="E37" i="19"/>
  <c r="E112" i="19"/>
  <c r="E55" i="19"/>
  <c r="D112" i="5"/>
  <c r="D111" i="5"/>
  <c r="D28" i="5"/>
  <c r="C48" i="2"/>
  <c r="F41" i="2"/>
  <c r="E99" i="5"/>
  <c r="E101" i="5"/>
  <c r="E98" i="5"/>
  <c r="E90" i="14"/>
  <c r="F90" i="14"/>
  <c r="C127" i="14"/>
  <c r="F284" i="14"/>
  <c r="F286" i="14"/>
  <c r="C90" i="15"/>
  <c r="E207" i="14"/>
  <c r="F207" i="14"/>
  <c r="E216" i="14"/>
  <c r="F216" i="14"/>
  <c r="D127" i="14"/>
  <c r="E126" i="14"/>
  <c r="F126" i="14"/>
  <c r="E103" i="14"/>
  <c r="F103" i="14"/>
  <c r="C105" i="14"/>
  <c r="C176" i="14"/>
  <c r="F176" i="14"/>
  <c r="F175" i="14"/>
  <c r="C264" i="15"/>
  <c r="C266" i="15"/>
  <c r="C267" i="15"/>
  <c r="D70" i="14"/>
  <c r="C50" i="14"/>
  <c r="E49" i="14"/>
  <c r="F49" i="14"/>
  <c r="D195" i="14"/>
  <c r="E195" i="14"/>
  <c r="E194" i="14"/>
  <c r="F194" i="14"/>
  <c r="D196" i="14"/>
  <c r="E287" i="14"/>
  <c r="F287" i="14"/>
  <c r="D291" i="14"/>
  <c r="D289" i="14"/>
  <c r="E289" i="14"/>
  <c r="F39" i="17"/>
  <c r="D158" i="5"/>
  <c r="C196" i="14"/>
  <c r="D281" i="14"/>
  <c r="E92" i="14"/>
  <c r="F92" i="14"/>
  <c r="F195" i="14"/>
  <c r="D48" i="9"/>
  <c r="C210" i="14"/>
  <c r="F289" i="14"/>
  <c r="F273" i="14"/>
  <c r="E48" i="2"/>
  <c r="F48" i="2"/>
  <c r="C91" i="15"/>
  <c r="C103" i="15"/>
  <c r="E291" i="14"/>
  <c r="D305" i="14"/>
  <c r="C197" i="14"/>
  <c r="C141" i="14"/>
  <c r="C148" i="14"/>
  <c r="E140" i="14"/>
  <c r="F140" i="14"/>
  <c r="D116" i="15"/>
  <c r="E208" i="14"/>
  <c r="F208" i="14"/>
  <c r="E50" i="14"/>
  <c r="F50" i="14"/>
  <c r="C106" i="14"/>
  <c r="F105" i="14"/>
  <c r="E105" i="14"/>
  <c r="D148" i="14"/>
  <c r="E127" i="14"/>
  <c r="F127" i="14"/>
  <c r="D197" i="14"/>
  <c r="E197" i="14"/>
  <c r="E196" i="14"/>
  <c r="F196" i="14"/>
  <c r="D99" i="5"/>
  <c r="D101" i="5"/>
  <c r="D98" i="5"/>
  <c r="D22" i="5"/>
  <c r="C305" i="14"/>
  <c r="F291" i="14"/>
  <c r="E304" i="14"/>
  <c r="F304" i="14"/>
  <c r="C183" i="14"/>
  <c r="F183" i="14"/>
  <c r="C323" i="14"/>
  <c r="F323" i="14"/>
  <c r="F162" i="14"/>
  <c r="D211" i="14"/>
  <c r="E210" i="14"/>
  <c r="D128" i="15"/>
  <c r="E176" i="14"/>
  <c r="F106" i="14"/>
  <c r="E106" i="14"/>
  <c r="D129" i="15"/>
  <c r="C324" i="14"/>
  <c r="C105" i="15"/>
  <c r="F210" i="14"/>
  <c r="C113" i="14"/>
  <c r="D309" i="14"/>
  <c r="E305" i="14"/>
  <c r="F305" i="14"/>
  <c r="C322" i="14"/>
  <c r="C211" i="14"/>
  <c r="E141" i="14"/>
  <c r="F141" i="14"/>
  <c r="C309" i="14"/>
  <c r="F197" i="14"/>
  <c r="E183" i="14"/>
  <c r="D117" i="15"/>
  <c r="E323" i="14"/>
  <c r="D131" i="15"/>
  <c r="E309" i="14"/>
  <c r="D310" i="14"/>
  <c r="E211" i="14"/>
  <c r="F211" i="14"/>
  <c r="F309" i="14"/>
  <c r="C310" i="14"/>
  <c r="E322" i="14"/>
  <c r="F322" i="14"/>
  <c r="C325" i="14"/>
  <c r="C312" i="14"/>
  <c r="D312" i="14"/>
  <c r="E310" i="14"/>
  <c r="F310" i="14"/>
  <c r="C313" i="14"/>
  <c r="E312" i="14"/>
  <c r="F312" i="14"/>
  <c r="D313" i="14"/>
  <c r="D251" i="14"/>
  <c r="E251" i="14"/>
  <c r="F251" i="14"/>
  <c r="D314" i="14"/>
  <c r="D315" i="14"/>
  <c r="E313" i="14"/>
  <c r="D256" i="14"/>
  <c r="F313" i="14"/>
  <c r="C251" i="14"/>
  <c r="C315" i="14"/>
  <c r="E315" i="14"/>
  <c r="F315" i="14"/>
  <c r="C314" i="14"/>
  <c r="C256" i="14"/>
  <c r="D257" i="14"/>
  <c r="E256" i="14"/>
  <c r="C318" i="14"/>
  <c r="C257" i="14"/>
  <c r="F256" i="14"/>
  <c r="D318" i="14"/>
  <c r="E318" i="14"/>
  <c r="E314" i="14"/>
  <c r="F314" i="14"/>
  <c r="E257" i="14"/>
  <c r="F257" i="14"/>
  <c r="F318" i="14"/>
  <c r="E148" i="14"/>
  <c r="F148" i="14"/>
  <c r="C268" i="15"/>
  <c r="C271" i="15"/>
  <c r="C269" i="15"/>
  <c r="F266" i="14"/>
  <c r="E266" i="14"/>
  <c r="C247" i="15"/>
  <c r="E247" i="15"/>
  <c r="E66" i="15"/>
  <c r="D21" i="10"/>
  <c r="D20" i="10"/>
  <c r="D22" i="10"/>
  <c r="D20" i="5"/>
  <c r="D21" i="5"/>
  <c r="D324" i="14"/>
  <c r="D113" i="14"/>
  <c r="E113" i="14"/>
  <c r="F113" i="14"/>
  <c r="D43" i="1"/>
  <c r="F38" i="3"/>
  <c r="F52" i="3"/>
  <c r="F42" i="3"/>
  <c r="F43" i="3"/>
  <c r="F44" i="3"/>
  <c r="F45" i="3"/>
  <c r="F46" i="3"/>
  <c r="F47" i="3"/>
  <c r="F48" i="3"/>
  <c r="F49" i="3"/>
  <c r="F85" i="3"/>
  <c r="F86" i="3"/>
  <c r="F87" i="3"/>
  <c r="F88" i="3"/>
  <c r="F89" i="3"/>
  <c r="F90" i="3"/>
  <c r="F91" i="3"/>
  <c r="F92" i="3"/>
  <c r="F124" i="3"/>
  <c r="F153" i="3"/>
  <c r="C310" i="15"/>
  <c r="E310" i="15"/>
  <c r="E306" i="15"/>
  <c r="C126" i="15"/>
  <c r="E126" i="15"/>
  <c r="C115" i="15"/>
  <c r="E115" i="15"/>
  <c r="C127" i="15"/>
  <c r="E127" i="15"/>
  <c r="C112" i="15"/>
  <c r="E112" i="15"/>
  <c r="C114" i="15"/>
  <c r="E114" i="15"/>
  <c r="C121" i="15"/>
  <c r="C113" i="15"/>
  <c r="E113" i="15"/>
  <c r="E77" i="15"/>
  <c r="C122" i="15"/>
  <c r="C111" i="15"/>
  <c r="E111" i="15"/>
  <c r="C123" i="15"/>
  <c r="E123" i="15"/>
  <c r="C125" i="15"/>
  <c r="E125" i="15"/>
  <c r="C109" i="15"/>
  <c r="C110" i="15"/>
  <c r="C124" i="15"/>
  <c r="E124" i="15"/>
  <c r="E22" i="1"/>
  <c r="F22" i="1"/>
  <c r="E29" i="1"/>
  <c r="F29" i="1"/>
  <c r="E38" i="1"/>
  <c r="F38" i="1"/>
  <c r="C41" i="1"/>
  <c r="E73" i="1"/>
  <c r="F73" i="1"/>
  <c r="E31" i="2"/>
  <c r="F31" i="2"/>
  <c r="E39" i="2"/>
  <c r="F39" i="2"/>
  <c r="E50" i="3"/>
  <c r="E51" i="3"/>
  <c r="E68" i="3"/>
  <c r="F68" i="3"/>
  <c r="E84" i="3"/>
  <c r="F84" i="3"/>
  <c r="E111" i="3"/>
  <c r="F111" i="3"/>
  <c r="E137" i="3"/>
  <c r="F137" i="3"/>
  <c r="E166" i="3"/>
  <c r="F166" i="3"/>
  <c r="F121" i="4"/>
  <c r="F37" i="6"/>
  <c r="F63" i="6"/>
  <c r="F115" i="6"/>
  <c r="F154" i="6"/>
  <c r="F200" i="6"/>
  <c r="F95" i="7"/>
  <c r="C43" i="1"/>
  <c r="E41" i="3"/>
  <c r="F41" i="3"/>
  <c r="E153" i="5"/>
  <c r="E157" i="5"/>
  <c r="E90" i="4"/>
  <c r="F90" i="4"/>
  <c r="E130" i="4"/>
  <c r="F130" i="4"/>
  <c r="C188" i="4"/>
  <c r="F183" i="4"/>
  <c r="C15" i="5"/>
  <c r="E25" i="5"/>
  <c r="E27" i="5"/>
  <c r="D43" i="5"/>
  <c r="E57" i="5"/>
  <c r="E62" i="5"/>
  <c r="C88" i="5"/>
  <c r="C90" i="5"/>
  <c r="C86" i="5"/>
  <c r="F23" i="6"/>
  <c r="F36" i="6"/>
  <c r="F49" i="6"/>
  <c r="F62" i="6"/>
  <c r="F75" i="6"/>
  <c r="F114" i="6"/>
  <c r="F127" i="6"/>
  <c r="F153" i="6"/>
  <c r="F192" i="6"/>
  <c r="C208" i="6"/>
  <c r="E199" i="6"/>
  <c r="F199" i="6"/>
  <c r="E201" i="6"/>
  <c r="F201" i="6"/>
  <c r="E36" i="7"/>
  <c r="F36" i="7"/>
  <c r="E96" i="7"/>
  <c r="F96" i="7"/>
  <c r="E108" i="7"/>
  <c r="F108" i="7"/>
  <c r="E113" i="7"/>
  <c r="F113" i="7"/>
  <c r="E115" i="7"/>
  <c r="F115" i="7"/>
  <c r="C25" i="10"/>
  <c r="C27" i="10"/>
  <c r="C15" i="10"/>
  <c r="E15" i="10"/>
  <c r="E25" i="10"/>
  <c r="E27" i="10"/>
  <c r="H31" i="11"/>
  <c r="C95" i="4"/>
  <c r="E167" i="4"/>
  <c r="F167" i="4"/>
  <c r="E77" i="5"/>
  <c r="E71" i="5"/>
  <c r="C122" i="7"/>
  <c r="E116" i="7"/>
  <c r="F116" i="7"/>
  <c r="E117" i="7"/>
  <c r="F117" i="7"/>
  <c r="F118" i="7"/>
  <c r="F119" i="7"/>
  <c r="E120" i="7"/>
  <c r="F120" i="7"/>
  <c r="F56" i="8"/>
  <c r="F73" i="8"/>
  <c r="F16" i="9"/>
  <c r="C19" i="9"/>
  <c r="E31" i="9"/>
  <c r="F31" i="9"/>
  <c r="E39" i="9"/>
  <c r="F39" i="9"/>
  <c r="E46" i="9"/>
  <c r="I31" i="11"/>
  <c r="E48" i="10"/>
  <c r="E42" i="10"/>
  <c r="C33" i="11"/>
  <c r="E31" i="11"/>
  <c r="F16" i="12"/>
  <c r="F23" i="12"/>
  <c r="F37" i="12"/>
  <c r="F45" i="12"/>
  <c r="F50" i="12"/>
  <c r="F55" i="12"/>
  <c r="F65" i="12"/>
  <c r="F70" i="12"/>
  <c r="E75" i="12"/>
  <c r="F75" i="12"/>
  <c r="F84" i="12"/>
  <c r="F92" i="12"/>
  <c r="F99" i="12"/>
  <c r="F13" i="13"/>
  <c r="F17" i="13"/>
  <c r="F21" i="13"/>
  <c r="E53" i="14"/>
  <c r="F53" i="14"/>
  <c r="C60" i="14"/>
  <c r="E59" i="14"/>
  <c r="F59" i="14"/>
  <c r="F120" i="14"/>
  <c r="F155" i="14"/>
  <c r="C206" i="14"/>
  <c r="F307" i="14"/>
  <c r="E21" i="15"/>
  <c r="E36" i="15"/>
  <c r="D44" i="15"/>
  <c r="E166" i="15"/>
  <c r="E173" i="15"/>
  <c r="E176" i="15"/>
  <c r="D229" i="15"/>
  <c r="E229" i="15"/>
  <c r="E205" i="15"/>
  <c r="D210" i="15"/>
  <c r="C280" i="14"/>
  <c r="C264" i="14"/>
  <c r="C200" i="14"/>
  <c r="F191" i="14"/>
  <c r="C274" i="14"/>
  <c r="E151" i="15"/>
  <c r="D156" i="15"/>
  <c r="D261" i="15"/>
  <c r="D189" i="15"/>
  <c r="E189" i="15"/>
  <c r="D253" i="15"/>
  <c r="E17" i="14"/>
  <c r="F17" i="14"/>
  <c r="E89" i="14"/>
  <c r="F89" i="14"/>
  <c r="E285" i="14"/>
  <c r="F285" i="14"/>
  <c r="E297" i="14"/>
  <c r="F297" i="14"/>
  <c r="C210" i="15"/>
  <c r="F16" i="17"/>
  <c r="E20" i="17"/>
  <c r="F20" i="17"/>
  <c r="E40" i="17"/>
  <c r="F40" i="17"/>
  <c r="F44" i="17"/>
  <c r="F45" i="17"/>
  <c r="E67" i="14"/>
  <c r="F67" i="14"/>
  <c r="D244" i="15"/>
  <c r="E244" i="15"/>
  <c r="F19" i="17"/>
  <c r="C54" i="19"/>
  <c r="D101" i="19"/>
  <c r="D103" i="19"/>
  <c r="C111" i="19"/>
  <c r="E216" i="15"/>
  <c r="E265" i="15"/>
  <c r="D205" i="14"/>
  <c r="E205" i="14"/>
  <c r="F205" i="14"/>
  <c r="C211" i="15"/>
  <c r="C234" i="15"/>
  <c r="C180" i="15"/>
  <c r="D157" i="15"/>
  <c r="D168" i="15"/>
  <c r="E168" i="15"/>
  <c r="E156" i="15"/>
  <c r="E280" i="14"/>
  <c r="C281" i="14"/>
  <c r="F280" i="14"/>
  <c r="E206" i="14"/>
  <c r="F206" i="14"/>
  <c r="C61" i="14"/>
  <c r="F60" i="14"/>
  <c r="E60" i="14"/>
  <c r="F122" i="7"/>
  <c r="E122" i="7"/>
  <c r="E17" i="10"/>
  <c r="E28" i="10"/>
  <c r="E70" i="10"/>
  <c r="E72" i="10"/>
  <c r="E69" i="10"/>
  <c r="E24" i="10"/>
  <c r="C21" i="10"/>
  <c r="E21" i="5"/>
  <c r="E20" i="5"/>
  <c r="E22" i="5"/>
  <c r="C116" i="15"/>
  <c r="E116" i="15"/>
  <c r="E110" i="15"/>
  <c r="E121" i="15"/>
  <c r="E200" i="14"/>
  <c r="F200" i="14"/>
  <c r="E41" i="1"/>
  <c r="F41" i="1"/>
  <c r="D325" i="14"/>
  <c r="E325" i="14"/>
  <c r="F325" i="14"/>
  <c r="E324" i="14"/>
  <c r="F324" i="14"/>
  <c r="D254" i="15"/>
  <c r="E254" i="15"/>
  <c r="E253" i="15"/>
  <c r="D263" i="15"/>
  <c r="E263" i="15"/>
  <c r="E261" i="15"/>
  <c r="C300" i="14"/>
  <c r="E264" i="14"/>
  <c r="F264" i="14"/>
  <c r="C265" i="14"/>
  <c r="D180" i="15"/>
  <c r="E180" i="15"/>
  <c r="D234" i="15"/>
  <c r="E234" i="15"/>
  <c r="E210" i="15"/>
  <c r="D211" i="15"/>
  <c r="D95" i="15"/>
  <c r="D87" i="15"/>
  <c r="E87" i="15"/>
  <c r="D84" i="15"/>
  <c r="D100" i="15"/>
  <c r="E100" i="15"/>
  <c r="D89" i="15"/>
  <c r="E89" i="15"/>
  <c r="D258" i="15"/>
  <c r="D97" i="15"/>
  <c r="E97" i="15"/>
  <c r="D83" i="15"/>
  <c r="D99" i="15"/>
  <c r="E99" i="15"/>
  <c r="D98" i="15"/>
  <c r="E98" i="15"/>
  <c r="D96" i="15"/>
  <c r="D85" i="15"/>
  <c r="E85" i="15"/>
  <c r="D101" i="15"/>
  <c r="E101" i="15"/>
  <c r="D86" i="15"/>
  <c r="E86" i="15"/>
  <c r="E44" i="15"/>
  <c r="D88" i="15"/>
  <c r="E88" i="15"/>
  <c r="C36" i="11"/>
  <c r="C38" i="11"/>
  <c r="C40" i="11"/>
  <c r="I33" i="11"/>
  <c r="I36" i="11"/>
  <c r="I38" i="11"/>
  <c r="I40" i="11"/>
  <c r="H33" i="11"/>
  <c r="H36" i="11"/>
  <c r="H38" i="11"/>
  <c r="H40" i="11"/>
  <c r="C33" i="9"/>
  <c r="E19" i="9"/>
  <c r="F19" i="9"/>
  <c r="E95" i="4"/>
  <c r="F95" i="4"/>
  <c r="E21" i="10"/>
  <c r="E20" i="10"/>
  <c r="E22" i="10"/>
  <c r="C24" i="10"/>
  <c r="C20" i="10"/>
  <c r="C17" i="10"/>
  <c r="C28" i="10"/>
  <c r="C70" i="10"/>
  <c r="C72" i="10"/>
  <c r="C69" i="10"/>
  <c r="E208" i="6"/>
  <c r="F208" i="6"/>
  <c r="C24" i="5"/>
  <c r="C20" i="5"/>
  <c r="C17" i="5"/>
  <c r="E158" i="5"/>
  <c r="C117" i="15"/>
  <c r="E109" i="15"/>
  <c r="C128" i="15"/>
  <c r="E128" i="15"/>
  <c r="E122" i="15"/>
  <c r="E274" i="14"/>
  <c r="F274" i="14"/>
  <c r="E43" i="1"/>
  <c r="F43" i="1"/>
  <c r="E188" i="4"/>
  <c r="F188" i="4"/>
  <c r="E41" i="17"/>
  <c r="F41" i="17"/>
  <c r="E117" i="15"/>
  <c r="C28" i="5"/>
  <c r="C112" i="5"/>
  <c r="C111" i="5"/>
  <c r="D102" i="15"/>
  <c r="E102" i="15"/>
  <c r="E96" i="15"/>
  <c r="D90" i="15"/>
  <c r="E90" i="15"/>
  <c r="E84" i="15"/>
  <c r="E95" i="15"/>
  <c r="D103" i="15"/>
  <c r="E103" i="15"/>
  <c r="E61" i="14"/>
  <c r="C62" i="14"/>
  <c r="C174" i="14"/>
  <c r="C139" i="14"/>
  <c r="F61" i="14"/>
  <c r="C104" i="14"/>
  <c r="C209" i="14"/>
  <c r="E281" i="14"/>
  <c r="F281" i="14"/>
  <c r="E157" i="15"/>
  <c r="D169" i="15"/>
  <c r="E169" i="15"/>
  <c r="C41" i="9"/>
  <c r="E33" i="9"/>
  <c r="F33" i="9"/>
  <c r="D91" i="15"/>
  <c r="E83" i="15"/>
  <c r="E258" i="15"/>
  <c r="D264" i="15"/>
  <c r="D181" i="15"/>
  <c r="D235" i="15"/>
  <c r="E211" i="15"/>
  <c r="F265" i="14"/>
  <c r="E265" i="14"/>
  <c r="F300" i="14"/>
  <c r="E300" i="14"/>
  <c r="C129" i="15"/>
  <c r="E129" i="15"/>
  <c r="C22" i="10"/>
  <c r="C235" i="15"/>
  <c r="C181" i="15"/>
  <c r="E181" i="15"/>
  <c r="E264" i="15"/>
  <c r="D266" i="15"/>
  <c r="C48" i="9"/>
  <c r="E41" i="9"/>
  <c r="F41" i="9"/>
  <c r="E104" i="14"/>
  <c r="F104" i="14"/>
  <c r="E139" i="14"/>
  <c r="F139" i="14"/>
  <c r="E62" i="14"/>
  <c r="C63" i="14"/>
  <c r="F62" i="14"/>
  <c r="E235" i="15"/>
  <c r="E91" i="15"/>
  <c r="D105" i="15"/>
  <c r="E105" i="15"/>
  <c r="E209" i="14"/>
  <c r="F209" i="14"/>
  <c r="E174" i="14"/>
  <c r="F174" i="14"/>
  <c r="C22" i="5"/>
  <c r="C99" i="5"/>
  <c r="C101" i="5"/>
  <c r="C98" i="5"/>
  <c r="C131" i="15"/>
  <c r="E131" i="15"/>
  <c r="F63" i="14"/>
  <c r="E63" i="14"/>
  <c r="C70" i="14"/>
  <c r="E48" i="9"/>
  <c r="F48" i="9"/>
  <c r="E266" i="15"/>
  <c r="D267" i="15"/>
  <c r="E267" i="15"/>
  <c r="D269" i="15"/>
  <c r="E269" i="15"/>
  <c r="D268" i="15"/>
  <c r="E70" i="14"/>
  <c r="F70" i="14"/>
  <c r="D271" i="15"/>
  <c r="E271" i="15"/>
  <c r="E268" i="15"/>
</calcChain>
</file>

<file path=xl/sharedStrings.xml><?xml version="1.0" encoding="utf-8"?>
<sst xmlns="http://schemas.openxmlformats.org/spreadsheetml/2006/main" count="2320" uniqueCount="996">
  <si>
    <t>THE HOSPITAL OF CENTRAL CONNECTICUT</t>
  </si>
  <si>
    <t>TWELVE MONTHS ACTUAL FILING</t>
  </si>
  <si>
    <t xml:space="preserve">      FISCAL YEAR 2012</t>
  </si>
  <si>
    <t>REPORT 100 - HOSPITAL BALANCE SHEET INFORMATION</t>
  </si>
  <si>
    <t xml:space="preserve">      FY 2011</t>
  </si>
  <si>
    <t xml:space="preserve">      FY 2012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</si>
  <si>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</si>
  <si>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</si>
  <si>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</si>
  <si>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</si>
  <si>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</si>
  <si>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</si>
  <si>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</si>
  <si>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</si>
  <si>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</si>
  <si>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</si>
  <si>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</si>
  <si>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</si>
  <si>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</si>
  <si>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</si>
  <si>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</si>
  <si>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</si>
  <si>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</si>
  <si>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</si>
  <si>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</si>
  <si>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</si>
  <si>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</si>
  <si>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</si>
  <si>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</si>
  <si>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</si>
  <si>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</si>
  <si>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</si>
  <si>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</si>
  <si>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</si>
  <si>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</si>
  <si>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</si>
  <si>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</si>
  <si>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</si>
  <si>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</si>
  <si>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</si>
  <si>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</si>
  <si>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</si>
  <si>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</si>
  <si>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</si>
  <si>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</si>
  <si>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</si>
  <si>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</si>
  <si>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</si>
  <si>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</si>
  <si>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</si>
  <si>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</si>
  <si>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</si>
  <si>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</si>
  <si>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</si>
  <si>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</si>
  <si>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</si>
  <si>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</si>
  <si>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</si>
  <si>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</si>
  <si>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</si>
  <si>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</si>
  <si>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</si>
  <si>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</si>
  <si>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</si>
  <si>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</si>
  <si>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</si>
  <si>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</si>
  <si>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</si>
  <si>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</si>
  <si>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</si>
  <si>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</si>
  <si>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</si>
  <si>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</si>
  <si>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</si>
  <si>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</si>
  <si>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</si>
  <si>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</si>
  <si>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</si>
  <si>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</si>
  <si>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</si>
  <si>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</si>
  <si>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</si>
  <si>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</si>
  <si>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</si>
  <si>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</si>
  <si>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</si>
  <si>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</si>
  <si>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</si>
  <si>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</si>
  <si>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</si>
  <si>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</si>
  <si>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</si>
  <si>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</si>
  <si>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</si>
  <si>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</si>
  <si>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</si>
  <si>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</si>
  <si>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</si>
  <si>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</si>
  <si>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</si>
  <si>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</si>
  <si>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</si>
  <si>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</si>
  <si>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</si>
  <si>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</si>
  <si>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2011                ACTUAL     </t>
  </si>
  <si>
    <t xml:space="preserve">      FY 2012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</si>
  <si>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</si>
  <si>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</si>
  <si>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</si>
  <si>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</si>
  <si>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</si>
  <si>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</si>
  <si>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</si>
  <si>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</si>
  <si>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</si>
  <si>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</si>
  <si>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</si>
  <si>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</si>
  <si>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</si>
  <si>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</si>
  <si>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</si>
  <si>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</si>
  <si>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</si>
  <si>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</si>
  <si>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</si>
  <si>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</si>
  <si>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</si>
  <si>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</si>
  <si>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</si>
  <si>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</si>
  <si>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</si>
  <si>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</si>
  <si>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</si>
  <si>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</si>
  <si>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</si>
  <si>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</si>
  <si>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</si>
  <si>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</si>
  <si>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</si>
  <si>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</si>
  <si>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</si>
  <si>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</si>
  <si>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</si>
  <si>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</si>
  <si>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</si>
  <si>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</si>
  <si>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</si>
  <si>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</si>
  <si>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</si>
  <si>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</si>
  <si>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</si>
  <si>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</si>
  <si>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</si>
  <si>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</si>
  <si>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</si>
  <si>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</si>
  <si>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</si>
  <si>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</si>
  <si>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</si>
  <si>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</si>
  <si>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</si>
  <si>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</si>
  <si>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</si>
  <si>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</si>
  <si>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</si>
  <si>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</si>
  <si>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</si>
  <si>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</si>
  <si>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</si>
  <si>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</si>
  <si>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</si>
  <si>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</si>
  <si>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</si>
  <si>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</si>
  <si>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</si>
  <si>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</si>
  <si>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</si>
  <si>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</si>
  <si>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</si>
  <si>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</si>
  <si>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</si>
  <si>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</si>
  <si>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</si>
  <si>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</si>
  <si>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</si>
  <si>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</si>
  <si>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</si>
  <si>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</si>
  <si>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</si>
  <si>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</si>
  <si>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</si>
  <si>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</si>
  <si>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</si>
  <si>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</si>
  <si>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</si>
  <si>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</si>
  <si>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</si>
  <si>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</si>
  <si>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</si>
  <si>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</si>
  <si>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</si>
  <si>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</si>
  <si>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</si>
  <si>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</si>
  <si>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</si>
  <si>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</si>
  <si>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</si>
  <si>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</si>
  <si>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</si>
  <si>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</si>
  <si>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</si>
  <si>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</si>
  <si>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</si>
  <si>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</si>
  <si>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</si>
  <si>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</si>
  <si>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</si>
  <si>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</si>
  <si>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</si>
  <si>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</si>
  <si>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</si>
  <si>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</si>
  <si>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</si>
  <si>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</si>
  <si>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</si>
  <si>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</si>
  <si>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</si>
  <si>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</si>
  <si>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</si>
  <si>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</si>
  <si>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</si>
  <si>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</si>
  <si>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</si>
  <si>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</si>
  <si>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</si>
  <si>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</si>
  <si>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</si>
  <si>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</si>
  <si>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</si>
  <si>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</si>
  <si>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</si>
  <si>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</si>
  <si>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</si>
  <si>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</si>
  <si>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</si>
  <si>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</si>
  <si>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</si>
  <si>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</si>
  <si>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</si>
  <si>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</si>
  <si>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</si>
  <si>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</si>
  <si>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</si>
  <si>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</si>
  <si>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</si>
  <si>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</si>
  <si>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</si>
  <si>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</si>
  <si>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</si>
  <si>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</si>
  <si>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</si>
  <si>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</si>
  <si>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</si>
  <si>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</si>
  <si>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</si>
  <si>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</si>
  <si>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</si>
  <si>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</si>
  <si>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</si>
  <si>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</si>
  <si>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</si>
  <si>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</si>
  <si>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</si>
  <si>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</si>
  <si>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</si>
  <si>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</si>
  <si>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</si>
  <si>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</si>
  <si>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</si>
  <si>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</si>
  <si>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</si>
  <si>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</si>
  <si>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</si>
  <si>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</si>
  <si>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</si>
  <si>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</si>
  <si>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</si>
  <si>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</si>
  <si>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</si>
  <si>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</si>
  <si>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</si>
  <si>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</si>
  <si>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</si>
  <si>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</si>
  <si>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</si>
  <si>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</si>
  <si>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</si>
  <si>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</si>
  <si>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</si>
  <si>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</si>
  <si>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</si>
  <si>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</si>
  <si>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</si>
  <si>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</si>
  <si>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</si>
  <si>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</si>
  <si>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</si>
  <si>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</si>
  <si>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</si>
  <si>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</si>
  <si>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</si>
  <si>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</si>
  <si>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</si>
  <si>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</si>
  <si>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</si>
  <si>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</si>
  <si>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</si>
  <si>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</si>
  <si>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2010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</si>
  <si>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</si>
  <si>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</si>
  <si>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</si>
  <si>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</si>
  <si>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</si>
  <si>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</si>
  <si>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</si>
  <si>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</si>
  <si>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</si>
  <si>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</si>
  <si>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</si>
  <si>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</si>
  <si>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</si>
  <si>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</si>
  <si>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</si>
  <si>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</si>
  <si>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</si>
  <si>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</si>
  <si>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</si>
  <si>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</si>
  <si>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</si>
  <si>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</si>
  <si>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</si>
  <si>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</si>
  <si>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</si>
  <si>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</si>
  <si>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</si>
  <si>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</si>
  <si>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</si>
  <si>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</si>
  <si>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</si>
  <si>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</si>
  <si>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</si>
  <si>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</si>
  <si>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</si>
  <si>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</si>
  <si>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</si>
  <si>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</si>
  <si>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</si>
  <si>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</si>
  <si>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</si>
  <si>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</si>
  <si>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</si>
  <si>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</si>
  <si>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</si>
  <si>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</si>
  <si>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</si>
  <si>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</si>
  <si>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</si>
  <si>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</si>
  <si>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</si>
  <si>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</si>
  <si>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</si>
  <si>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</si>
  <si>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</si>
  <si>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</si>
  <si>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</si>
  <si>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</si>
  <si>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</si>
  <si>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</si>
  <si>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</si>
  <si>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</si>
  <si>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</si>
  <si>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</si>
  <si>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</si>
  <si>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</si>
  <si>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</si>
  <si>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</si>
  <si>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</si>
  <si>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</si>
  <si>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</si>
  <si>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</si>
  <si>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</si>
  <si>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</si>
  <si>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</si>
  <si>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</si>
  <si>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</si>
  <si>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</si>
  <si>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</si>
  <si>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</si>
  <si>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</si>
  <si>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</si>
  <si>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</si>
  <si>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</si>
  <si>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</si>
  <si>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</si>
  <si>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</si>
  <si>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</si>
  <si>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</si>
  <si>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</si>
  <si>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</si>
  <si>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</si>
  <si>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</si>
  <si>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</si>
  <si>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</si>
  <si>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</si>
  <si>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</si>
  <si>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</si>
  <si>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</si>
  <si>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</si>
  <si>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</si>
  <si>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</si>
  <si>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</si>
  <si>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</si>
  <si>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</si>
  <si>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</si>
  <si>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</si>
  <si>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</si>
  <si>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</si>
  <si>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</si>
  <si>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</si>
  <si>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</si>
  <si>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</si>
  <si>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</si>
  <si>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</si>
  <si>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</si>
  <si>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</si>
  <si>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</si>
  <si>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</si>
  <si>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</si>
  <si>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</si>
  <si>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</si>
  <si>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2011 ACTUAL     </t>
  </si>
  <si>
    <t xml:space="preserve">      FY 2012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</si>
  <si>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</si>
  <si>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</si>
  <si>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</si>
  <si>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</si>
  <si>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</si>
  <si>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</si>
  <si>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</si>
  <si>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</si>
  <si>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</si>
  <si>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</si>
  <si>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</si>
  <si>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</si>
  <si>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</si>
  <si>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</si>
  <si>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</si>
  <si>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</si>
  <si>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</si>
  <si>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</si>
  <si>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</si>
  <si>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</si>
  <si>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</si>
  <si>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</si>
  <si>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</si>
  <si>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</si>
  <si>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</si>
  <si>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</si>
  <si>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</si>
  <si>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</si>
  <si>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</si>
  <si>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</si>
  <si>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</si>
  <si>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</si>
  <si>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</si>
  <si>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</si>
  <si>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</si>
  <si>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</si>
  <si>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</si>
  <si>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</si>
  <si>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</si>
  <si>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</si>
  <si>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</si>
  <si>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</si>
  <si>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</si>
  <si>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</si>
  <si>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</si>
  <si>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</si>
  <si>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</si>
  <si>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HARTFORD HEALTH CARE CORPORATION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</si>
  <si>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</si>
  <si>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</si>
  <si>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</si>
  <si>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</si>
  <si>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</si>
  <si>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</si>
  <si>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</si>
  <si>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</si>
  <si>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</si>
  <si>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</si>
  <si>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</si>
  <si>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</si>
  <si>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</si>
  <si>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</si>
  <si>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</si>
  <si>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3(a)</t>
  </si>
  <si>
    <t>3(b)</t>
  </si>
  <si>
    <t>OCCUPANCY</t>
  </si>
  <si>
    <t>PATIENT</t>
  </si>
  <si>
    <t>OR ICU/CCU</t>
  </si>
  <si>
    <t>ADMISSIONS</t>
  </si>
  <si>
    <t>STAFFED</t>
  </si>
  <si>
    <t>AVAILABLE</t>
  </si>
  <si>
    <t>OF STAFFED</t>
  </si>
  <si>
    <t>OF AVAILABLE</t>
  </si>
  <si>
    <t>DAYS</t>
  </si>
  <si>
    <t># PATIENT</t>
  </si>
  <si>
    <t/>
  </si>
  <si>
    <t>BEDS (A)</t>
  </si>
  <si>
    <t>BEDS</t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</si>
  <si>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</si>
  <si>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</si>
  <si>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</si>
  <si>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</si>
  <si>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</si>
  <si>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</si>
  <si>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</si>
  <si>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</si>
  <si>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</si>
  <si>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</si>
  <si>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</si>
  <si>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</si>
  <si>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</si>
  <si>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</si>
  <si>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</si>
  <si>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</si>
  <si>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</si>
  <si>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</si>
  <si>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</si>
  <si>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</si>
  <si>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</si>
  <si>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</si>
  <si>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</si>
  <si>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</si>
  <si>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</si>
  <si>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</si>
  <si>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</si>
  <si>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</si>
  <si>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</si>
  <si>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</si>
  <si>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</si>
  <si>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</si>
  <si>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</si>
  <si>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</si>
  <si>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</si>
  <si>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</si>
  <si>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</si>
  <si>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</si>
  <si>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</si>
  <si>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</si>
  <si>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</si>
  <si>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</si>
  <si>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</si>
  <si>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</si>
  <si>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</si>
  <si>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</si>
  <si>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</si>
  <si>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</si>
  <si>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</si>
  <si>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</si>
  <si>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</si>
  <si>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</si>
  <si>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</si>
  <si>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</si>
  <si>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</si>
  <si>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</si>
  <si>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</si>
  <si>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</si>
  <si>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</si>
  <si>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</si>
  <si>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</si>
  <si>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</si>
  <si>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</si>
  <si>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</si>
  <si>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</si>
  <si>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</si>
  <si>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</si>
  <si>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</si>
  <si>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</si>
  <si>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</si>
  <si>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</si>
  <si>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</si>
  <si>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</si>
  <si>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</si>
  <si>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</si>
  <si>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</si>
  <si>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</si>
  <si>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</si>
  <si>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</si>
  <si>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The Hospital of Central Connecticut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</si>
  <si>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</si>
  <si>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</si>
  <si>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</si>
  <si>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</si>
  <si>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</si>
  <si>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</si>
  <si>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</si>
  <si>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</si>
  <si>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2012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</si>
  <si>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</si>
  <si>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</si>
  <si>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</si>
  <si>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</si>
  <si>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2011</t>
  </si>
  <si>
    <t xml:space="preserve">         FY 2012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</si>
  <si>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</si>
  <si>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</si>
  <si>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</si>
  <si>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</si>
  <si>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</si>
  <si>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</si>
  <si>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</si>
  <si>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</si>
  <si>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</si>
  <si>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</si>
  <si>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</si>
  <si>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</si>
  <si>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</si>
  <si>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</si>
  <si>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</si>
  <si>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</si>
  <si>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</si>
  <si>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</si>
  <si>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</si>
  <si>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</si>
  <si>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</si>
  <si>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</si>
  <si>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</si>
  <si>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</si>
  <si>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</si>
  <si>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</si>
  <si>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</si>
  <si>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</si>
  <si>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</si>
  <si>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</si>
  <si>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</si>
  <si>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</si>
  <si>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</si>
  <si>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</si>
  <si>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</si>
  <si>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</si>
  <si>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</si>
  <si>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</si>
  <si>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</si>
  <si>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</si>
  <si>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</si>
  <si>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</si>
  <si>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</si>
  <si>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</si>
  <si>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</si>
  <si>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</si>
  <si>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</si>
  <si>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</si>
  <si>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</si>
  <si>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</si>
  <si>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</si>
  <si>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</si>
  <si>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</si>
  <si>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</si>
  <si>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</si>
  <si>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</si>
  <si>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</si>
  <si>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</si>
  <si>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</si>
  <si>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</si>
  <si>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</si>
  <si>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</si>
  <si>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</si>
  <si>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</si>
  <si>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</si>
  <si>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</si>
  <si>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</si>
  <si>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</si>
  <si>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</si>
  <si>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</si>
  <si>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</si>
  <si>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</si>
  <si>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</si>
  <si>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</si>
  <si>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</si>
  <si>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</si>
  <si>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</si>
  <si>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</si>
  <si>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</si>
  <si>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</si>
  <si>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</si>
  <si>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</si>
  <si>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</si>
  <si>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</si>
  <si>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</si>
  <si>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</si>
  <si>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</si>
  <si>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</si>
  <si>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</si>
  <si>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</si>
  <si>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</si>
  <si>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</si>
  <si>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</si>
  <si>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</si>
  <si>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</si>
  <si>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</si>
  <si>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</si>
  <si>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</si>
  <si>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</si>
  <si>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</si>
  <si>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</si>
  <si>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</si>
  <si>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</si>
  <si>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</si>
  <si>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</si>
  <si>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</si>
  <si>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</si>
  <si>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</si>
  <si>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</si>
  <si>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</si>
  <si>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</si>
  <si>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</si>
  <si>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</si>
  <si>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</si>
  <si>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</si>
  <si>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</si>
  <si>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</si>
  <si>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</si>
  <si>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</si>
  <si>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</si>
  <si>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</si>
  <si>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</si>
  <si>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</si>
  <si>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</si>
  <si>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</si>
  <si>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</si>
  <si>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</si>
  <si>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</si>
  <si>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</si>
  <si>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</si>
  <si>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</si>
  <si>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</si>
  <si>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</si>
  <si>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</si>
  <si>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</si>
  <si>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</si>
  <si>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</si>
  <si>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</si>
  <si>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</si>
  <si>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</si>
  <si>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</si>
  <si>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</si>
  <si>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2011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</si>
  <si>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2012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</si>
  <si>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</si>
  <si>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</si>
  <si>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</si>
  <si>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</si>
  <si>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</si>
  <si>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</si>
  <si>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</si>
  <si>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</si>
  <si>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</si>
  <si>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</si>
  <si>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</si>
  <si>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</si>
  <si>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</si>
  <si>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</si>
  <si>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</si>
  <si>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</si>
  <si>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</si>
  <si>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</si>
  <si>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</si>
  <si>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</si>
  <si>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</si>
  <si>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</si>
  <si>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</si>
  <si>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</si>
  <si>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</si>
  <si>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</si>
  <si>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</si>
  <si>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</si>
  <si>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</si>
  <si>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</si>
  <si>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</si>
  <si>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</si>
  <si>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</si>
  <si>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</si>
  <si>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</si>
  <si>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</si>
  <si>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</si>
  <si>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</si>
  <si>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</si>
  <si>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</si>
  <si>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</si>
  <si>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</si>
  <si>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</si>
  <si>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</si>
  <si>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</si>
  <si>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</si>
  <si>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</si>
  <si>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</si>
  <si>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</si>
  <si>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</si>
  <si>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</si>
  <si>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</si>
  <si>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</si>
  <si>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</si>
  <si>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</si>
  <si>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</si>
  <si>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</si>
  <si>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</si>
  <si>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</si>
  <si>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</si>
  <si>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</si>
  <si>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</si>
  <si>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</si>
  <si>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</si>
  <si>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</si>
  <si>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</si>
  <si>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</si>
  <si>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</si>
  <si>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</si>
  <si>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</si>
  <si>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</si>
  <si>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</si>
  <si>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</si>
  <si>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</si>
  <si>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</si>
  <si>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</si>
  <si>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</si>
  <si>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</si>
  <si>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</si>
  <si>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</si>
  <si>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</si>
  <si>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</si>
  <si>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</si>
  <si>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</si>
  <si>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</si>
  <si>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</si>
  <si>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</si>
  <si>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</si>
  <si>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</si>
  <si>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</si>
  <si>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</si>
  <si>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</si>
  <si>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</si>
  <si>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</si>
  <si>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</si>
  <si>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</si>
  <si>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</si>
  <si>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</si>
  <si>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2012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</si>
  <si>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</si>
  <si>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</si>
  <si>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</si>
  <si>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</si>
  <si>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</si>
  <si>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</si>
  <si>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</si>
  <si>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</si>
  <si>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</si>
  <si>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</si>
  <si>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</si>
  <si>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</si>
  <si>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</si>
  <si>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</si>
  <si>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</si>
  <si>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</si>
  <si>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</si>
  <si>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</si>
  <si>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</si>
  <si>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</si>
  <si>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</si>
  <si>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</si>
  <si>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</si>
  <si>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</si>
  <si>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</si>
  <si>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</si>
  <si>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</si>
  <si>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</si>
  <si>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</si>
  <si>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</si>
  <si>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</si>
  <si>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</si>
  <si>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</si>
  <si>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</si>
  <si>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</si>
  <si>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</si>
  <si>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</si>
  <si>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</si>
  <si>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</si>
  <si>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</si>
  <si>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</si>
  <si>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</si>
  <si>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</si>
  <si>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</si>
  <si>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</si>
  <si>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</si>
  <si>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</si>
  <si>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</si>
  <si>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</si>
  <si>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</si>
  <si>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</si>
  <si>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</si>
  <si>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</si>
  <si>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</si>
  <si>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</si>
  <si>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2010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</si>
  <si>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2011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</si>
  <si>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2012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</si>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</sst>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0_);\(0\)"/>
    <numFmt numFmtId="169" formatCode="&quot;$&quot;#,##0"/>
    <numFmt numFmtId="170" formatCode="#,##0.0"/>
    <numFmt numFmtId="171" formatCode="0.00000_)"/>
    <numFmt numFmtId="172" formatCode="0.00000_);\(0.00000\)"/>
    <numFmt numFmtId="173" formatCode="0.0000_)"/>
    <numFmt numFmtId="174" formatCode="#,##0.00000_);\(#,##0.00000\)"/>
    <numFmt numFmtId="175" formatCode="_(* #,##0.0_);_(* \(#,##0.0\);_(* &quot;-&quot;??_);_(@_)"/>
    <numFmt numFmtId="176" formatCode="0.0%"/>
    <numFmt numFmtId="177" formatCode="0.0000_);\(0.0000\)"/>
    <numFmt numFmtId="178" formatCode="_(* #,##0_);_(* \(#,##0\);_(* &quot;-&quot;??_);_(@_)"/>
    <numFmt numFmtId="179" formatCode="_(* #,##0.0000_);_(* \(#,##0.0000\);_(* &quot;-&quot;??_);_(@_)"/>
    <numFmt numFmtId="180" formatCode="0.0000000000_);\(0.0000000000\)"/>
    <numFmt numFmtId="181" formatCode="_(* #,##0.00000000_);_(* \(#,##0.00000000\);_(* &quot;-&quot;??_);_(@_)"/>
    <numFmt numFmtId="182" formatCode="#,##0.000000_);\(#,##0.000000\)"/>
    <numFmt numFmtId="183" formatCode="#,##0.0_);\(#,##0.0\)"/>
    <numFmt numFmtId="184" formatCode="_(* #,##0.0_);_(* \(#,##0.0\);_(* &quot;-&quot;?_);_(@_)"/>
    <numFmt numFmtId="185" formatCode="0.00000"/>
    <numFmt numFmtId="186" formatCode="#,##0.00000"/>
    <numFmt numFmtId="187" formatCode="#,##0.0000"/>
    <numFmt numFmtId="188" formatCode="_(* #,##0.0000000000_);_(* \(#,##0.0000000000\);_(* &quot;-&quot;??_);_(@_)"/>
    <numFmt numFmtId="189" formatCode="#,##0.0000000000_);\(#,##0.0000000000\)"/>
    <numFmt numFmtId="190" formatCode="0.0000"/>
    <numFmt numFmtId="191" formatCode="0.0"/>
    <numFmt numFmtId="192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</font>
    <font>
      <sz val="12"/>
      <name val="Arial"/>
    </font>
    <font>
      <b/>
      <u/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3"/>
      <name val="Arial"/>
      <family val="2"/>
    </font>
    <font>
      <sz val="13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45">
    <xf numFmtId="0" fontId="0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8" fillId="26" borderId="0" applyNumberFormat="0" applyBorder="0" applyAlignment="0" applyProtection="0"/>
    <xf numFmtId="0" fontId="39" fillId="27" borderId="32" applyNumberFormat="0" applyAlignment="0" applyProtection="0"/>
    <xf numFmtId="0" fontId="40" fillId="28" borderId="33" applyNumberFormat="0" applyAlignment="0" applyProtection="0"/>
    <xf numFmtId="43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29" borderId="0" applyNumberFormat="0" applyBorder="0" applyAlignment="0" applyProtection="0"/>
    <xf numFmtId="0" fontId="43" fillId="0" borderId="34" applyNumberFormat="0" applyFill="0" applyAlignment="0" applyProtection="0"/>
    <xf numFmtId="0" fontId="44" fillId="0" borderId="35" applyNumberFormat="0" applyFill="0" applyAlignment="0" applyProtection="0"/>
    <xf numFmtId="0" fontId="45" fillId="0" borderId="36" applyNumberFormat="0" applyFill="0" applyAlignment="0" applyProtection="0"/>
    <xf numFmtId="0" fontId="45" fillId="0" borderId="0" applyNumberFormat="0" applyFill="0" applyBorder="0" applyAlignment="0" applyProtection="0"/>
    <xf numFmtId="0" fontId="46" fillId="30" borderId="32" applyNumberFormat="0" applyAlignment="0" applyProtection="0"/>
    <xf numFmtId="0" fontId="47" fillId="0" borderId="37" applyNumberFormat="0" applyFill="0" applyAlignment="0" applyProtection="0"/>
    <xf numFmtId="0" fontId="48" fillId="31" borderId="0" applyNumberFormat="0" applyBorder="0" applyAlignment="0" applyProtection="0"/>
    <xf numFmtId="0" fontId="36" fillId="32" borderId="38" applyNumberFormat="0" applyFont="0" applyAlignment="0" applyProtection="0"/>
    <xf numFmtId="0" fontId="49" fillId="27" borderId="39" applyNumberFormat="0" applyAlignment="0" applyProtection="0"/>
    <xf numFmtId="9" fontId="35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0" applyNumberFormat="0" applyFill="0" applyAlignment="0" applyProtection="0"/>
    <xf numFmtId="0" fontId="52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8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8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8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>
      <alignment horizontal="right"/>
    </xf>
    <xf numFmtId="169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8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8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8" fontId="1" fillId="0" borderId="0" xfId="0" applyNumberFormat="1" applyFont="1" applyBorder="1" applyAlignment="1">
      <alignment horizontal="center"/>
    </xf>
    <xf numFmtId="168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8" fontId="1" fillId="0" borderId="0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168" fontId="1" fillId="0" borderId="4" xfId="0" applyNumberFormat="1" applyFont="1" applyBorder="1" applyAlignment="1"/>
    <xf numFmtId="168" fontId="1" fillId="0" borderId="5" xfId="0" applyNumberFormat="1" applyFont="1" applyBorder="1" applyAlignment="1">
      <alignment horizontal="left"/>
    </xf>
    <xf numFmtId="168" fontId="1" fillId="0" borderId="6" xfId="0" applyNumberFormat="1" applyFont="1" applyBorder="1" applyAlignment="1">
      <alignment horizontal="center" wrapText="1"/>
    </xf>
    <xf numFmtId="168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8" fontId="1" fillId="0" borderId="7" xfId="0" applyNumberFormat="1" applyFont="1" applyBorder="1" applyAlignment="1">
      <alignment horizontal="center" wrapText="1"/>
    </xf>
    <xf numFmtId="168" fontId="1" fillId="33" borderId="8" xfId="0" applyNumberFormat="1" applyFont="1" applyFill="1" applyBorder="1" applyAlignment="1"/>
    <xf numFmtId="168" fontId="1" fillId="33" borderId="8" xfId="0" applyNumberFormat="1" applyFont="1" applyFill="1" applyBorder="1" applyAlignment="1">
      <alignment horizontal="left"/>
    </xf>
    <xf numFmtId="168" fontId="1" fillId="0" borderId="9" xfId="0" applyNumberFormat="1" applyFont="1" applyBorder="1" applyAlignment="1">
      <alignment horizontal="center"/>
    </xf>
    <xf numFmtId="168" fontId="2" fillId="0" borderId="9" xfId="0" applyNumberFormat="1" applyFont="1" applyBorder="1" applyAlignment="1">
      <alignment horizontal="left"/>
    </xf>
    <xf numFmtId="5" fontId="3" fillId="0" borderId="9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center" vertical="center"/>
    </xf>
    <xf numFmtId="43" fontId="3" fillId="0" borderId="9" xfId="28" applyFont="1" applyBorder="1" applyProtection="1">
      <protection locked="0"/>
    </xf>
    <xf numFmtId="168" fontId="1" fillId="0" borderId="9" xfId="0" applyNumberFormat="1" applyFont="1" applyBorder="1" applyAlignment="1">
      <alignment horizontal="center" vertical="center"/>
    </xf>
    <xf numFmtId="168" fontId="1" fillId="0" borderId="9" xfId="0" applyNumberFormat="1" applyFont="1" applyBorder="1" applyAlignment="1">
      <alignment horizontal="left" wrapText="1"/>
    </xf>
    <xf numFmtId="5" fontId="1" fillId="0" borderId="9" xfId="0" applyNumberFormat="1" applyFont="1" applyBorder="1" applyAlignment="1">
      <alignment horizontal="right"/>
    </xf>
    <xf numFmtId="9" fontId="1" fillId="0" borderId="9" xfId="0" applyNumberFormat="1" applyFont="1" applyBorder="1" applyAlignment="1">
      <alignment horizontal="right"/>
    </xf>
    <xf numFmtId="168" fontId="1" fillId="0" borderId="9" xfId="0" applyNumberFormat="1" applyFont="1" applyBorder="1" applyAlignment="1">
      <alignment horizontal="right"/>
    </xf>
    <xf numFmtId="43" fontId="1" fillId="0" borderId="9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8" fontId="1" fillId="0" borderId="10" xfId="0" applyNumberFormat="1" applyFont="1" applyFill="1" applyBorder="1" applyAlignment="1">
      <alignment horizontal="center"/>
    </xf>
    <xf numFmtId="168" fontId="1" fillId="0" borderId="11" xfId="0" applyNumberFormat="1" applyFont="1" applyBorder="1" applyAlignment="1">
      <alignment horizontal="left"/>
    </xf>
    <xf numFmtId="5" fontId="1" fillId="0" borderId="10" xfId="0" applyNumberFormat="1" applyFont="1" applyBorder="1" applyAlignment="1">
      <alignment horizontal="right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right"/>
    </xf>
    <xf numFmtId="168" fontId="1" fillId="0" borderId="12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9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8" fontId="11" fillId="0" borderId="0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center"/>
    </xf>
    <xf numFmtId="168" fontId="10" fillId="0" borderId="13" xfId="0" applyNumberFormat="1" applyFont="1" applyBorder="1" applyAlignment="1">
      <alignment horizontal="center"/>
    </xf>
    <xf numFmtId="168" fontId="10" fillId="0" borderId="13" xfId="0" applyNumberFormat="1" applyFont="1" applyBorder="1" applyAlignment="1"/>
    <xf numFmtId="0" fontId="10" fillId="0" borderId="13" xfId="0" applyFont="1" applyBorder="1" applyAlignment="1">
      <alignment horizontal="center" wrapText="1"/>
    </xf>
    <xf numFmtId="168" fontId="10" fillId="0" borderId="13" xfId="0" applyNumberFormat="1" applyFont="1" applyBorder="1" applyAlignment="1">
      <alignment horizontal="center" wrapText="1"/>
    </xf>
    <xf numFmtId="168" fontId="12" fillId="0" borderId="13" xfId="0" applyNumberFormat="1" applyFont="1" applyBorder="1" applyAlignment="1">
      <alignment horizontal="center"/>
    </xf>
    <xf numFmtId="168" fontId="12" fillId="0" borderId="13" xfId="0" applyNumberFormat="1" applyFont="1" applyBorder="1" applyAlignment="1">
      <alignment horizontal="left"/>
    </xf>
    <xf numFmtId="168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168" fontId="10" fillId="0" borderId="9" xfId="0" applyNumberFormat="1" applyFont="1" applyBorder="1" applyAlignment="1"/>
    <xf numFmtId="168" fontId="10" fillId="0" borderId="9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168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8" fontId="11" fillId="0" borderId="8" xfId="0" applyNumberFormat="1" applyFont="1" applyBorder="1" applyAlignment="1">
      <alignment horizontal="right"/>
    </xf>
    <xf numFmtId="168" fontId="11" fillId="0" borderId="9" xfId="0" applyNumberFormat="1" applyFont="1" applyBorder="1" applyAlignment="1">
      <alignment horizontal="center"/>
    </xf>
    <xf numFmtId="0" fontId="12" fillId="0" borderId="9" xfId="0" applyNumberFormat="1" applyFont="1" applyBorder="1" applyAlignment="1">
      <alignment horizontal="left" wrapText="1"/>
    </xf>
    <xf numFmtId="168" fontId="11" fillId="0" borderId="9" xfId="0" applyNumberFormat="1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2" fillId="0" borderId="9" xfId="0" applyNumberFormat="1" applyFont="1" applyBorder="1"/>
    <xf numFmtId="5" fontId="11" fillId="0" borderId="9" xfId="0" applyNumberFormat="1" applyFont="1" applyBorder="1" applyAlignment="1">
      <alignment horizontal="right"/>
    </xf>
    <xf numFmtId="5" fontId="10" fillId="0" borderId="9" xfId="0" applyNumberFormat="1" applyFont="1" applyBorder="1" applyAlignment="1">
      <alignment horizontal="right"/>
    </xf>
    <xf numFmtId="9" fontId="10" fillId="0" borderId="9" xfId="0" applyNumberFormat="1" applyFont="1" applyBorder="1" applyAlignment="1">
      <alignment horizontal="right"/>
    </xf>
    <xf numFmtId="0" fontId="11" fillId="0" borderId="9" xfId="28" applyNumberFormat="1" applyFont="1" applyBorder="1" applyProtection="1">
      <protection locked="0"/>
    </xf>
    <xf numFmtId="9" fontId="11" fillId="0" borderId="9" xfId="0" applyNumberFormat="1" applyFont="1" applyBorder="1" applyAlignment="1">
      <alignment horizontal="right"/>
    </xf>
    <xf numFmtId="0" fontId="10" fillId="0" borderId="9" xfId="0" applyNumberFormat="1" applyFont="1" applyBorder="1"/>
    <xf numFmtId="43" fontId="11" fillId="0" borderId="9" xfId="28" applyFont="1" applyBorder="1" applyProtection="1">
      <protection locked="0"/>
    </xf>
    <xf numFmtId="168" fontId="11" fillId="0" borderId="9" xfId="0" applyNumberFormat="1" applyFont="1" applyFill="1" applyBorder="1" applyAlignment="1">
      <alignment horizontal="center"/>
    </xf>
    <xf numFmtId="3" fontId="10" fillId="0" borderId="9" xfId="0" applyNumberFormat="1" applyFont="1" applyBorder="1" applyAlignment="1" applyProtection="1"/>
    <xf numFmtId="0" fontId="0" fillId="0" borderId="43" xfId="0" applyBorder="1"/>
    <xf numFmtId="9" fontId="11" fillId="0" borderId="9" xfId="41" applyFont="1" applyBorder="1" applyAlignment="1">
      <alignment horizontal="right"/>
    </xf>
    <xf numFmtId="0" fontId="10" fillId="0" borderId="9" xfId="0" applyNumberFormat="1" applyFont="1" applyBorder="1" applyAlignment="1">
      <alignment horizontal="left"/>
    </xf>
    <xf numFmtId="168" fontId="15" fillId="0" borderId="9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0" borderId="9" xfId="0" applyFont="1" applyBorder="1"/>
    <xf numFmtId="3" fontId="11" fillId="0" borderId="9" xfId="0" applyNumberFormat="1" applyFont="1" applyBorder="1" applyAlignment="1" applyProtection="1"/>
    <xf numFmtId="0" fontId="0" fillId="0" borderId="9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83" fontId="11" fillId="0" borderId="41" xfId="0" applyNumberFormat="1" applyFont="1" applyBorder="1" applyAlignment="1">
      <alignment horizontal="right"/>
    </xf>
    <xf numFmtId="183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6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9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6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8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9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9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4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4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4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6" fontId="11" fillId="0" borderId="0" xfId="0" applyNumberFormat="1" applyFont="1" applyBorder="1" applyAlignment="1"/>
    <xf numFmtId="169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9" fontId="8" fillId="0" borderId="0" xfId="0" applyNumberFormat="1" applyFont="1" applyFill="1" applyBorder="1" applyAlignment="1"/>
    <xf numFmtId="169" fontId="11" fillId="0" borderId="0" xfId="0" applyNumberFormat="1" applyFont="1" applyBorder="1" applyAlignment="1"/>
    <xf numFmtId="5" fontId="11" fillId="0" borderId="0" xfId="0" applyNumberFormat="1" applyFont="1" applyBorder="1" applyAlignment="1"/>
    <xf numFmtId="169" fontId="8" fillId="0" borderId="0" xfId="0" applyNumberFormat="1" applyFont="1" applyBorder="1" applyAlignment="1"/>
    <xf numFmtId="182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8" fontId="6" fillId="0" borderId="14" xfId="0" applyNumberFormat="1" applyFont="1" applyBorder="1" applyAlignment="1">
      <alignment horizontal="center"/>
    </xf>
    <xf numFmtId="168" fontId="6" fillId="0" borderId="2" xfId="0" applyNumberFormat="1" applyFont="1" applyBorder="1" applyAlignment="1">
      <alignment horizontal="center"/>
    </xf>
    <xf numFmtId="168" fontId="6" fillId="0" borderId="3" xfId="0" applyNumberFormat="1" applyFont="1" applyBorder="1" applyAlignment="1">
      <alignment horizontal="center"/>
    </xf>
    <xf numFmtId="168" fontId="16" fillId="0" borderId="0" xfId="0" applyNumberFormat="1" applyFont="1" applyBorder="1" applyAlignment="1">
      <alignment horizontal="center"/>
    </xf>
    <xf numFmtId="168" fontId="6" fillId="0" borderId="15" xfId="0" applyNumberFormat="1" applyFont="1" applyBorder="1" applyAlignment="1">
      <alignment horizontal="center" wrapText="1"/>
    </xf>
    <xf numFmtId="168" fontId="6" fillId="0" borderId="6" xfId="0" applyNumberFormat="1" applyFont="1" applyBorder="1" applyAlignment="1">
      <alignment horizontal="left" wrapText="1"/>
    </xf>
    <xf numFmtId="168" fontId="6" fillId="0" borderId="6" xfId="0" applyNumberFormat="1" applyFont="1" applyBorder="1" applyAlignment="1">
      <alignment horizontal="center" wrapText="1"/>
    </xf>
    <xf numFmtId="168" fontId="6" fillId="0" borderId="5" xfId="0" applyNumberFormat="1" applyFont="1" applyBorder="1" applyAlignment="1">
      <alignment horizontal="center" wrapText="1"/>
    </xf>
    <xf numFmtId="9" fontId="6" fillId="0" borderId="16" xfId="41" applyFont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left" wrapText="1"/>
    </xf>
    <xf numFmtId="168" fontId="6" fillId="0" borderId="8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68" fontId="6" fillId="0" borderId="9" xfId="0" applyNumberFormat="1" applyFont="1" applyBorder="1" applyAlignment="1">
      <alignment horizontal="center" wrapText="1"/>
    </xf>
    <xf numFmtId="43" fontId="6" fillId="0" borderId="17" xfId="28" applyFont="1" applyBorder="1" applyProtection="1">
      <protection locked="0"/>
    </xf>
    <xf numFmtId="168" fontId="6" fillId="0" borderId="8" xfId="0" applyNumberFormat="1" applyFont="1" applyBorder="1" applyAlignment="1">
      <alignment horizontal="right" wrapText="1"/>
    </xf>
    <xf numFmtId="168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8" fontId="16" fillId="0" borderId="9" xfId="0" applyNumberFormat="1" applyFont="1" applyBorder="1" applyAlignment="1">
      <alignment horizontal="center"/>
    </xf>
    <xf numFmtId="0" fontId="16" fillId="0" borderId="9" xfId="0" applyFont="1" applyBorder="1"/>
    <xf numFmtId="5" fontId="16" fillId="0" borderId="9" xfId="0" applyNumberFormat="1" applyFont="1" applyBorder="1" applyAlignment="1">
      <alignment horizontal="right"/>
    </xf>
    <xf numFmtId="9" fontId="16" fillId="0" borderId="9" xfId="41" applyNumberFormat="1" applyFont="1" applyBorder="1" applyAlignment="1">
      <alignment horizontal="right"/>
    </xf>
    <xf numFmtId="37" fontId="16" fillId="0" borderId="9" xfId="0" applyNumberFormat="1" applyFont="1" applyBorder="1" applyAlignment="1">
      <alignment horizontal="right"/>
    </xf>
    <xf numFmtId="0" fontId="6" fillId="0" borderId="0" xfId="0" applyFont="1" applyBorder="1"/>
    <xf numFmtId="168" fontId="6" fillId="0" borderId="9" xfId="0" applyNumberFormat="1" applyFont="1" applyFill="1" applyBorder="1" applyAlignment="1">
      <alignment horizontal="right"/>
    </xf>
    <xf numFmtId="168" fontId="6" fillId="0" borderId="9" xfId="0" applyNumberFormat="1" applyFont="1" applyFill="1" applyBorder="1" applyAlignment="1">
      <alignment horizontal="left" wrapText="1"/>
    </xf>
    <xf numFmtId="5" fontId="6" fillId="0" borderId="9" xfId="0" applyNumberFormat="1" applyFont="1" applyBorder="1" applyAlignment="1">
      <alignment horizontal="right"/>
    </xf>
    <xf numFmtId="9" fontId="6" fillId="0" borderId="9" xfId="41" applyNumberFormat="1" applyFont="1" applyBorder="1" applyAlignment="1">
      <alignment horizontal="right"/>
    </xf>
    <xf numFmtId="168" fontId="6" fillId="0" borderId="9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wrapText="1"/>
    </xf>
    <xf numFmtId="9" fontId="6" fillId="0" borderId="9" xfId="41" applyFont="1" applyBorder="1" applyAlignment="1">
      <alignment horizontal="right"/>
    </xf>
    <xf numFmtId="37" fontId="6" fillId="0" borderId="9" xfId="0" applyNumberFormat="1" applyFont="1" applyFill="1" applyBorder="1" applyAlignment="1">
      <alignment horizontal="right"/>
    </xf>
    <xf numFmtId="168" fontId="6" fillId="0" borderId="15" xfId="0" applyNumberFormat="1" applyFont="1" applyBorder="1" applyAlignment="1">
      <alignment horizontal="center"/>
    </xf>
    <xf numFmtId="168" fontId="6" fillId="0" borderId="6" xfId="0" applyNumberFormat="1" applyFont="1" applyBorder="1" applyAlignment="1">
      <alignment horizontal="left"/>
    </xf>
    <xf numFmtId="168" fontId="6" fillId="33" borderId="8" xfId="0" applyNumberFormat="1" applyFont="1" applyFill="1" applyBorder="1" applyAlignment="1">
      <alignment horizontal="center"/>
    </xf>
    <xf numFmtId="168" fontId="6" fillId="33" borderId="18" xfId="0" applyNumberFormat="1" applyFont="1" applyFill="1" applyBorder="1" applyAlignment="1">
      <alignment horizontal="left"/>
    </xf>
    <xf numFmtId="168" fontId="6" fillId="33" borderId="19" xfId="0" applyNumberFormat="1" applyFont="1" applyFill="1" applyBorder="1" applyAlignment="1">
      <alignment horizontal="center" wrapText="1"/>
    </xf>
    <xf numFmtId="168" fontId="6" fillId="33" borderId="20" xfId="0" applyNumberFormat="1" applyFont="1" applyFill="1" applyBorder="1" applyAlignment="1">
      <alignment horizontal="center" wrapText="1"/>
    </xf>
    <xf numFmtId="9" fontId="6" fillId="33" borderId="18" xfId="41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9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8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5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9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8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9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4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4" fontId="10" fillId="0" borderId="41" xfId="0" applyNumberFormat="1" applyFont="1" applyFill="1" applyBorder="1" applyAlignment="1"/>
    <xf numFmtId="0" fontId="8" fillId="0" borderId="2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168" fontId="12" fillId="0" borderId="9" xfId="0" applyNumberFormat="1" applyFont="1" applyBorder="1" applyAlignment="1"/>
    <xf numFmtId="168" fontId="9" fillId="0" borderId="9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68" fontId="11" fillId="0" borderId="9" xfId="0" applyNumberFormat="1" applyFont="1" applyBorder="1" applyAlignment="1">
      <alignment wrapText="1"/>
    </xf>
    <xf numFmtId="3" fontId="8" fillId="0" borderId="9" xfId="28" applyNumberFormat="1" applyFont="1" applyBorder="1" applyAlignment="1">
      <alignment horizontal="right"/>
    </xf>
    <xf numFmtId="1" fontId="8" fillId="0" borderId="9" xfId="0" applyNumberFormat="1" applyFont="1" applyBorder="1" applyAlignment="1">
      <alignment horizontal="right"/>
    </xf>
    <xf numFmtId="176" fontId="8" fillId="0" borderId="9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9" xfId="28" applyNumberFormat="1" applyFont="1" applyBorder="1" applyAlignment="1">
      <alignment horizontal="right"/>
    </xf>
    <xf numFmtId="176" fontId="10" fillId="0" borderId="9" xfId="41" applyNumberFormat="1" applyFont="1" applyBorder="1" applyAlignment="1">
      <alignment horizontal="right"/>
    </xf>
    <xf numFmtId="1" fontId="7" fillId="0" borderId="9" xfId="0" applyNumberFormat="1" applyFont="1" applyBorder="1" applyAlignment="1">
      <alignment horizontal="right"/>
    </xf>
    <xf numFmtId="37" fontId="10" fillId="0" borderId="9" xfId="28" applyNumberFormat="1" applyFont="1" applyBorder="1" applyAlignment="1">
      <alignment horizontal="right"/>
    </xf>
    <xf numFmtId="168" fontId="10" fillId="0" borderId="0" xfId="0" applyNumberFormat="1" applyFont="1" applyBorder="1" applyAlignment="1"/>
    <xf numFmtId="0" fontId="8" fillId="0" borderId="0" xfId="0" applyFont="1" applyBorder="1"/>
    <xf numFmtId="168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9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8" fontId="7" fillId="0" borderId="9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68" fontId="7" fillId="0" borderId="9" xfId="0" applyNumberFormat="1" applyFont="1" applyBorder="1" applyAlignment="1"/>
    <xf numFmtId="168" fontId="12" fillId="0" borderId="9" xfId="0" applyNumberFormat="1" applyFont="1" applyBorder="1" applyAlignment="1">
      <alignment horizontal="center"/>
    </xf>
    <xf numFmtId="9" fontId="8" fillId="0" borderId="9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9" xfId="28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3" fontId="11" fillId="0" borderId="9" xfId="28" applyNumberFormat="1" applyFont="1" applyBorder="1" applyAlignment="1">
      <alignment horizontal="right"/>
    </xf>
    <xf numFmtId="168" fontId="8" fillId="0" borderId="9" xfId="0" applyNumberFormat="1" applyFont="1" applyBorder="1" applyAlignment="1"/>
    <xf numFmtId="170" fontId="8" fillId="0" borderId="9" xfId="0" applyNumberFormat="1" applyFont="1" applyBorder="1" applyAlignment="1">
      <alignment horizontal="right"/>
    </xf>
    <xf numFmtId="170" fontId="8" fillId="0" borderId="9" xfId="28" applyNumberFormat="1" applyFont="1" applyBorder="1" applyAlignment="1">
      <alignment horizontal="right"/>
    </xf>
    <xf numFmtId="170" fontId="10" fillId="0" borderId="9" xfId="28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8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left"/>
      <protection locked="0"/>
    </xf>
    <xf numFmtId="0" fontId="17" fillId="0" borderId="22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22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71" fontId="17" fillId="0" borderId="0" xfId="0" applyNumberFormat="1" applyFont="1" applyFill="1" applyBorder="1" applyProtection="1">
      <protection locked="0"/>
    </xf>
    <xf numFmtId="172" fontId="17" fillId="0" borderId="0" xfId="0" applyNumberFormat="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4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5" fontId="17" fillId="0" borderId="0" xfId="28" applyNumberFormat="1" applyFont="1" applyFill="1" applyBorder="1" applyProtection="1">
      <protection locked="0"/>
    </xf>
    <xf numFmtId="169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17" xfId="0" applyFont="1" applyFill="1" applyBorder="1" applyAlignment="1" applyProtection="1">
      <alignment horizontal="center"/>
      <protection locked="0"/>
    </xf>
    <xf numFmtId="176" fontId="17" fillId="0" borderId="0" xfId="41" applyNumberFormat="1" applyFont="1" applyFill="1" applyBorder="1" applyProtection="1">
      <protection locked="0"/>
    </xf>
    <xf numFmtId="176" fontId="18" fillId="0" borderId="0" xfId="41" applyNumberFormat="1" applyFont="1" applyFill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9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7" fontId="18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8" fontId="17" fillId="0" borderId="0" xfId="28" applyNumberFormat="1" applyFont="1" applyFill="1" applyBorder="1" applyProtection="1">
      <protection locked="0"/>
    </xf>
    <xf numFmtId="178" fontId="18" fillId="0" borderId="0" xfId="28" applyNumberFormat="1" applyFont="1" applyFill="1" applyBorder="1" applyProtection="1">
      <protection locked="0"/>
    </xf>
    <xf numFmtId="178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72" fontId="17" fillId="0" borderId="0" xfId="28" applyNumberFormat="1" applyFont="1" applyFill="1" applyBorder="1" applyProtection="1">
      <protection locked="0"/>
    </xf>
    <xf numFmtId="179" fontId="18" fillId="0" borderId="0" xfId="28" applyNumberFormat="1" applyFont="1" applyFill="1" applyBorder="1" applyProtection="1">
      <protection locked="0"/>
    </xf>
    <xf numFmtId="179" fontId="17" fillId="0" borderId="0" xfId="28" applyNumberFormat="1" applyFont="1" applyFill="1" applyBorder="1" applyAlignment="1" applyProtection="1">
      <alignment horizontal="right"/>
      <protection locked="0"/>
    </xf>
    <xf numFmtId="178" fontId="17" fillId="0" borderId="0" xfId="41" applyNumberFormat="1" applyFont="1" applyFill="1" applyBorder="1" applyAlignment="1" applyProtection="1">
      <alignment horizontal="right"/>
      <protection locked="0"/>
    </xf>
    <xf numFmtId="178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80" fontId="17" fillId="0" borderId="0" xfId="28" applyNumberFormat="1" applyFont="1" applyFill="1" applyBorder="1" applyAlignment="1" applyProtection="1">
      <alignment horizontal="right"/>
      <protection locked="0"/>
    </xf>
    <xf numFmtId="181" fontId="18" fillId="0" borderId="0" xfId="28" applyNumberFormat="1" applyFont="1" applyFill="1" applyBorder="1" applyAlignment="1" applyProtection="1">
      <alignment horizontal="right"/>
      <protection locked="0"/>
    </xf>
    <xf numFmtId="181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8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left"/>
      <protection locked="0"/>
    </xf>
    <xf numFmtId="173" fontId="17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8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7" fontId="17" fillId="0" borderId="0" xfId="28" applyNumberFormat="1" applyFont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left"/>
      <protection locked="0"/>
    </xf>
    <xf numFmtId="168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8" fontId="19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9" xfId="0" applyFont="1" applyBorder="1" applyAlignment="1"/>
    <xf numFmtId="0" fontId="15" fillId="0" borderId="9" xfId="0" applyFont="1" applyBorder="1" applyAlignment="1">
      <alignment horizontal="center" vertical="top"/>
    </xf>
    <xf numFmtId="0" fontId="12" fillId="0" borderId="9" xfId="0" applyFont="1" applyBorder="1" applyAlignment="1"/>
    <xf numFmtId="0" fontId="17" fillId="0" borderId="9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9" xfId="0" applyFont="1" applyBorder="1" applyAlignment="1">
      <alignment horizontal="center" vertical="top"/>
    </xf>
    <xf numFmtId="0" fontId="20" fillId="0" borderId="9" xfId="0" applyFont="1" applyBorder="1" applyAlignment="1">
      <alignment vertical="top"/>
    </xf>
    <xf numFmtId="0" fontId="13" fillId="0" borderId="9" xfId="0" applyFont="1" applyBorder="1" applyProtection="1">
      <protection locked="0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6" fontId="13" fillId="0" borderId="9" xfId="0" applyNumberFormat="1" applyFont="1" applyBorder="1" applyAlignment="1">
      <alignment horizontal="right" vertical="top"/>
    </xf>
    <xf numFmtId="6" fontId="13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horizontal="right" vertical="top"/>
    </xf>
    <xf numFmtId="0" fontId="19" fillId="0" borderId="9" xfId="0" applyFont="1" applyBorder="1" applyAlignment="1">
      <alignment vertical="top" wrapText="1"/>
    </xf>
    <xf numFmtId="6" fontId="19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vertical="top"/>
    </xf>
    <xf numFmtId="0" fontId="17" fillId="0" borderId="9" xfId="0" applyFont="1" applyBorder="1" applyAlignment="1" applyProtection="1">
      <alignment horizontal="left"/>
      <protection locked="0"/>
    </xf>
    <xf numFmtId="0" fontId="17" fillId="0" borderId="9" xfId="0" applyFont="1" applyBorder="1" applyProtection="1">
      <protection locked="0"/>
    </xf>
    <xf numFmtId="0" fontId="20" fillId="0" borderId="9" xfId="0" applyFont="1" applyBorder="1" applyProtection="1">
      <protection locked="0"/>
    </xf>
    <xf numFmtId="0" fontId="20" fillId="0" borderId="9" xfId="0" applyFont="1" applyBorder="1" applyAlignment="1"/>
    <xf numFmtId="10" fontId="13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>
      <alignment vertical="top"/>
    </xf>
    <xf numFmtId="10" fontId="19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 applyProtection="1">
      <alignment horizontal="center"/>
      <protection locked="0"/>
    </xf>
    <xf numFmtId="0" fontId="19" fillId="0" borderId="9" xfId="0" applyFont="1" applyBorder="1" applyProtection="1">
      <protection locked="0"/>
    </xf>
    <xf numFmtId="176" fontId="13" fillId="0" borderId="9" xfId="41" applyNumberFormat="1" applyFont="1" applyBorder="1" applyAlignment="1">
      <alignment vertical="top"/>
    </xf>
    <xf numFmtId="0" fontId="15" fillId="0" borderId="9" xfId="0" applyFont="1" applyBorder="1" applyAlignment="1" applyProtection="1">
      <alignment horizontal="center"/>
      <protection locked="0"/>
    </xf>
    <xf numFmtId="3" fontId="13" fillId="0" borderId="9" xfId="0" applyNumberFormat="1" applyFont="1" applyBorder="1" applyAlignment="1">
      <alignment horizontal="right" vertical="top"/>
    </xf>
    <xf numFmtId="178" fontId="13" fillId="0" borderId="9" xfId="28" applyNumberFormat="1" applyFont="1" applyBorder="1" applyAlignment="1">
      <alignment vertical="top"/>
    </xf>
    <xf numFmtId="3" fontId="19" fillId="0" borderId="9" xfId="0" applyNumberFormat="1" applyFont="1" applyBorder="1" applyAlignment="1">
      <alignment vertical="top"/>
    </xf>
    <xf numFmtId="178" fontId="19" fillId="0" borderId="9" xfId="28" applyNumberFormat="1" applyFont="1" applyBorder="1" applyAlignment="1">
      <alignment vertical="top"/>
    </xf>
    <xf numFmtId="3" fontId="13" fillId="0" borderId="9" xfId="0" applyNumberFormat="1" applyFont="1" applyBorder="1" applyAlignment="1">
      <alignment vertical="top"/>
    </xf>
    <xf numFmtId="3" fontId="13" fillId="0" borderId="9" xfId="0" applyNumberFormat="1" applyFont="1" applyFill="1" applyBorder="1" applyAlignment="1">
      <alignment vertical="top"/>
    </xf>
    <xf numFmtId="170" fontId="13" fillId="0" borderId="9" xfId="0" applyNumberFormat="1" applyFont="1" applyBorder="1" applyAlignment="1">
      <alignment vertical="top"/>
    </xf>
    <xf numFmtId="175" fontId="13" fillId="0" borderId="9" xfId="28" applyNumberFormat="1" applyFont="1" applyBorder="1" applyAlignment="1">
      <alignment vertical="top"/>
    </xf>
    <xf numFmtId="170" fontId="19" fillId="0" borderId="9" xfId="0" applyNumberFormat="1" applyFont="1" applyBorder="1" applyAlignment="1">
      <alignment vertical="top"/>
    </xf>
    <xf numFmtId="175" fontId="19" fillId="0" borderId="9" xfId="28" applyNumberFormat="1" applyFont="1" applyBorder="1" applyAlignment="1">
      <alignment vertical="top"/>
    </xf>
    <xf numFmtId="175" fontId="13" fillId="0" borderId="9" xfId="0" applyNumberFormat="1" applyFont="1" applyBorder="1" applyAlignment="1">
      <alignment vertical="top"/>
    </xf>
    <xf numFmtId="185" fontId="13" fillId="0" borderId="9" xfId="0" applyNumberFormat="1" applyFont="1" applyBorder="1" applyAlignment="1">
      <alignment horizontal="right" vertical="top"/>
    </xf>
    <xf numFmtId="172" fontId="13" fillId="0" borderId="9" xfId="28" applyNumberFormat="1" applyFont="1" applyBorder="1" applyAlignment="1">
      <alignment vertical="top"/>
    </xf>
    <xf numFmtId="185" fontId="19" fillId="0" borderId="9" xfId="0" applyNumberFormat="1" applyFont="1" applyBorder="1" applyAlignment="1">
      <alignment horizontal="right" vertical="top"/>
    </xf>
    <xf numFmtId="172" fontId="19" fillId="0" borderId="9" xfId="28" applyNumberFormat="1" applyFont="1" applyBorder="1" applyAlignment="1">
      <alignment vertical="top"/>
    </xf>
    <xf numFmtId="0" fontId="13" fillId="0" borderId="9" xfId="0" applyFont="1" applyBorder="1" applyAlignment="1">
      <alignment horizontal="right" vertical="top"/>
    </xf>
    <xf numFmtId="6" fontId="13" fillId="0" borderId="9" xfId="0" applyNumberFormat="1" applyFont="1" applyBorder="1" applyProtection="1">
      <protection locked="0"/>
    </xf>
    <xf numFmtId="10" fontId="13" fillId="0" borderId="9" xfId="41" applyNumberFormat="1" applyFont="1" applyBorder="1" applyProtection="1">
      <protection locked="0"/>
    </xf>
    <xf numFmtId="0" fontId="29" fillId="0" borderId="9" xfId="0" applyFont="1" applyFill="1" applyBorder="1" applyAlignment="1">
      <alignment vertical="top" wrapText="1"/>
    </xf>
    <xf numFmtId="6" fontId="13" fillId="0" borderId="9" xfId="0" applyNumberFormat="1" applyFont="1" applyFill="1" applyBorder="1" applyProtection="1">
      <protection locked="0"/>
    </xf>
    <xf numFmtId="0" fontId="12" fillId="0" borderId="9" xfId="0" applyFont="1" applyBorder="1" applyAlignment="1">
      <alignment vertical="top"/>
    </xf>
    <xf numFmtId="0" fontId="13" fillId="0" borderId="9" xfId="0" applyFont="1" applyBorder="1" applyAlignment="1" applyProtection="1">
      <alignment horizontal="left"/>
      <protection locked="0"/>
    </xf>
    <xf numFmtId="0" fontId="19" fillId="0" borderId="9" xfId="0" applyFont="1" applyBorder="1" applyAlignment="1" applyProtection="1">
      <alignment horizontal="left"/>
      <protection locked="0"/>
    </xf>
    <xf numFmtId="174" fontId="13" fillId="0" borderId="9" xfId="28" applyNumberFormat="1" applyFont="1" applyBorder="1" applyProtection="1">
      <protection locked="0"/>
    </xf>
    <xf numFmtId="174" fontId="13" fillId="0" borderId="9" xfId="0" applyNumberFormat="1" applyFont="1" applyBorder="1" applyProtection="1">
      <protection locked="0"/>
    </xf>
    <xf numFmtId="174" fontId="19" fillId="0" borderId="9" xfId="28" applyNumberFormat="1" applyFont="1" applyBorder="1" applyProtection="1">
      <protection locked="0"/>
    </xf>
    <xf numFmtId="174" fontId="19" fillId="0" borderId="9" xfId="0" applyNumberFormat="1" applyFont="1" applyBorder="1" applyProtection="1">
      <protection locked="0"/>
    </xf>
    <xf numFmtId="186" fontId="13" fillId="0" borderId="9" xfId="0" applyNumberFormat="1" applyFont="1" applyBorder="1" applyProtection="1">
      <protection locked="0"/>
    </xf>
    <xf numFmtId="186" fontId="19" fillId="0" borderId="9" xfId="0" applyNumberFormat="1" applyFont="1" applyBorder="1" applyProtection="1">
      <protection locked="0"/>
    </xf>
    <xf numFmtId="187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Protection="1">
      <protection locked="0"/>
    </xf>
    <xf numFmtId="8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Alignment="1" applyProtection="1">
      <alignment horizontal="right"/>
      <protection locked="0"/>
    </xf>
    <xf numFmtId="8" fontId="19" fillId="0" borderId="9" xfId="0" applyNumberFormat="1" applyFont="1" applyBorder="1" applyAlignment="1" applyProtection="1">
      <alignment horizontal="right"/>
      <protection locked="0"/>
    </xf>
    <xf numFmtId="6" fontId="19" fillId="0" borderId="9" xfId="0" applyNumberFormat="1" applyFont="1" applyBorder="1" applyProtection="1">
      <protection locked="0"/>
    </xf>
    <xf numFmtId="6" fontId="31" fillId="0" borderId="9" xfId="0" applyNumberFormat="1" applyFont="1" applyBorder="1" applyProtection="1">
      <protection locked="0"/>
    </xf>
    <xf numFmtId="188" fontId="13" fillId="0" borderId="9" xfId="28" applyNumberFormat="1" applyFont="1" applyBorder="1" applyProtection="1">
      <protection locked="0"/>
    </xf>
    <xf numFmtId="189" fontId="13" fillId="0" borderId="9" xfId="0" applyNumberFormat="1" applyFont="1" applyBorder="1" applyProtection="1">
      <protection locked="0"/>
    </xf>
    <xf numFmtId="6" fontId="13" fillId="0" borderId="13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9" xfId="0" applyFont="1" applyFill="1" applyBorder="1" applyAlignment="1">
      <alignment horizontal="center" vertical="top"/>
    </xf>
    <xf numFmtId="0" fontId="13" fillId="0" borderId="9" xfId="0" applyFont="1" applyFill="1" applyBorder="1" applyAlignment="1">
      <alignment vertical="top"/>
    </xf>
    <xf numFmtId="6" fontId="31" fillId="0" borderId="9" xfId="0" applyNumberFormat="1" applyFont="1" applyFill="1" applyBorder="1" applyProtection="1">
      <protection locked="0"/>
    </xf>
    <xf numFmtId="0" fontId="10" fillId="0" borderId="9" xfId="0" applyFont="1" applyBorder="1" applyAlignment="1">
      <alignment vertical="top"/>
    </xf>
    <xf numFmtId="10" fontId="13" fillId="0" borderId="9" xfId="0" applyNumberFormat="1" applyFont="1" applyBorder="1" applyProtection="1">
      <protection locked="0"/>
    </xf>
    <xf numFmtId="10" fontId="19" fillId="0" borderId="9" xfId="41" applyNumberFormat="1" applyFont="1" applyBorder="1" applyProtection="1">
      <protection locked="0"/>
    </xf>
    <xf numFmtId="10" fontId="19" fillId="0" borderId="9" xfId="0" applyNumberFormat="1" applyFont="1" applyBorder="1" applyProtection="1">
      <protection locked="0"/>
    </xf>
    <xf numFmtId="0" fontId="10" fillId="0" borderId="9" xfId="0" applyFont="1" applyBorder="1" applyAlignment="1"/>
    <xf numFmtId="6" fontId="13" fillId="0" borderId="9" xfId="0" applyNumberFormat="1" applyFont="1" applyFill="1" applyBorder="1" applyAlignment="1">
      <alignment horizontal="right" vertical="top"/>
    </xf>
    <xf numFmtId="6" fontId="13" fillId="0" borderId="9" xfId="0" applyNumberFormat="1" applyFont="1" applyFill="1" applyBorder="1" applyAlignment="1">
      <alignment vertical="top"/>
    </xf>
    <xf numFmtId="6" fontId="19" fillId="0" borderId="9" xfId="0" applyNumberFormat="1" applyFont="1" applyFill="1" applyBorder="1" applyAlignment="1">
      <alignment vertical="top"/>
    </xf>
    <xf numFmtId="6" fontId="19" fillId="0" borderId="9" xfId="0" applyNumberFormat="1" applyFont="1" applyBorder="1" applyAlignment="1">
      <alignment horizontal="right" vertical="top"/>
    </xf>
    <xf numFmtId="6" fontId="19" fillId="0" borderId="9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8" fontId="10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9" xfId="0" applyNumberFormat="1" applyFont="1" applyBorder="1" applyAlignment="1">
      <alignment horizontal="right" vertical="top"/>
    </xf>
    <xf numFmtId="10" fontId="13" fillId="0" borderId="9" xfId="0" applyNumberFormat="1" applyFont="1" applyBorder="1" applyAlignment="1">
      <alignment horizontal="right" vertical="top"/>
    </xf>
    <xf numFmtId="190" fontId="13" fillId="0" borderId="9" xfId="0" applyNumberFormat="1" applyFont="1" applyBorder="1" applyProtection="1">
      <protection locked="0"/>
    </xf>
    <xf numFmtId="6" fontId="13" fillId="0" borderId="17" xfId="0" applyNumberFormat="1" applyFont="1" applyBorder="1" applyAlignment="1">
      <alignment horizontal="right" vertical="top"/>
    </xf>
    <xf numFmtId="6" fontId="13" fillId="0" borderId="17" xfId="0" applyNumberFormat="1" applyFont="1" applyBorder="1" applyAlignment="1">
      <alignment vertical="top"/>
    </xf>
    <xf numFmtId="6" fontId="19" fillId="0" borderId="1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8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6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91" fontId="34" fillId="0" borderId="0" xfId="0" applyNumberFormat="1" applyFont="1" applyBorder="1" applyAlignment="1">
      <alignment horizontal="right" wrapText="1"/>
    </xf>
    <xf numFmtId="172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9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9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92" fontId="33" fillId="0" borderId="0" xfId="0" applyNumberFormat="1" applyFont="1" applyBorder="1" applyAlignment="1">
      <alignment horizontal="right" wrapText="1"/>
    </xf>
    <xf numFmtId="192" fontId="34" fillId="0" borderId="0" xfId="0" applyNumberFormat="1" applyFont="1" applyBorder="1" applyAlignment="1">
      <alignment horizontal="right" wrapText="1"/>
    </xf>
    <xf numFmtId="169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168" fontId="1" fillId="0" borderId="2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168" fontId="2" fillId="0" borderId="22" xfId="0" applyNumberFormat="1" applyFont="1" applyBorder="1" applyAlignment="1">
      <alignment horizontal="left"/>
    </xf>
    <xf numFmtId="168" fontId="2" fillId="0" borderId="8" xfId="0" applyNumberFormat="1" applyFont="1" applyBorder="1" applyAlignment="1">
      <alignment horizontal="left"/>
    </xf>
    <xf numFmtId="5" fontId="3" fillId="0" borderId="23" xfId="0" applyNumberFormat="1" applyFont="1" applyBorder="1" applyAlignment="1">
      <alignment horizontal="center"/>
    </xf>
    <xf numFmtId="5" fontId="3" fillId="0" borderId="24" xfId="0" applyNumberFormat="1" applyFont="1" applyBorder="1" applyAlignment="1">
      <alignment horizontal="center"/>
    </xf>
    <xf numFmtId="5" fontId="3" fillId="0" borderId="25" xfId="0" applyNumberFormat="1" applyFont="1" applyBorder="1" applyAlignment="1">
      <alignment horizontal="center"/>
    </xf>
    <xf numFmtId="5" fontId="3" fillId="0" borderId="19" xfId="0" applyNumberFormat="1" applyFont="1" applyBorder="1" applyAlignment="1">
      <alignment horizontal="center"/>
    </xf>
    <xf numFmtId="5" fontId="3" fillId="0" borderId="20" xfId="0" applyNumberFormat="1" applyFont="1" applyBorder="1" applyAlignment="1">
      <alignment horizontal="center"/>
    </xf>
    <xf numFmtId="5" fontId="3" fillId="0" borderId="18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8" fontId="1" fillId="33" borderId="19" xfId="0" applyNumberFormat="1" applyFont="1" applyFill="1" applyBorder="1" applyAlignment="1"/>
    <xf numFmtId="168" fontId="1" fillId="33" borderId="20" xfId="0" applyNumberFormat="1" applyFont="1" applyFill="1" applyBorder="1" applyAlignment="1"/>
    <xf numFmtId="168" fontId="1" fillId="33" borderId="18" xfId="0" applyNumberFormat="1" applyFont="1" applyFill="1" applyBorder="1" applyAlignment="1"/>
    <xf numFmtId="0" fontId="6" fillId="0" borderId="0" xfId="0" applyFont="1" applyBorder="1" applyAlignment="1">
      <alignment horizontal="center"/>
    </xf>
    <xf numFmtId="168" fontId="6" fillId="33" borderId="27" xfId="0" applyNumberFormat="1" applyFont="1" applyFill="1" applyBorder="1" applyAlignment="1">
      <alignment horizontal="center" wrapText="1"/>
    </xf>
    <xf numFmtId="168" fontId="6" fillId="33" borderId="28" xfId="0" applyNumberFormat="1" applyFont="1" applyFill="1" applyBorder="1" applyAlignment="1">
      <alignment horizontal="center" wrapText="1"/>
    </xf>
    <xf numFmtId="168" fontId="6" fillId="33" borderId="29" xfId="0" applyNumberFormat="1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3" xfId="0" applyFont="1" applyBorder="1" applyAlignment="1"/>
    <xf numFmtId="0" fontId="5" fillId="0" borderId="8" xfId="0" applyFont="1" applyBorder="1" applyAlignment="1"/>
    <xf numFmtId="168" fontId="6" fillId="0" borderId="17" xfId="0" applyNumberFormat="1" applyFont="1" applyBorder="1" applyAlignment="1">
      <alignment horizontal="center" wrapText="1"/>
    </xf>
    <xf numFmtId="168" fontId="6" fillId="0" borderId="0" xfId="0" applyNumberFormat="1" applyFont="1" applyBorder="1" applyAlignment="1">
      <alignment horizontal="center" wrapText="1"/>
    </xf>
    <xf numFmtId="168" fontId="6" fillId="0" borderId="26" xfId="0" applyNumberFormat="1" applyFont="1" applyBorder="1" applyAlignment="1">
      <alignment horizontal="center" wrapText="1"/>
    </xf>
    <xf numFmtId="168" fontId="6" fillId="0" borderId="19" xfId="0" applyNumberFormat="1" applyFont="1" applyBorder="1" applyAlignment="1">
      <alignment horizontal="center" wrapText="1"/>
    </xf>
    <xf numFmtId="168" fontId="6" fillId="0" borderId="20" xfId="0" applyNumberFormat="1" applyFont="1" applyBorder="1" applyAlignment="1">
      <alignment horizontal="center" wrapText="1"/>
    </xf>
    <xf numFmtId="168" fontId="6" fillId="0" borderId="18" xfId="0" applyNumberFormat="1" applyFont="1" applyBorder="1" applyAlignment="1">
      <alignment horizontal="center" wrapText="1"/>
    </xf>
    <xf numFmtId="0" fontId="4" fillId="0" borderId="22" xfId="0" applyFont="1" applyBorder="1" applyAlignment="1">
      <alignment horizontal="center"/>
    </xf>
    <xf numFmtId="0" fontId="5" fillId="0" borderId="22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8" fontId="6" fillId="0" borderId="23" xfId="0" applyNumberFormat="1" applyFont="1" applyBorder="1" applyAlignment="1">
      <alignment horizontal="center" wrapText="1"/>
    </xf>
    <xf numFmtId="168" fontId="6" fillId="0" borderId="24" xfId="0" applyNumberFormat="1" applyFont="1" applyBorder="1" applyAlignment="1">
      <alignment horizontal="center" wrapText="1"/>
    </xf>
    <xf numFmtId="168" fontId="6" fillId="0" borderId="25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8" fontId="10" fillId="0" borderId="21" xfId="0" applyNumberFormat="1" applyFont="1" applyBorder="1" applyAlignment="1"/>
    <xf numFmtId="168" fontId="10" fillId="0" borderId="30" xfId="0" applyNumberFormat="1" applyFont="1" applyBorder="1" applyAlignment="1"/>
    <xf numFmtId="168" fontId="10" fillId="0" borderId="31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6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6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SheetLayoutView="75" workbookViewId="0"/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17170654</v>
      </c>
      <c r="D13" s="23">
        <v>27153802</v>
      </c>
      <c r="E13" s="23">
        <f t="shared" ref="E13:E22" si="0">D13-C13</f>
        <v>9983148</v>
      </c>
      <c r="F13" s="24">
        <f t="shared" ref="F13:F22" si="1">IF(C13=0,0,E13/C13)</f>
        <v>0.58140755733590577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29.25" customHeight="1" x14ac:dyDescent="0.2">
      <c r="A15" s="21">
        <v>3</v>
      </c>
      <c r="B15" s="22" t="s">
        <v>18</v>
      </c>
      <c r="C15" s="23">
        <v>48945018</v>
      </c>
      <c r="D15" s="23">
        <v>48473300</v>
      </c>
      <c r="E15" s="23">
        <f t="shared" si="0"/>
        <v>-471718</v>
      </c>
      <c r="F15" s="24">
        <f t="shared" si="1"/>
        <v>-9.6377122590903946E-3</v>
      </c>
    </row>
    <row r="16" spans="1:8" ht="24" customHeight="1" x14ac:dyDescent="0.2">
      <c r="A16" s="21">
        <v>4</v>
      </c>
      <c r="B16" s="22" t="s">
        <v>19</v>
      </c>
      <c r="C16" s="23">
        <v>0</v>
      </c>
      <c r="D16" s="23">
        <v>0</v>
      </c>
      <c r="E16" s="23">
        <f t="shared" si="0"/>
        <v>0</v>
      </c>
      <c r="F16" s="24">
        <f t="shared" si="1"/>
        <v>0</v>
      </c>
    </row>
    <row r="17" spans="1:11" ht="24" customHeight="1" x14ac:dyDescent="0.2">
      <c r="A17" s="21">
        <v>5</v>
      </c>
      <c r="B17" s="22" t="s">
        <v>20</v>
      </c>
      <c r="C17" s="23">
        <v>73947</v>
      </c>
      <c r="D17" s="23">
        <v>156589</v>
      </c>
      <c r="E17" s="23">
        <f t="shared" si="0"/>
        <v>82642</v>
      </c>
      <c r="F17" s="24">
        <f t="shared" si="1"/>
        <v>1.1175842157220712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5586310</v>
      </c>
      <c r="D19" s="23">
        <v>5943030</v>
      </c>
      <c r="E19" s="23">
        <f t="shared" si="0"/>
        <v>356720</v>
      </c>
      <c r="F19" s="24">
        <f t="shared" si="1"/>
        <v>6.3856105371882341E-2</v>
      </c>
    </row>
    <row r="20" spans="1:11" ht="24" customHeight="1" x14ac:dyDescent="0.2">
      <c r="A20" s="21">
        <v>8</v>
      </c>
      <c r="B20" s="22" t="s">
        <v>23</v>
      </c>
      <c r="C20" s="23">
        <v>4287847</v>
      </c>
      <c r="D20" s="23">
        <v>3609849</v>
      </c>
      <c r="E20" s="23">
        <f t="shared" si="0"/>
        <v>-677998</v>
      </c>
      <c r="F20" s="24">
        <f t="shared" si="1"/>
        <v>-0.15812084712910698</v>
      </c>
    </row>
    <row r="21" spans="1:11" ht="24" customHeight="1" x14ac:dyDescent="0.2">
      <c r="A21" s="21">
        <v>9</v>
      </c>
      <c r="B21" s="22" t="s">
        <v>24</v>
      </c>
      <c r="C21" s="23">
        <v>1564794</v>
      </c>
      <c r="D21" s="23">
        <v>6782147</v>
      </c>
      <c r="E21" s="23">
        <f t="shared" si="0"/>
        <v>5217353</v>
      </c>
      <c r="F21" s="24">
        <f t="shared" si="1"/>
        <v>3.334210765123077</v>
      </c>
    </row>
    <row r="22" spans="1:11" ht="24" customHeight="1" x14ac:dyDescent="0.25">
      <c r="A22" s="25"/>
      <c r="B22" s="26" t="s">
        <v>25</v>
      </c>
      <c r="C22" s="27">
        <f>SUM(C13:C21)</f>
        <v>77628570</v>
      </c>
      <c r="D22" s="27">
        <f>SUM(D13:D21)</f>
        <v>92118717</v>
      </c>
      <c r="E22" s="27">
        <f t="shared" si="0"/>
        <v>14490147</v>
      </c>
      <c r="F22" s="28">
        <f t="shared" si="1"/>
        <v>0.18665997583106322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13488594</v>
      </c>
      <c r="D25" s="23">
        <v>15192304</v>
      </c>
      <c r="E25" s="23">
        <f>D25-C25</f>
        <v>1703710</v>
      </c>
      <c r="F25" s="24">
        <f>IF(C25=0,0,E25/C25)</f>
        <v>0.12630745650732761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24" customHeight="1" x14ac:dyDescent="0.2">
      <c r="A28" s="21">
        <v>4</v>
      </c>
      <c r="B28" s="22" t="s">
        <v>31</v>
      </c>
      <c r="C28" s="23">
        <v>0</v>
      </c>
      <c r="D28" s="23">
        <v>0</v>
      </c>
      <c r="E28" s="23">
        <f>D28-C28</f>
        <v>0</v>
      </c>
      <c r="F28" s="24">
        <f>IF(C28=0,0,E28/C28)</f>
        <v>0</v>
      </c>
    </row>
    <row r="29" spans="1:11" ht="24" customHeight="1" x14ac:dyDescent="0.25">
      <c r="A29" s="25"/>
      <c r="B29" s="26" t="s">
        <v>32</v>
      </c>
      <c r="C29" s="27">
        <f>SUM(C25:C28)</f>
        <v>13488594</v>
      </c>
      <c r="D29" s="27">
        <f>SUM(D25:D28)</f>
        <v>15192304</v>
      </c>
      <c r="E29" s="27">
        <f>D29-C29</f>
        <v>1703710</v>
      </c>
      <c r="F29" s="28">
        <f>IF(C29=0,0,E29/C29)</f>
        <v>0.12630745650732761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113003036</v>
      </c>
      <c r="D32" s="23">
        <v>125811092</v>
      </c>
      <c r="E32" s="23">
        <f>D32-C32</f>
        <v>12808056</v>
      </c>
      <c r="F32" s="24">
        <f>IF(C32=0,0,E32/C32)</f>
        <v>0.11334258311431562</v>
      </c>
    </row>
    <row r="33" spans="1:8" ht="24" customHeight="1" x14ac:dyDescent="0.2">
      <c r="A33" s="21">
        <v>7</v>
      </c>
      <c r="B33" s="22" t="s">
        <v>35</v>
      </c>
      <c r="C33" s="23">
        <v>16729867</v>
      </c>
      <c r="D33" s="23">
        <v>16271962</v>
      </c>
      <c r="E33" s="23">
        <f>D33-C33</f>
        <v>-457905</v>
      </c>
      <c r="F33" s="24">
        <f>IF(C33=0,0,E33/C33)</f>
        <v>-2.737051047686153E-2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411952507</v>
      </c>
      <c r="D36" s="23">
        <v>422527772</v>
      </c>
      <c r="E36" s="23">
        <f>D36-C36</f>
        <v>10575265</v>
      </c>
      <c r="F36" s="24">
        <f>IF(C36=0,0,E36/C36)</f>
        <v>2.5671078146879685E-2</v>
      </c>
    </row>
    <row r="37" spans="1:8" ht="24" customHeight="1" x14ac:dyDescent="0.2">
      <c r="A37" s="21">
        <v>2</v>
      </c>
      <c r="B37" s="22" t="s">
        <v>39</v>
      </c>
      <c r="C37" s="23">
        <v>260274904</v>
      </c>
      <c r="D37" s="23">
        <v>274632798</v>
      </c>
      <c r="E37" s="23">
        <f>D37-C37</f>
        <v>14357894</v>
      </c>
      <c r="F37" s="24">
        <f>IF(C37=0,0,E37/C37)</f>
        <v>5.5164342698211119E-2</v>
      </c>
    </row>
    <row r="38" spans="1:8" ht="24" customHeight="1" x14ac:dyDescent="0.25">
      <c r="A38" s="25"/>
      <c r="B38" s="26" t="s">
        <v>40</v>
      </c>
      <c r="C38" s="27">
        <f>C36-C37</f>
        <v>151677603</v>
      </c>
      <c r="D38" s="27">
        <f>D36-D37</f>
        <v>147894974</v>
      </c>
      <c r="E38" s="27">
        <f>D38-C38</f>
        <v>-3782629</v>
      </c>
      <c r="F38" s="28">
        <f>IF(C38=0,0,E38/C38)</f>
        <v>-2.4938612723198163E-2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1087467</v>
      </c>
      <c r="D40" s="23">
        <v>2535320</v>
      </c>
      <c r="E40" s="23">
        <f>D40-C40</f>
        <v>1447853</v>
      </c>
      <c r="F40" s="24">
        <f>IF(C40=0,0,E40/C40)</f>
        <v>1.3313994815474861</v>
      </c>
    </row>
    <row r="41" spans="1:8" ht="24" customHeight="1" x14ac:dyDescent="0.25">
      <c r="A41" s="25"/>
      <c r="B41" s="26" t="s">
        <v>42</v>
      </c>
      <c r="C41" s="27">
        <f>+C38+C40</f>
        <v>152765070</v>
      </c>
      <c r="D41" s="27">
        <f>+D38+D40</f>
        <v>150430294</v>
      </c>
      <c r="E41" s="27">
        <f>D41-C41</f>
        <v>-2334776</v>
      </c>
      <c r="F41" s="28">
        <f>IF(C41=0,0,E41/C41)</f>
        <v>-1.5283441430688311E-2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373615137</v>
      </c>
      <c r="D43" s="27">
        <f>D22+D29+D31+D32+D33+D41</f>
        <v>399824369</v>
      </c>
      <c r="E43" s="27">
        <f>D43-C43</f>
        <v>26209232</v>
      </c>
      <c r="F43" s="28">
        <f>IF(C43=0,0,E43/C43)</f>
        <v>7.0150348324885994E-2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23363595</v>
      </c>
      <c r="D49" s="23">
        <v>24789697</v>
      </c>
      <c r="E49" s="23">
        <f t="shared" ref="E49:E56" si="2">D49-C49</f>
        <v>1426102</v>
      </c>
      <c r="F49" s="24">
        <f t="shared" ref="F49:F56" si="3">IF(C49=0,0,E49/C49)</f>
        <v>6.1039493280036744E-2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12301012</v>
      </c>
      <c r="D50" s="23">
        <v>14266850</v>
      </c>
      <c r="E50" s="23">
        <f t="shared" si="2"/>
        <v>1965838</v>
      </c>
      <c r="F50" s="24">
        <f t="shared" si="3"/>
        <v>0.15981107895838165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23838552</v>
      </c>
      <c r="D51" s="23">
        <v>19307101</v>
      </c>
      <c r="E51" s="23">
        <f t="shared" si="2"/>
        <v>-4531451</v>
      </c>
      <c r="F51" s="24">
        <f t="shared" si="3"/>
        <v>-0.19008918830304794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374021</v>
      </c>
      <c r="D52" s="23">
        <v>1644937</v>
      </c>
      <c r="E52" s="23">
        <f t="shared" si="2"/>
        <v>1270916</v>
      </c>
      <c r="F52" s="24">
        <f t="shared" si="3"/>
        <v>3.3979803273078248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2724400</v>
      </c>
      <c r="D53" s="23">
        <v>2165699</v>
      </c>
      <c r="E53" s="23">
        <f t="shared" si="2"/>
        <v>-558701</v>
      </c>
      <c r="F53" s="24">
        <f t="shared" si="3"/>
        <v>-0.20507304360593159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15152018</v>
      </c>
      <c r="D55" s="23">
        <v>15150261</v>
      </c>
      <c r="E55" s="23">
        <f t="shared" si="2"/>
        <v>-1757</v>
      </c>
      <c r="F55" s="24">
        <f t="shared" si="3"/>
        <v>-1.1595815158086534E-4</v>
      </c>
    </row>
    <row r="56" spans="1:6" ht="24" customHeight="1" x14ac:dyDescent="0.25">
      <c r="A56" s="25"/>
      <c r="B56" s="26" t="s">
        <v>54</v>
      </c>
      <c r="C56" s="27">
        <f>SUM(C49:C55)</f>
        <v>77753598</v>
      </c>
      <c r="D56" s="27">
        <f>SUM(D49:D55)</f>
        <v>77324545</v>
      </c>
      <c r="E56" s="27">
        <f t="shared" si="2"/>
        <v>-429053</v>
      </c>
      <c r="F56" s="28">
        <f t="shared" si="3"/>
        <v>-5.5181112004617462E-3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0</v>
      </c>
      <c r="D59" s="23">
        <v>0</v>
      </c>
      <c r="E59" s="23">
        <f>D59-C59</f>
        <v>0</v>
      </c>
      <c r="F59" s="24">
        <f>IF(C59=0,0,E59/C59)</f>
        <v>0</v>
      </c>
    </row>
    <row r="60" spans="1:6" ht="24" customHeight="1" x14ac:dyDescent="0.2">
      <c r="A60" s="21">
        <v>2</v>
      </c>
      <c r="B60" s="22" t="s">
        <v>57</v>
      </c>
      <c r="C60" s="23">
        <v>3640365</v>
      </c>
      <c r="D60" s="23">
        <v>1367741</v>
      </c>
      <c r="E60" s="23">
        <f>D60-C60</f>
        <v>-2272624</v>
      </c>
      <c r="F60" s="24">
        <f>IF(C60=0,0,E60/C60)</f>
        <v>-0.62428465277520251</v>
      </c>
    </row>
    <row r="61" spans="1:6" ht="24" customHeight="1" x14ac:dyDescent="0.25">
      <c r="A61" s="25"/>
      <c r="B61" s="26" t="s">
        <v>58</v>
      </c>
      <c r="C61" s="27">
        <f>SUM(C59:C60)</f>
        <v>3640365</v>
      </c>
      <c r="D61" s="27">
        <f>SUM(D59:D60)</f>
        <v>1367741</v>
      </c>
      <c r="E61" s="27">
        <f>D61-C61</f>
        <v>-2272624</v>
      </c>
      <c r="F61" s="28">
        <f>IF(C61=0,0,E61/C61)</f>
        <v>-0.62428465277520251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82716227</v>
      </c>
      <c r="D63" s="23">
        <v>141985877</v>
      </c>
      <c r="E63" s="23">
        <f>D63-C63</f>
        <v>59269650</v>
      </c>
      <c r="F63" s="24">
        <f>IF(C63=0,0,E63/C63)</f>
        <v>0.71654199121050333</v>
      </c>
    </row>
    <row r="64" spans="1:6" ht="24" customHeight="1" x14ac:dyDescent="0.2">
      <c r="A64" s="21">
        <v>4</v>
      </c>
      <c r="B64" s="22" t="s">
        <v>60</v>
      </c>
      <c r="C64" s="23">
        <v>44061835</v>
      </c>
      <c r="D64" s="23">
        <v>44135219</v>
      </c>
      <c r="E64" s="23">
        <f>D64-C64</f>
        <v>73384</v>
      </c>
      <c r="F64" s="24">
        <f>IF(C64=0,0,E64/C64)</f>
        <v>1.6654776179884474E-3</v>
      </c>
    </row>
    <row r="65" spans="1:6" ht="24" customHeight="1" x14ac:dyDescent="0.25">
      <c r="A65" s="25"/>
      <c r="B65" s="26" t="s">
        <v>61</v>
      </c>
      <c r="C65" s="27">
        <f>SUM(C61:C64)</f>
        <v>130418427</v>
      </c>
      <c r="D65" s="27">
        <f>SUM(D61:D64)</f>
        <v>187488837</v>
      </c>
      <c r="E65" s="27">
        <f>D65-C65</f>
        <v>57070410</v>
      </c>
      <c r="F65" s="28">
        <f>IF(C65=0,0,E65/C65)</f>
        <v>0.4375946813098735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128627309</v>
      </c>
      <c r="D70" s="23">
        <v>93203114</v>
      </c>
      <c r="E70" s="23">
        <f>D70-C70</f>
        <v>-35424195</v>
      </c>
      <c r="F70" s="24">
        <f>IF(C70=0,0,E70/C70)</f>
        <v>-0.27540181999764918</v>
      </c>
    </row>
    <row r="71" spans="1:6" ht="24" customHeight="1" x14ac:dyDescent="0.2">
      <c r="A71" s="21">
        <v>2</v>
      </c>
      <c r="B71" s="22" t="s">
        <v>65</v>
      </c>
      <c r="C71" s="23">
        <v>16726765</v>
      </c>
      <c r="D71" s="23">
        <v>20015125</v>
      </c>
      <c r="E71" s="23">
        <f>D71-C71</f>
        <v>3288360</v>
      </c>
      <c r="F71" s="24">
        <f>IF(C71=0,0,E71/C71)</f>
        <v>0.19659270636013598</v>
      </c>
    </row>
    <row r="72" spans="1:6" ht="24" customHeight="1" x14ac:dyDescent="0.2">
      <c r="A72" s="21">
        <v>3</v>
      </c>
      <c r="B72" s="22" t="s">
        <v>66</v>
      </c>
      <c r="C72" s="23">
        <v>20089038</v>
      </c>
      <c r="D72" s="23">
        <v>21792748</v>
      </c>
      <c r="E72" s="23">
        <f>D72-C72</f>
        <v>1703710</v>
      </c>
      <c r="F72" s="24">
        <f>IF(C72=0,0,E72/C72)</f>
        <v>8.4807943516259962E-2</v>
      </c>
    </row>
    <row r="73" spans="1:6" ht="24" customHeight="1" x14ac:dyDescent="0.25">
      <c r="A73" s="21"/>
      <c r="B73" s="26" t="s">
        <v>67</v>
      </c>
      <c r="C73" s="27">
        <f>SUM(C70:C72)</f>
        <v>165443112</v>
      </c>
      <c r="D73" s="27">
        <f>SUM(D70:D72)</f>
        <v>135010987</v>
      </c>
      <c r="E73" s="27">
        <f>D73-C73</f>
        <v>-30432125</v>
      </c>
      <c r="F73" s="28">
        <f>IF(C73=0,0,E73/C73)</f>
        <v>-0.18394313690134165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373615137</v>
      </c>
      <c r="D75" s="27">
        <f>D56+D65+D67+D73</f>
        <v>399824369</v>
      </c>
      <c r="E75" s="27">
        <f>D75-C75</f>
        <v>26209232</v>
      </c>
      <c r="F75" s="28">
        <f>IF(C75=0,0,E75/C75)</f>
        <v>7.0150348324885994E-2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/>
  <headerFooter>
    <oddHeader>&amp;LOFFICE OF HEALTH CARE ACCESS&amp;CTWELVE MONTHS ACTUAL FILING&amp;RTHE HOSPITAL OF CENTRAL CONNECTICUT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SheetLayoutView="75" workbookViewId="0">
      <selection sqref="A1:E1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491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494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319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495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496</v>
      </c>
      <c r="C11" s="51">
        <v>389909715</v>
      </c>
      <c r="D11" s="51">
        <v>380067051</v>
      </c>
      <c r="E11" s="51">
        <v>390505166</v>
      </c>
      <c r="F11" s="28"/>
    </row>
    <row r="12" spans="1:6" ht="24" customHeight="1" x14ac:dyDescent="0.25">
      <c r="A12" s="44">
        <v>2</v>
      </c>
      <c r="B12" s="48" t="s">
        <v>76</v>
      </c>
      <c r="C12" s="49">
        <v>57009444</v>
      </c>
      <c r="D12" s="49">
        <v>12704738</v>
      </c>
      <c r="E12" s="49">
        <v>18639188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446919159</v>
      </c>
      <c r="D13" s="51">
        <f>+D11+D12</f>
        <v>392771789</v>
      </c>
      <c r="E13" s="51">
        <f>+E11+E12</f>
        <v>409144354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447201215</v>
      </c>
      <c r="D14" s="49">
        <v>362033076</v>
      </c>
      <c r="E14" s="49">
        <v>384073654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-282056</v>
      </c>
      <c r="D15" s="51">
        <f>+D13-D14</f>
        <v>30738713</v>
      </c>
      <c r="E15" s="51">
        <f>+E13-E14</f>
        <v>25070700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6751321</v>
      </c>
      <c r="D16" s="49">
        <v>26025</v>
      </c>
      <c r="E16" s="49">
        <v>9965362</v>
      </c>
      <c r="F16" s="70"/>
    </row>
    <row r="17" spans="1:14" s="56" customFormat="1" ht="24" customHeight="1" x14ac:dyDescent="0.2">
      <c r="A17" s="44">
        <v>7</v>
      </c>
      <c r="B17" s="45" t="s">
        <v>322</v>
      </c>
      <c r="C17" s="51">
        <f>C15+C16</f>
        <v>6469265</v>
      </c>
      <c r="D17" s="51">
        <f>D15+D16</f>
        <v>30764738</v>
      </c>
      <c r="E17" s="51">
        <f>E15+E16</f>
        <v>35036062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497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498</v>
      </c>
      <c r="C20" s="169">
        <f>IF(+C27=0,0,+C24/+C27)</f>
        <v>-6.2171997613774655E-4</v>
      </c>
      <c r="D20" s="169">
        <f>IF(+D27=0,0,+D24/+D27)</f>
        <v>7.825581483505914E-2</v>
      </c>
      <c r="E20" s="169">
        <f>IF(+E27=0,0,+E24/+E27)</f>
        <v>5.9818942493807516E-2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499</v>
      </c>
      <c r="C21" s="169">
        <f>IF(+C27=0,0,+C26/+C27)</f>
        <v>1.4881552354916281E-2</v>
      </c>
      <c r="D21" s="169">
        <f>IF(+D27=0,0,+D26/+D27)</f>
        <v>6.6255460372801359E-5</v>
      </c>
      <c r="E21" s="169">
        <f>IF(+E27=0,0,+E26/+E27)</f>
        <v>2.3777454016360718E-2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500</v>
      </c>
      <c r="C22" s="169">
        <f>IF(+C27=0,0,+C28/+C27)</f>
        <v>1.4259832378778535E-2</v>
      </c>
      <c r="D22" s="169">
        <f>IF(+D27=0,0,+D28/+D27)</f>
        <v>7.8322070295431936E-2</v>
      </c>
      <c r="E22" s="169">
        <f>IF(+E27=0,0,+E28/+E27)</f>
        <v>8.359639651016823E-2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-282056</v>
      </c>
      <c r="D24" s="51">
        <f>+D15</f>
        <v>30738713</v>
      </c>
      <c r="E24" s="51">
        <f>+E15</f>
        <v>25070700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446919159</v>
      </c>
      <c r="D25" s="51">
        <f>+D13</f>
        <v>392771789</v>
      </c>
      <c r="E25" s="51">
        <f>+E13</f>
        <v>409144354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6751321</v>
      </c>
      <c r="D26" s="51">
        <f>+D16</f>
        <v>26025</v>
      </c>
      <c r="E26" s="51">
        <f>+E16</f>
        <v>9965362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327</v>
      </c>
      <c r="C27" s="51">
        <f>SUM(C25:C26)</f>
        <v>453670480</v>
      </c>
      <c r="D27" s="51">
        <f>SUM(D25:D26)</f>
        <v>392797814</v>
      </c>
      <c r="E27" s="51">
        <f>SUM(E25:E26)</f>
        <v>419109716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322</v>
      </c>
      <c r="C28" s="51">
        <f>+C17</f>
        <v>6469265</v>
      </c>
      <c r="D28" s="51">
        <f>+D17</f>
        <v>30764738</v>
      </c>
      <c r="E28" s="51">
        <f>+E17</f>
        <v>35036062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501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502</v>
      </c>
      <c r="C31" s="51">
        <v>117892402</v>
      </c>
      <c r="D31" s="51">
        <v>138381964</v>
      </c>
      <c r="E31" s="52">
        <v>110395439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503</v>
      </c>
      <c r="C32" s="51">
        <v>154993818</v>
      </c>
      <c r="D32" s="51">
        <v>175197767</v>
      </c>
      <c r="E32" s="51">
        <v>152203312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504</v>
      </c>
      <c r="C33" s="51">
        <v>14939719</v>
      </c>
      <c r="D33" s="51">
        <f>+D32-C32</f>
        <v>20203949</v>
      </c>
      <c r="E33" s="51">
        <f>+E32-D32</f>
        <v>-22994455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505</v>
      </c>
      <c r="C34" s="171">
        <v>1.1066</v>
      </c>
      <c r="D34" s="171">
        <f>IF(C32=0,0,+D33/C32)</f>
        <v>0.13035325705700082</v>
      </c>
      <c r="E34" s="171">
        <f>IF(D32=0,0,+E33/D32)</f>
        <v>-0.13124856208926453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333</v>
      </c>
      <c r="B36" s="16" t="s">
        <v>355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356</v>
      </c>
      <c r="C38" s="269">
        <f>IF(+C40=0,0,+C39/+C40)</f>
        <v>1.1507704302590578</v>
      </c>
      <c r="D38" s="269">
        <f>IF(+D40=0,0,+D39/+D40)</f>
        <v>1.1278808321181104</v>
      </c>
      <c r="E38" s="269">
        <f>IF(+E40=0,0,+E39/+E40)</f>
        <v>1.3479253720016211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103976479</v>
      </c>
      <c r="D39" s="270">
        <v>90065417</v>
      </c>
      <c r="E39" s="270">
        <v>107011492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90353798</v>
      </c>
      <c r="D40" s="270">
        <v>79853664</v>
      </c>
      <c r="E40" s="270">
        <v>79389775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357</v>
      </c>
      <c r="C42" s="271">
        <f>IF((C48/365)=0,0,+C45/(C48/365))</f>
        <v>37.538435310015302</v>
      </c>
      <c r="D42" s="271">
        <f>IF((D48/365)=0,0,+D45/(D48/365))</f>
        <v>21.579155739744277</v>
      </c>
      <c r="E42" s="271">
        <f>IF((E48/365)=0,0,+E45/(E48/365))</f>
        <v>32.597660196299962</v>
      </c>
    </row>
    <row r="43" spans="1:14" ht="24" customHeight="1" x14ac:dyDescent="0.2">
      <c r="A43" s="17">
        <v>5</v>
      </c>
      <c r="B43" s="188" t="s">
        <v>16</v>
      </c>
      <c r="C43" s="272">
        <v>43866837</v>
      </c>
      <c r="D43" s="272">
        <v>20299387</v>
      </c>
      <c r="E43" s="272">
        <v>32572707</v>
      </c>
    </row>
    <row r="44" spans="1:14" ht="24" customHeight="1" x14ac:dyDescent="0.2">
      <c r="A44" s="17">
        <v>6</v>
      </c>
      <c r="B44" s="273" t="s">
        <v>17</v>
      </c>
      <c r="C44" s="274">
        <v>0</v>
      </c>
      <c r="D44" s="274">
        <v>0</v>
      </c>
      <c r="E44" s="274">
        <v>0</v>
      </c>
    </row>
    <row r="45" spans="1:14" ht="24" customHeight="1" x14ac:dyDescent="0.2">
      <c r="A45" s="17">
        <v>7</v>
      </c>
      <c r="B45" s="45" t="s">
        <v>358</v>
      </c>
      <c r="C45" s="270">
        <f>+C43+C44</f>
        <v>43866837</v>
      </c>
      <c r="D45" s="270">
        <f>+D43+D44</f>
        <v>20299387</v>
      </c>
      <c r="E45" s="270">
        <f>+E43+E44</f>
        <v>32572707</v>
      </c>
    </row>
    <row r="46" spans="1:14" ht="24" customHeight="1" x14ac:dyDescent="0.2">
      <c r="A46" s="17">
        <v>8</v>
      </c>
      <c r="B46" s="45" t="s">
        <v>336</v>
      </c>
      <c r="C46" s="270">
        <f>+C14</f>
        <v>447201215</v>
      </c>
      <c r="D46" s="270">
        <f>+D14</f>
        <v>362033076</v>
      </c>
      <c r="E46" s="270">
        <f>+E14</f>
        <v>384073654</v>
      </c>
    </row>
    <row r="47" spans="1:14" ht="24" customHeight="1" x14ac:dyDescent="0.2">
      <c r="A47" s="17">
        <v>9</v>
      </c>
      <c r="B47" s="45" t="s">
        <v>359</v>
      </c>
      <c r="C47" s="270">
        <v>20667840</v>
      </c>
      <c r="D47" s="270">
        <v>18679687</v>
      </c>
      <c r="E47" s="270">
        <v>19353058</v>
      </c>
    </row>
    <row r="48" spans="1:14" ht="24" customHeight="1" x14ac:dyDescent="0.2">
      <c r="A48" s="17">
        <v>10</v>
      </c>
      <c r="B48" s="45" t="s">
        <v>360</v>
      </c>
      <c r="C48" s="270">
        <f>+C46-C47</f>
        <v>426533375</v>
      </c>
      <c r="D48" s="270">
        <f>+D46-D47</f>
        <v>343353389</v>
      </c>
      <c r="E48" s="270">
        <f>+E46-E47</f>
        <v>364720596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361</v>
      </c>
      <c r="C50" s="278">
        <f>IF((C55/365)=0,0,+C54/(C55/365))</f>
        <v>19.102159919252077</v>
      </c>
      <c r="D50" s="278">
        <f>IF((D55/365)=0,0,+D54/(D55/365))</f>
        <v>24.111166874078751</v>
      </c>
      <c r="E50" s="278">
        <f>IF((E55/365)=0,0,+E54/(E55/365))</f>
        <v>27.261259419548882</v>
      </c>
    </row>
    <row r="51" spans="1:5" ht="24" customHeight="1" x14ac:dyDescent="0.2">
      <c r="A51" s="17">
        <v>12</v>
      </c>
      <c r="B51" s="188" t="s">
        <v>362</v>
      </c>
      <c r="C51" s="279">
        <v>40669114</v>
      </c>
      <c r="D51" s="279">
        <v>48945018</v>
      </c>
      <c r="E51" s="279">
        <v>48473300</v>
      </c>
    </row>
    <row r="52" spans="1:5" ht="24" customHeight="1" x14ac:dyDescent="0.2">
      <c r="A52" s="17">
        <v>13</v>
      </c>
      <c r="B52" s="188" t="s">
        <v>21</v>
      </c>
      <c r="C52" s="270">
        <v>0</v>
      </c>
      <c r="D52" s="270">
        <v>0</v>
      </c>
      <c r="E52" s="270">
        <v>0</v>
      </c>
    </row>
    <row r="53" spans="1:5" ht="24" customHeight="1" x14ac:dyDescent="0.2">
      <c r="A53" s="17">
        <v>14</v>
      </c>
      <c r="B53" s="188" t="s">
        <v>49</v>
      </c>
      <c r="C53" s="270">
        <v>20263312</v>
      </c>
      <c r="D53" s="270">
        <v>23838552</v>
      </c>
      <c r="E53" s="270">
        <v>19307101</v>
      </c>
    </row>
    <row r="54" spans="1:5" ht="32.25" customHeight="1" x14ac:dyDescent="0.2">
      <c r="A54" s="17">
        <v>15</v>
      </c>
      <c r="B54" s="45" t="s">
        <v>363</v>
      </c>
      <c r="C54" s="280">
        <f>+C51+C52-C53</f>
        <v>20405802</v>
      </c>
      <c r="D54" s="280">
        <f>+D51+D52-D53</f>
        <v>25106466</v>
      </c>
      <c r="E54" s="280">
        <f>+E51+E52-E53</f>
        <v>29166199</v>
      </c>
    </row>
    <row r="55" spans="1:5" ht="24" customHeight="1" x14ac:dyDescent="0.2">
      <c r="A55" s="17">
        <v>16</v>
      </c>
      <c r="B55" s="45" t="s">
        <v>75</v>
      </c>
      <c r="C55" s="270">
        <f>+C11</f>
        <v>389909715</v>
      </c>
      <c r="D55" s="270">
        <f>+D11</f>
        <v>380067051</v>
      </c>
      <c r="E55" s="270">
        <f>+E11</f>
        <v>390505166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364</v>
      </c>
      <c r="C57" s="283">
        <f>IF((C61/365)=0,0,+C58/(C61/365))</f>
        <v>77.319005271275657</v>
      </c>
      <c r="D57" s="283">
        <f>IF((D61/365)=0,0,+D58/(D61/365))</f>
        <v>84.888014196941569</v>
      </c>
      <c r="E57" s="283">
        <f>IF((E61/365)=0,0,+E58/(E61/365))</f>
        <v>79.450593667597531</v>
      </c>
    </row>
    <row r="58" spans="1:5" ht="24" customHeight="1" x14ac:dyDescent="0.2">
      <c r="A58" s="17">
        <v>18</v>
      </c>
      <c r="B58" s="45" t="s">
        <v>54</v>
      </c>
      <c r="C58" s="281">
        <f>+C40</f>
        <v>90353798</v>
      </c>
      <c r="D58" s="281">
        <f>+D40</f>
        <v>79853664</v>
      </c>
      <c r="E58" s="281">
        <f>+E40</f>
        <v>79389775</v>
      </c>
    </row>
    <row r="59" spans="1:5" ht="24" customHeight="1" x14ac:dyDescent="0.2">
      <c r="A59" s="17">
        <v>19</v>
      </c>
      <c r="B59" s="45" t="s">
        <v>336</v>
      </c>
      <c r="C59" s="281">
        <f t="shared" ref="C59:E60" si="0">+C46</f>
        <v>447201215</v>
      </c>
      <c r="D59" s="281">
        <f t="shared" si="0"/>
        <v>362033076</v>
      </c>
      <c r="E59" s="281">
        <f t="shared" si="0"/>
        <v>384073654</v>
      </c>
    </row>
    <row r="60" spans="1:5" ht="24" customHeight="1" x14ac:dyDescent="0.2">
      <c r="A60" s="17">
        <v>20</v>
      </c>
      <c r="B60" s="45" t="s">
        <v>359</v>
      </c>
      <c r="C60" s="176">
        <f t="shared" si="0"/>
        <v>20667840</v>
      </c>
      <c r="D60" s="176">
        <f t="shared" si="0"/>
        <v>18679687</v>
      </c>
      <c r="E60" s="176">
        <f t="shared" si="0"/>
        <v>19353058</v>
      </c>
    </row>
    <row r="61" spans="1:5" ht="24" customHeight="1" x14ac:dyDescent="0.2">
      <c r="A61" s="17">
        <v>21</v>
      </c>
      <c r="B61" s="45" t="s">
        <v>365</v>
      </c>
      <c r="C61" s="281">
        <f>+C59-C60</f>
        <v>426533375</v>
      </c>
      <c r="D61" s="281">
        <f>+D59-D60</f>
        <v>343353389</v>
      </c>
      <c r="E61" s="281">
        <f>+E59-E60</f>
        <v>364720596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354</v>
      </c>
      <c r="B63" s="16" t="s">
        <v>367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368</v>
      </c>
      <c r="C65" s="284">
        <f>IF(C67=0,0,(C66/C67)*100)</f>
        <v>36.841221051096625</v>
      </c>
      <c r="D65" s="284">
        <f>IF(D67=0,0,(D66/D67)*100)</f>
        <v>43.421666198056151</v>
      </c>
      <c r="E65" s="284">
        <f>IF(E67=0,0,(E66/E67)*100)</f>
        <v>35.066417194274393</v>
      </c>
    </row>
    <row r="66" spans="1:5" ht="24" customHeight="1" x14ac:dyDescent="0.2">
      <c r="A66" s="17">
        <v>2</v>
      </c>
      <c r="B66" s="45" t="s">
        <v>67</v>
      </c>
      <c r="C66" s="281">
        <f>+C32</f>
        <v>154993818</v>
      </c>
      <c r="D66" s="281">
        <f>+D32</f>
        <v>175197767</v>
      </c>
      <c r="E66" s="281">
        <f>+E32</f>
        <v>152203312</v>
      </c>
    </row>
    <row r="67" spans="1:5" ht="24" customHeight="1" x14ac:dyDescent="0.2">
      <c r="A67" s="17">
        <v>3</v>
      </c>
      <c r="B67" s="45" t="s">
        <v>43</v>
      </c>
      <c r="C67" s="281">
        <v>420707603</v>
      </c>
      <c r="D67" s="281">
        <v>403480065</v>
      </c>
      <c r="E67" s="281">
        <v>434042951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369</v>
      </c>
      <c r="C69" s="284">
        <f>IF(C75=0,0,(C72/C75)*100)</f>
        <v>18.588228513674643</v>
      </c>
      <c r="D69" s="284">
        <f>IF(D75=0,0,(D72/D75)*100)</f>
        <v>59.219114938147257</v>
      </c>
      <c r="E69" s="284">
        <f>IF(E75=0,0,(E72/E75)*100)</f>
        <v>67.348678728553267</v>
      </c>
    </row>
    <row r="70" spans="1:5" ht="24" customHeight="1" x14ac:dyDescent="0.2">
      <c r="A70" s="17">
        <v>5</v>
      </c>
      <c r="B70" s="45" t="s">
        <v>370</v>
      </c>
      <c r="C70" s="281">
        <f>+C28</f>
        <v>6469265</v>
      </c>
      <c r="D70" s="281">
        <f>+D28</f>
        <v>30764738</v>
      </c>
      <c r="E70" s="281">
        <f>+E28</f>
        <v>35036062</v>
      </c>
    </row>
    <row r="71" spans="1:5" ht="24" customHeight="1" x14ac:dyDescent="0.2">
      <c r="A71" s="17">
        <v>6</v>
      </c>
      <c r="B71" s="45" t="s">
        <v>359</v>
      </c>
      <c r="C71" s="176">
        <f>+C47</f>
        <v>20667840</v>
      </c>
      <c r="D71" s="176">
        <f>+D47</f>
        <v>18679687</v>
      </c>
      <c r="E71" s="176">
        <f>+E47</f>
        <v>19353058</v>
      </c>
    </row>
    <row r="72" spans="1:5" ht="24" customHeight="1" x14ac:dyDescent="0.2">
      <c r="A72" s="17">
        <v>7</v>
      </c>
      <c r="B72" s="45" t="s">
        <v>371</v>
      </c>
      <c r="C72" s="281">
        <f>+C70+C71</f>
        <v>27137105</v>
      </c>
      <c r="D72" s="281">
        <f>+D70+D71</f>
        <v>49444425</v>
      </c>
      <c r="E72" s="281">
        <f>+E70+E71</f>
        <v>54389120</v>
      </c>
    </row>
    <row r="73" spans="1:5" ht="24" customHeight="1" x14ac:dyDescent="0.2">
      <c r="A73" s="17">
        <v>8</v>
      </c>
      <c r="B73" s="45" t="s">
        <v>54</v>
      </c>
      <c r="C73" s="270">
        <f>+C40</f>
        <v>90353798</v>
      </c>
      <c r="D73" s="270">
        <f>+D40</f>
        <v>79853664</v>
      </c>
      <c r="E73" s="270">
        <f>+E40</f>
        <v>79389775</v>
      </c>
    </row>
    <row r="74" spans="1:5" ht="24" customHeight="1" x14ac:dyDescent="0.2">
      <c r="A74" s="17">
        <v>9</v>
      </c>
      <c r="B74" s="45" t="s">
        <v>58</v>
      </c>
      <c r="C74" s="281">
        <v>55637010</v>
      </c>
      <c r="D74" s="281">
        <v>3640365</v>
      </c>
      <c r="E74" s="281">
        <v>1367741</v>
      </c>
    </row>
    <row r="75" spans="1:5" ht="24" customHeight="1" x14ac:dyDescent="0.2">
      <c r="A75" s="17">
        <v>10</v>
      </c>
      <c r="B75" s="285" t="s">
        <v>372</v>
      </c>
      <c r="C75" s="270">
        <f>+C73+C74</f>
        <v>145990808</v>
      </c>
      <c r="D75" s="270">
        <f>+D73+D74</f>
        <v>83494029</v>
      </c>
      <c r="E75" s="270">
        <f>+E73+E74</f>
        <v>80757516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373</v>
      </c>
      <c r="C77" s="286">
        <f>IF(C80=0,0,(C78/C80)*100)</f>
        <v>26.414466737034331</v>
      </c>
      <c r="D77" s="286">
        <f>IF(D80=0,0,(D78/D80)*100)</f>
        <v>2.0355642050656177</v>
      </c>
      <c r="E77" s="286">
        <f>IF(E80=0,0,(E78/E80)*100)</f>
        <v>0.89062422460566182</v>
      </c>
    </row>
    <row r="78" spans="1:5" ht="24" customHeight="1" x14ac:dyDescent="0.2">
      <c r="A78" s="17">
        <v>12</v>
      </c>
      <c r="B78" s="45" t="s">
        <v>58</v>
      </c>
      <c r="C78" s="270">
        <f>+C74</f>
        <v>55637010</v>
      </c>
      <c r="D78" s="270">
        <f>+D74</f>
        <v>3640365</v>
      </c>
      <c r="E78" s="270">
        <f>+E74</f>
        <v>1367741</v>
      </c>
    </row>
    <row r="79" spans="1:5" ht="24" customHeight="1" x14ac:dyDescent="0.2">
      <c r="A79" s="17">
        <v>13</v>
      </c>
      <c r="B79" s="45" t="s">
        <v>67</v>
      </c>
      <c r="C79" s="270">
        <f>+C32</f>
        <v>154993818</v>
      </c>
      <c r="D79" s="270">
        <f>+D32</f>
        <v>175197767</v>
      </c>
      <c r="E79" s="270">
        <f>+E32</f>
        <v>152203312</v>
      </c>
    </row>
    <row r="80" spans="1:5" ht="24" customHeight="1" x14ac:dyDescent="0.2">
      <c r="A80" s="17">
        <v>14</v>
      </c>
      <c r="B80" s="45" t="s">
        <v>374</v>
      </c>
      <c r="C80" s="270">
        <f>+C78+C79</f>
        <v>210630828</v>
      </c>
      <c r="D80" s="270">
        <f>+D78+D79</f>
        <v>178838132</v>
      </c>
      <c r="E80" s="270">
        <f>+E78+E79</f>
        <v>153571053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/>
  <headerFooter>
    <oddHeader>&amp;L&amp;8OFFICE OF HEALTH CARE ACCESS&amp;C&amp;8TWELVE MONTHS ACTUAL FILING&amp;R&amp;8HARTFORD HEALTH CARE CORPORATION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/>
  </sheetViews>
  <sheetFormatPr defaultRowHeight="12.75" x14ac:dyDescent="0.2"/>
  <cols>
    <col min="1" max="1" width="5.85546875" style="55" customWidth="1"/>
    <col min="2" max="2" width="47.7109375" style="55" customWidth="1"/>
    <col min="3" max="3" width="17.28515625" style="55" customWidth="1"/>
    <col min="4" max="4" width="19.140625" style="55" customWidth="1"/>
    <col min="5" max="7" width="17.28515625" style="55" customWidth="1"/>
    <col min="8" max="9" width="19.140625" style="55" customWidth="1"/>
    <col min="10" max="10" width="14" style="55" bestFit="1" customWidth="1"/>
    <col min="11" max="11" width="15.140625" style="55" customWidth="1"/>
    <col min="12" max="16384" width="9.140625" style="55"/>
  </cols>
  <sheetData>
    <row r="1" spans="1:11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6"/>
      <c r="I1" s="125"/>
      <c r="J1" s="125"/>
    </row>
    <row r="2" spans="1:11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6"/>
      <c r="I2" s="126"/>
      <c r="J2" s="125"/>
      <c r="K2" s="125"/>
    </row>
    <row r="3" spans="1:11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6"/>
      <c r="I3" s="126"/>
      <c r="J3" s="125"/>
      <c r="K3" s="125"/>
    </row>
    <row r="4" spans="1:11" ht="15.75" customHeight="1" x14ac:dyDescent="0.25">
      <c r="A4" s="287"/>
      <c r="B4" s="126"/>
      <c r="C4" s="126"/>
      <c r="D4" s="288" t="s">
        <v>506</v>
      </c>
      <c r="E4" s="126"/>
      <c r="F4" s="126"/>
      <c r="G4" s="126"/>
      <c r="H4" s="126"/>
      <c r="I4" s="126"/>
      <c r="J4" s="125"/>
      <c r="K4" s="125"/>
    </row>
    <row r="5" spans="1:11" ht="15.75" customHeight="1" x14ac:dyDescent="0.25">
      <c r="A5" s="287"/>
      <c r="B5" s="126"/>
      <c r="C5" s="126"/>
      <c r="D5" s="126"/>
      <c r="E5" s="126"/>
      <c r="F5" s="126"/>
      <c r="G5" s="126"/>
      <c r="H5" s="126"/>
      <c r="I5" s="126"/>
      <c r="J5" s="125"/>
      <c r="K5" s="125"/>
    </row>
    <row r="6" spans="1:11" ht="15.75" customHeight="1" x14ac:dyDescent="0.25">
      <c r="A6" s="126">
        <v>-1</v>
      </c>
      <c r="B6" s="126">
        <v>-2</v>
      </c>
      <c r="C6" s="126">
        <v>-3</v>
      </c>
      <c r="D6" s="126" t="s">
        <v>507</v>
      </c>
      <c r="E6" s="126" t="s">
        <v>508</v>
      </c>
      <c r="F6" s="126">
        <v>-4</v>
      </c>
      <c r="G6" s="126">
        <v>-5</v>
      </c>
      <c r="H6" s="126">
        <v>-6</v>
      </c>
      <c r="I6" s="126">
        <v>-7</v>
      </c>
      <c r="J6" s="125"/>
      <c r="K6" s="125"/>
    </row>
    <row r="7" spans="1:11" ht="15.75" customHeight="1" x14ac:dyDescent="0.25">
      <c r="A7" s="287"/>
      <c r="B7" s="126"/>
      <c r="C7" s="126"/>
      <c r="D7" s="126" t="s">
        <v>137</v>
      </c>
      <c r="E7" s="126"/>
      <c r="F7" s="126"/>
      <c r="G7" s="126"/>
      <c r="H7" s="126" t="s">
        <v>509</v>
      </c>
      <c r="I7" s="126" t="s">
        <v>509</v>
      </c>
      <c r="J7" s="125"/>
      <c r="K7" s="289"/>
    </row>
    <row r="8" spans="1:11" ht="15.75" customHeight="1" x14ac:dyDescent="0.25">
      <c r="A8" s="287"/>
      <c r="B8" s="126"/>
      <c r="C8" s="126" t="s">
        <v>510</v>
      </c>
      <c r="D8" s="126" t="s">
        <v>511</v>
      </c>
      <c r="E8" s="126" t="s">
        <v>512</v>
      </c>
      <c r="F8" s="126" t="s">
        <v>513</v>
      </c>
      <c r="G8" s="126" t="s">
        <v>514</v>
      </c>
      <c r="H8" s="126" t="s">
        <v>515</v>
      </c>
      <c r="I8" s="126" t="s">
        <v>516</v>
      </c>
      <c r="J8" s="125"/>
      <c r="K8" s="289"/>
    </row>
    <row r="9" spans="1:11" ht="15.75" customHeight="1" x14ac:dyDescent="0.25">
      <c r="A9" s="290" t="s">
        <v>8</v>
      </c>
      <c r="B9" s="291" t="s">
        <v>9</v>
      </c>
      <c r="C9" s="292" t="s">
        <v>517</v>
      </c>
      <c r="D9" s="292" t="s">
        <v>518</v>
      </c>
      <c r="E9" s="292" t="s">
        <v>519</v>
      </c>
      <c r="F9" s="292" t="s">
        <v>520</v>
      </c>
      <c r="G9" s="292" t="s">
        <v>521</v>
      </c>
      <c r="H9" s="292" t="s">
        <v>520</v>
      </c>
      <c r="I9" s="292" t="s">
        <v>521</v>
      </c>
      <c r="J9" s="125"/>
      <c r="K9" s="56"/>
    </row>
    <row r="10" spans="1:11" ht="15.75" customHeight="1" x14ac:dyDescent="0.25">
      <c r="A10" s="293" t="s">
        <v>519</v>
      </c>
      <c r="B10" s="126"/>
      <c r="C10" s="126"/>
      <c r="D10" s="126"/>
      <c r="E10" s="126"/>
      <c r="F10" s="126"/>
      <c r="G10" s="126"/>
      <c r="H10" s="126"/>
      <c r="I10" s="126"/>
      <c r="J10" s="125"/>
      <c r="K10" s="56"/>
    </row>
    <row r="11" spans="1:11" ht="15" customHeight="1" x14ac:dyDescent="0.2">
      <c r="A11" s="294">
        <v>1</v>
      </c>
      <c r="B11" s="295" t="s">
        <v>522</v>
      </c>
      <c r="C11" s="296">
        <v>51839</v>
      </c>
      <c r="D11" s="296">
        <v>13924</v>
      </c>
      <c r="E11" s="296">
        <v>13921</v>
      </c>
      <c r="F11" s="297">
        <v>231</v>
      </c>
      <c r="G11" s="297">
        <v>253</v>
      </c>
      <c r="H11" s="298">
        <f>IF(F11=0,0,$C11/(F11*365))</f>
        <v>0.61482535729111076</v>
      </c>
      <c r="I11" s="298">
        <f>IF(G11=0,0,$C11/(G11*365))</f>
        <v>0.56136228274405764</v>
      </c>
      <c r="J11" s="125"/>
      <c r="K11" s="299"/>
    </row>
    <row r="12" spans="1:11" ht="15" customHeight="1" thickBot="1" x14ac:dyDescent="0.3">
      <c r="A12" s="294"/>
      <c r="B12" s="141"/>
      <c r="C12" s="296"/>
      <c r="D12" s="89"/>
      <c r="F12" s="298"/>
      <c r="G12" s="298"/>
      <c r="H12" s="298"/>
      <c r="I12" s="298"/>
      <c r="J12" s="125"/>
      <c r="K12" s="299"/>
    </row>
    <row r="13" spans="1:11" ht="15" customHeight="1" x14ac:dyDescent="0.2">
      <c r="A13" s="294">
        <v>2</v>
      </c>
      <c r="B13" s="295" t="s">
        <v>523</v>
      </c>
      <c r="C13" s="296">
        <v>6522</v>
      </c>
      <c r="D13" s="296">
        <v>1575</v>
      </c>
      <c r="E13" s="296">
        <v>0</v>
      </c>
      <c r="F13" s="297">
        <v>32</v>
      </c>
      <c r="G13" s="297">
        <v>32</v>
      </c>
      <c r="H13" s="298">
        <f>IF(F13=0,0,$C13/(F13*365))</f>
        <v>0.55839041095890407</v>
      </c>
      <c r="I13" s="298">
        <f>IF(G13=0,0,$C13/(G13*365))</f>
        <v>0.55839041095890407</v>
      </c>
      <c r="J13" s="125"/>
      <c r="K13" s="299"/>
    </row>
    <row r="14" spans="1:11" ht="15" customHeight="1" x14ac:dyDescent="0.2">
      <c r="A14" s="294"/>
      <c r="B14" s="141"/>
      <c r="C14" s="296"/>
      <c r="F14" s="298"/>
      <c r="G14" s="298"/>
      <c r="H14" s="298"/>
      <c r="I14" s="298"/>
      <c r="J14" s="125"/>
      <c r="K14" s="299"/>
    </row>
    <row r="15" spans="1:11" ht="15" customHeight="1" x14ac:dyDescent="0.2">
      <c r="A15" s="294">
        <v>3</v>
      </c>
      <c r="B15" s="295" t="s">
        <v>524</v>
      </c>
      <c r="C15" s="296">
        <v>0</v>
      </c>
      <c r="D15" s="296">
        <v>0</v>
      </c>
      <c r="E15" s="296">
        <v>0</v>
      </c>
      <c r="F15" s="297">
        <v>0</v>
      </c>
      <c r="G15" s="297">
        <v>0</v>
      </c>
      <c r="H15" s="298">
        <f t="shared" ref="H15:I17" si="0">IF(F15=0,0,$C15/(F15*365))</f>
        <v>0</v>
      </c>
      <c r="I15" s="298">
        <f t="shared" si="0"/>
        <v>0</v>
      </c>
      <c r="J15" s="125"/>
      <c r="K15" s="299"/>
    </row>
    <row r="16" spans="1:11" ht="15" customHeight="1" x14ac:dyDescent="0.2">
      <c r="A16" s="294">
        <v>4</v>
      </c>
      <c r="B16" s="295" t="s">
        <v>525</v>
      </c>
      <c r="C16" s="296">
        <v>7303</v>
      </c>
      <c r="D16" s="296">
        <v>655</v>
      </c>
      <c r="E16" s="296">
        <v>657</v>
      </c>
      <c r="F16" s="297">
        <v>22</v>
      </c>
      <c r="G16" s="297">
        <v>24</v>
      </c>
      <c r="H16" s="298">
        <f t="shared" si="0"/>
        <v>0.90946450809464507</v>
      </c>
      <c r="I16" s="298">
        <f t="shared" si="0"/>
        <v>0.83367579908675804</v>
      </c>
      <c r="J16" s="125"/>
      <c r="K16" s="299"/>
    </row>
    <row r="17" spans="1:11" ht="15.75" customHeight="1" x14ac:dyDescent="0.25">
      <c r="A17" s="293"/>
      <c r="B17" s="135" t="s">
        <v>526</v>
      </c>
      <c r="C17" s="300">
        <f>SUM(C15:C16)</f>
        <v>7303</v>
      </c>
      <c r="D17" s="300">
        <f>SUM(D15:D16)</f>
        <v>655</v>
      </c>
      <c r="E17" s="300">
        <f>SUM(E15:E16)</f>
        <v>657</v>
      </c>
      <c r="F17" s="300">
        <f>SUM(F15:F16)</f>
        <v>22</v>
      </c>
      <c r="G17" s="300">
        <f>SUM(G15:G16)</f>
        <v>24</v>
      </c>
      <c r="H17" s="301">
        <f t="shared" si="0"/>
        <v>0.90946450809464507</v>
      </c>
      <c r="I17" s="301">
        <f t="shared" si="0"/>
        <v>0.83367579908675804</v>
      </c>
      <c r="J17" s="125"/>
      <c r="K17" s="299"/>
    </row>
    <row r="18" spans="1:11" ht="15.75" customHeight="1" x14ac:dyDescent="0.25">
      <c r="A18" s="293"/>
      <c r="B18" s="153"/>
      <c r="C18" s="296"/>
      <c r="D18" s="297"/>
      <c r="E18" s="297"/>
      <c r="F18" s="298"/>
      <c r="G18" s="298"/>
      <c r="H18" s="298"/>
      <c r="I18" s="298"/>
      <c r="J18" s="125"/>
      <c r="K18" s="299"/>
    </row>
    <row r="19" spans="1:11" ht="15" customHeight="1" x14ac:dyDescent="0.2">
      <c r="A19" s="294">
        <v>5</v>
      </c>
      <c r="B19" s="295" t="s">
        <v>527</v>
      </c>
      <c r="C19" s="296">
        <v>0</v>
      </c>
      <c r="D19" s="296">
        <v>0</v>
      </c>
      <c r="E19" s="296">
        <v>0</v>
      </c>
      <c r="F19" s="297">
        <v>0</v>
      </c>
      <c r="G19" s="297">
        <v>0</v>
      </c>
      <c r="H19" s="298">
        <f>IF(F19=0,0,$C19/(F19*365))</f>
        <v>0</v>
      </c>
      <c r="I19" s="298">
        <f>IF(G19=0,0,$C19/(G19*365))</f>
        <v>0</v>
      </c>
      <c r="J19" s="125"/>
      <c r="K19" s="299"/>
    </row>
    <row r="20" spans="1:11" ht="15" customHeight="1" x14ac:dyDescent="0.2">
      <c r="A20" s="294"/>
      <c r="B20" s="141"/>
      <c r="F20" s="298"/>
      <c r="G20" s="298"/>
      <c r="H20" s="298"/>
      <c r="I20" s="298"/>
      <c r="J20" s="125"/>
      <c r="K20" s="299"/>
    </row>
    <row r="21" spans="1:11" ht="15" customHeight="1" x14ac:dyDescent="0.2">
      <c r="A21" s="294">
        <v>6</v>
      </c>
      <c r="B21" s="295" t="s">
        <v>528</v>
      </c>
      <c r="C21" s="296">
        <v>4939</v>
      </c>
      <c r="D21" s="296">
        <v>1770</v>
      </c>
      <c r="E21" s="296">
        <v>1778</v>
      </c>
      <c r="F21" s="297">
        <v>25</v>
      </c>
      <c r="G21" s="297">
        <v>27</v>
      </c>
      <c r="H21" s="298">
        <f>IF(F21=0,0,$C21/(F21*365))</f>
        <v>0.54126027397260279</v>
      </c>
      <c r="I21" s="298">
        <f>IF(G21=0,0,$C21/(G21*365))</f>
        <v>0.50116692034500254</v>
      </c>
      <c r="J21" s="125"/>
      <c r="K21" s="299"/>
    </row>
    <row r="22" spans="1:11" ht="15" customHeight="1" x14ac:dyDescent="0.2">
      <c r="A22" s="294"/>
      <c r="B22" s="141"/>
      <c r="F22" s="298"/>
      <c r="G22" s="298"/>
      <c r="H22" s="298"/>
      <c r="I22" s="298"/>
      <c r="J22" s="125"/>
      <c r="K22" s="299"/>
    </row>
    <row r="23" spans="1:11" ht="15" customHeight="1" x14ac:dyDescent="0.2">
      <c r="A23" s="294">
        <v>7</v>
      </c>
      <c r="B23" s="295" t="s">
        <v>529</v>
      </c>
      <c r="C23" s="296">
        <v>3640</v>
      </c>
      <c r="D23" s="296">
        <v>1345</v>
      </c>
      <c r="E23" s="296">
        <v>1361</v>
      </c>
      <c r="F23" s="297">
        <v>20</v>
      </c>
      <c r="G23" s="297">
        <v>20</v>
      </c>
      <c r="H23" s="298">
        <f>IF(F23=0,0,$C23/(F23*365))</f>
        <v>0.49863013698630138</v>
      </c>
      <c r="I23" s="298">
        <f>IF(G23=0,0,$C23/(G23*365))</f>
        <v>0.49863013698630138</v>
      </c>
      <c r="J23" s="125"/>
      <c r="K23" s="299"/>
    </row>
    <row r="24" spans="1:11" ht="15" customHeight="1" x14ac:dyDescent="0.2">
      <c r="A24" s="294"/>
      <c r="B24" s="141"/>
      <c r="F24" s="298"/>
      <c r="G24" s="298"/>
      <c r="H24" s="298"/>
      <c r="I24" s="298"/>
      <c r="J24" s="125"/>
      <c r="K24" s="299"/>
    </row>
    <row r="25" spans="1:11" ht="15" customHeight="1" x14ac:dyDescent="0.2">
      <c r="A25" s="294">
        <v>8</v>
      </c>
      <c r="B25" s="295" t="s">
        <v>307</v>
      </c>
      <c r="C25" s="296">
        <v>1804</v>
      </c>
      <c r="D25" s="296">
        <v>288</v>
      </c>
      <c r="E25" s="296">
        <v>0</v>
      </c>
      <c r="F25" s="297">
        <v>12</v>
      </c>
      <c r="G25" s="297">
        <v>12</v>
      </c>
      <c r="H25" s="298">
        <f>IF(F25=0,0,$C25/(F25*365))</f>
        <v>0.41187214611872147</v>
      </c>
      <c r="I25" s="298">
        <f>IF(G25=0,0,$C25/(G25*365))</f>
        <v>0.41187214611872147</v>
      </c>
      <c r="J25" s="125"/>
      <c r="K25" s="299"/>
    </row>
    <row r="26" spans="1:11" ht="15" customHeight="1" x14ac:dyDescent="0.2">
      <c r="A26" s="294"/>
      <c r="B26" s="141"/>
      <c r="F26" s="298"/>
      <c r="G26" s="298"/>
      <c r="H26" s="298"/>
      <c r="I26" s="298"/>
      <c r="J26" s="125"/>
      <c r="K26" s="299"/>
    </row>
    <row r="27" spans="1:11" ht="15" customHeight="1" x14ac:dyDescent="0.2">
      <c r="A27" s="294">
        <v>9</v>
      </c>
      <c r="B27" s="295" t="s">
        <v>530</v>
      </c>
      <c r="C27" s="296">
        <v>724</v>
      </c>
      <c r="D27" s="296">
        <v>270</v>
      </c>
      <c r="E27" s="296">
        <v>246</v>
      </c>
      <c r="F27" s="297">
        <v>14</v>
      </c>
      <c r="G27" s="297">
        <v>15</v>
      </c>
      <c r="H27" s="298">
        <f>IF(F27=0,0,$C27/(F27*365))</f>
        <v>0.1416829745596869</v>
      </c>
      <c r="I27" s="298">
        <f>IF(G27=0,0,$C27/(G27*365))</f>
        <v>0.13223744292237444</v>
      </c>
      <c r="J27" s="125"/>
      <c r="K27" s="299"/>
    </row>
    <row r="28" spans="1:11" ht="15" customHeight="1" x14ac:dyDescent="0.2">
      <c r="A28" s="294"/>
      <c r="B28" s="141"/>
      <c r="F28" s="298"/>
      <c r="G28" s="298"/>
      <c r="H28" s="298"/>
      <c r="I28" s="298"/>
      <c r="J28" s="125"/>
      <c r="K28" s="299"/>
    </row>
    <row r="29" spans="1:11" ht="15" customHeight="1" x14ac:dyDescent="0.2">
      <c r="A29" s="294">
        <v>10</v>
      </c>
      <c r="B29" s="295" t="s">
        <v>531</v>
      </c>
      <c r="C29" s="296">
        <v>0</v>
      </c>
      <c r="D29" s="296">
        <v>0</v>
      </c>
      <c r="E29" s="296">
        <v>0</v>
      </c>
      <c r="F29" s="297">
        <v>0</v>
      </c>
      <c r="G29" s="297">
        <v>0</v>
      </c>
      <c r="H29" s="298">
        <f>IF(F29=0,0,$C29/(F29*365))</f>
        <v>0</v>
      </c>
      <c r="I29" s="298">
        <f>IF(G29=0,0,$C29/(G29*365))</f>
        <v>0</v>
      </c>
      <c r="J29" s="125"/>
      <c r="K29" s="299"/>
    </row>
    <row r="30" spans="1:11" ht="15.75" customHeight="1" x14ac:dyDescent="0.25">
      <c r="A30" s="293"/>
      <c r="B30" s="153"/>
      <c r="C30" s="296"/>
      <c r="D30" s="297"/>
      <c r="E30" s="297"/>
      <c r="F30" s="298"/>
      <c r="G30" s="298"/>
      <c r="H30" s="298"/>
      <c r="I30" s="298"/>
      <c r="J30" s="125"/>
      <c r="K30" s="299"/>
    </row>
    <row r="31" spans="1:11" ht="15.75" customHeight="1" x14ac:dyDescent="0.25">
      <c r="A31" s="293"/>
      <c r="B31" s="135" t="s">
        <v>532</v>
      </c>
      <c r="C31" s="300">
        <f>SUM(C10:C29)-C17-C23</f>
        <v>73131</v>
      </c>
      <c r="D31" s="300">
        <f>SUM(D10:D29)-D13-D17-D23</f>
        <v>16907</v>
      </c>
      <c r="E31" s="300">
        <f>SUM(E10:E29)-E17-E23</f>
        <v>16602</v>
      </c>
      <c r="F31" s="300">
        <f>SUM(F10:F29)-F17-F23</f>
        <v>336</v>
      </c>
      <c r="G31" s="300">
        <f>SUM(G10:G29)-G17-G23</f>
        <v>363</v>
      </c>
      <c r="H31" s="301">
        <f>IF(F31=0,0,$C31/(F31*365))</f>
        <v>0.59630626223091976</v>
      </c>
      <c r="I31" s="301">
        <f>IF(G31=0,0,$C31/(G31*365))</f>
        <v>0.55195290388316542</v>
      </c>
      <c r="J31" s="125"/>
      <c r="K31" s="299"/>
    </row>
    <row r="32" spans="1:11" ht="15.75" customHeight="1" x14ac:dyDescent="0.25">
      <c r="A32" s="293"/>
      <c r="B32" s="153"/>
      <c r="C32" s="296"/>
      <c r="D32" s="296"/>
      <c r="E32" s="296"/>
      <c r="F32" s="298"/>
      <c r="G32" s="298"/>
      <c r="H32" s="298"/>
      <c r="I32" s="298"/>
      <c r="J32" s="125"/>
      <c r="K32" s="299"/>
    </row>
    <row r="33" spans="1:11" ht="15.75" customHeight="1" x14ac:dyDescent="0.25">
      <c r="A33" s="293"/>
      <c r="B33" s="135" t="s">
        <v>533</v>
      </c>
      <c r="C33" s="300">
        <f>SUM(C10:C29)-C17</f>
        <v>76771</v>
      </c>
      <c r="D33" s="300">
        <f>SUM(D10:D29)-D13-D17</f>
        <v>18252</v>
      </c>
      <c r="E33" s="300">
        <f>SUM(E10:E29)-E17</f>
        <v>17963</v>
      </c>
      <c r="F33" s="300">
        <f>SUM(F10:F29)-F17</f>
        <v>356</v>
      </c>
      <c r="G33" s="300">
        <f>SUM(G10:G29)-G17</f>
        <v>383</v>
      </c>
      <c r="H33" s="301">
        <f>IF(F33=0,0,$C33/(F33*365))</f>
        <v>0.5908188394643682</v>
      </c>
      <c r="I33" s="301">
        <f>IF(G33=0,0,$C33/(G33*365))</f>
        <v>0.54916842519403408</v>
      </c>
      <c r="J33" s="125"/>
      <c r="K33" s="299"/>
    </row>
    <row r="34" spans="1:11" ht="15.75" customHeight="1" x14ac:dyDescent="0.25">
      <c r="A34" s="293"/>
      <c r="B34" s="126"/>
      <c r="C34" s="300"/>
      <c r="D34" s="302"/>
      <c r="E34" s="302"/>
      <c r="F34" s="301"/>
      <c r="G34" s="301"/>
      <c r="H34" s="301"/>
      <c r="I34" s="301"/>
      <c r="J34" s="125"/>
      <c r="K34" s="299"/>
    </row>
    <row r="35" spans="1:11" ht="15.75" customHeight="1" x14ac:dyDescent="0.25">
      <c r="A35" s="293"/>
      <c r="B35" s="126"/>
      <c r="C35" s="300"/>
      <c r="D35" s="302"/>
      <c r="E35" s="302"/>
      <c r="F35" s="301"/>
      <c r="G35" s="301"/>
      <c r="H35" s="301"/>
      <c r="I35" s="301"/>
      <c r="J35" s="125"/>
      <c r="K35" s="299"/>
    </row>
    <row r="36" spans="1:11" ht="15.75" customHeight="1" x14ac:dyDescent="0.25">
      <c r="A36" s="293"/>
      <c r="B36" s="135" t="s">
        <v>534</v>
      </c>
      <c r="C36" s="300">
        <f t="shared" ref="C36:I36" si="1">+C33</f>
        <v>76771</v>
      </c>
      <c r="D36" s="300">
        <f t="shared" si="1"/>
        <v>18252</v>
      </c>
      <c r="E36" s="300">
        <f t="shared" si="1"/>
        <v>17963</v>
      </c>
      <c r="F36" s="300">
        <f t="shared" si="1"/>
        <v>356</v>
      </c>
      <c r="G36" s="300">
        <f t="shared" si="1"/>
        <v>383</v>
      </c>
      <c r="H36" s="301">
        <f t="shared" si="1"/>
        <v>0.5908188394643682</v>
      </c>
      <c r="I36" s="301">
        <f t="shared" si="1"/>
        <v>0.54916842519403408</v>
      </c>
      <c r="J36" s="125"/>
      <c r="K36" s="299"/>
    </row>
    <row r="37" spans="1:11" ht="15.75" customHeight="1" x14ac:dyDescent="0.25">
      <c r="A37" s="293"/>
      <c r="B37" s="135" t="s">
        <v>535</v>
      </c>
      <c r="C37" s="300">
        <v>83137</v>
      </c>
      <c r="D37" s="300">
        <v>20546</v>
      </c>
      <c r="E37" s="300">
        <v>18608</v>
      </c>
      <c r="F37" s="302">
        <v>356</v>
      </c>
      <c r="G37" s="302">
        <v>383</v>
      </c>
      <c r="H37" s="301">
        <f>IF(F37=0,0,$C37/(F37*365))</f>
        <v>0.63981068185316303</v>
      </c>
      <c r="I37" s="301">
        <f>IF(G37=0,0,$C37/(G37*365))</f>
        <v>0.59470653456847522</v>
      </c>
      <c r="J37" s="125"/>
      <c r="K37" s="299"/>
    </row>
    <row r="38" spans="1:11" ht="15.75" customHeight="1" x14ac:dyDescent="0.25">
      <c r="A38" s="293"/>
      <c r="B38" s="135" t="s">
        <v>536</v>
      </c>
      <c r="C38" s="300">
        <f t="shared" ref="C38:I38" si="2">+C36-C37</f>
        <v>-6366</v>
      </c>
      <c r="D38" s="300">
        <f t="shared" si="2"/>
        <v>-2294</v>
      </c>
      <c r="E38" s="300">
        <f t="shared" si="2"/>
        <v>-645</v>
      </c>
      <c r="F38" s="300">
        <f t="shared" si="2"/>
        <v>0</v>
      </c>
      <c r="G38" s="300">
        <f t="shared" si="2"/>
        <v>0</v>
      </c>
      <c r="H38" s="301">
        <f t="shared" si="2"/>
        <v>-4.8991842388794837E-2</v>
      </c>
      <c r="I38" s="301">
        <f t="shared" si="2"/>
        <v>-4.5538109374441138E-2</v>
      </c>
      <c r="J38" s="125"/>
      <c r="K38" s="299"/>
    </row>
    <row r="39" spans="1:11" ht="15.75" customHeight="1" x14ac:dyDescent="0.25">
      <c r="A39" s="293"/>
      <c r="B39" s="153"/>
      <c r="C39" s="303"/>
      <c r="D39" s="303"/>
      <c r="E39" s="303"/>
      <c r="F39" s="301"/>
      <c r="G39" s="301"/>
      <c r="H39" s="301"/>
      <c r="I39" s="301"/>
      <c r="J39" s="125"/>
      <c r="K39" s="299"/>
    </row>
    <row r="40" spans="1:11" ht="15.75" customHeight="1" x14ac:dyDescent="0.25">
      <c r="A40" s="293"/>
      <c r="B40" s="135" t="s">
        <v>537</v>
      </c>
      <c r="C40" s="148">
        <f t="shared" ref="C40:I40" si="3">IF(C37=0,0,C38/C37)</f>
        <v>-7.6572404585202744E-2</v>
      </c>
      <c r="D40" s="148">
        <f t="shared" si="3"/>
        <v>-0.11165190304682177</v>
      </c>
      <c r="E40" s="148">
        <f t="shared" si="3"/>
        <v>-3.4662510748065346E-2</v>
      </c>
      <c r="F40" s="148">
        <f t="shared" si="3"/>
        <v>0</v>
      </c>
      <c r="G40" s="148">
        <f t="shared" si="3"/>
        <v>0</v>
      </c>
      <c r="H40" s="148">
        <f t="shared" si="3"/>
        <v>-7.6572404585202744E-2</v>
      </c>
      <c r="I40" s="148">
        <f t="shared" si="3"/>
        <v>-7.657240458520273E-2</v>
      </c>
      <c r="J40" s="202"/>
      <c r="K40" s="299"/>
    </row>
    <row r="41" spans="1:11" ht="15.75" customHeight="1" x14ac:dyDescent="0.25">
      <c r="A41" s="200"/>
      <c r="B41" s="200"/>
      <c r="C41" s="200"/>
      <c r="D41" s="200"/>
      <c r="E41" s="200"/>
      <c r="F41" s="200"/>
      <c r="G41" s="200"/>
      <c r="H41" s="200"/>
      <c r="I41" s="200"/>
      <c r="J41" s="125"/>
      <c r="K41" s="299"/>
    </row>
    <row r="42" spans="1:11" ht="15.75" customHeight="1" x14ac:dyDescent="0.25">
      <c r="A42" s="60"/>
      <c r="B42" s="295" t="s">
        <v>538</v>
      </c>
      <c r="C42" s="295">
        <v>446</v>
      </c>
      <c r="D42" s="60"/>
      <c r="E42" s="60"/>
      <c r="F42" s="60"/>
      <c r="G42" s="60"/>
      <c r="H42" s="60"/>
      <c r="I42" s="60"/>
      <c r="J42" s="8"/>
      <c r="K42" s="21"/>
    </row>
    <row r="43" spans="1:11" ht="15.7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8"/>
      <c r="K43" s="21"/>
    </row>
    <row r="44" spans="1:11" ht="15.75" customHeight="1" x14ac:dyDescent="0.25">
      <c r="A44" s="304" t="s">
        <v>539</v>
      </c>
      <c r="B44" s="305"/>
      <c r="C44" s="125"/>
      <c r="D44" s="125"/>
      <c r="E44" s="125"/>
      <c r="F44" s="125"/>
      <c r="G44" s="125"/>
      <c r="H44" s="125"/>
      <c r="I44" s="125"/>
      <c r="J44" s="125"/>
      <c r="K44" s="299"/>
    </row>
    <row r="45" spans="1:11" ht="15.75" customHeight="1" x14ac:dyDescent="0.25">
      <c r="A45" s="304" t="s">
        <v>519</v>
      </c>
      <c r="B45" s="305"/>
      <c r="C45" s="125"/>
      <c r="D45" s="125"/>
      <c r="E45" s="125"/>
      <c r="F45" s="125"/>
      <c r="G45" s="125"/>
      <c r="H45" s="125"/>
      <c r="I45" s="125"/>
      <c r="J45" s="125"/>
      <c r="K45" s="299"/>
    </row>
    <row r="46" spans="1:11" ht="15.75" customHeight="1" x14ac:dyDescent="0.25">
      <c r="A46" s="304" t="s">
        <v>540</v>
      </c>
      <c r="B46" s="305"/>
      <c r="C46" s="125"/>
      <c r="D46" s="125"/>
      <c r="E46" s="125"/>
      <c r="F46" s="125"/>
      <c r="G46" s="125"/>
      <c r="H46" s="125"/>
      <c r="I46" s="125"/>
      <c r="J46" s="125"/>
      <c r="K46" s="299"/>
    </row>
    <row r="47" spans="1:11" ht="15.75" customHeight="1" x14ac:dyDescent="0.25">
      <c r="A47" s="306"/>
      <c r="B47" s="305"/>
      <c r="C47" s="305"/>
      <c r="D47" s="305"/>
      <c r="E47" s="305"/>
      <c r="F47" s="305"/>
      <c r="G47" s="305"/>
      <c r="H47" s="305"/>
      <c r="I47" s="305"/>
    </row>
    <row r="48" spans="1:11" ht="15" customHeight="1" x14ac:dyDescent="0.25">
      <c r="B48" s="26"/>
      <c r="C48" s="48"/>
    </row>
  </sheetData>
  <printOptions horizontalCentered="1" gridLines="1"/>
  <pageMargins left="0.5" right="0.5" top="0.5" bottom="0.5" header="0.25" footer="0.25"/>
  <pageSetup paperSize="9" scale="74" orientation="landscape" horizontalDpi="1200" verticalDpi="1200" r:id="rId1"/>
  <headerFooter>
    <oddHeader>&amp;LOFFICE OF HEALTH CARE ACCESS&amp;CTWELVE MONTHS ACTUAL FILING&amp;RTHE HOSPITAL OF CENTRAL CONNECTICUT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541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542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543</v>
      </c>
      <c r="C12" s="296">
        <v>8346</v>
      </c>
      <c r="D12" s="296">
        <v>7073</v>
      </c>
      <c r="E12" s="296">
        <f>+D12-C12</f>
        <v>-1273</v>
      </c>
      <c r="F12" s="316">
        <f>IF(C12=0,0,+E12/C12)</f>
        <v>-0.15252815720105439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544</v>
      </c>
      <c r="C13" s="296">
        <v>7165</v>
      </c>
      <c r="D13" s="296">
        <v>6740</v>
      </c>
      <c r="E13" s="296">
        <f>+D13-C13</f>
        <v>-425</v>
      </c>
      <c r="F13" s="316">
        <f>IF(C13=0,0,+E13/C13)</f>
        <v>-5.931612002791347E-2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545</v>
      </c>
      <c r="C14" s="296">
        <v>14456</v>
      </c>
      <c r="D14" s="296">
        <v>12844</v>
      </c>
      <c r="E14" s="296">
        <f>+D14-C14</f>
        <v>-1612</v>
      </c>
      <c r="F14" s="316">
        <f>IF(C14=0,0,+E14/C14)</f>
        <v>-0.11151079136690648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546</v>
      </c>
      <c r="C15" s="296">
        <v>0</v>
      </c>
      <c r="D15" s="296">
        <v>0</v>
      </c>
      <c r="E15" s="296">
        <f>+D15-C15</f>
        <v>0</v>
      </c>
      <c r="F15" s="316">
        <f>IF(C15=0,0,+E15/C15)</f>
        <v>0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547</v>
      </c>
      <c r="C16" s="300">
        <f>SUM(C12:C15)</f>
        <v>29967</v>
      </c>
      <c r="D16" s="300">
        <f>SUM(D12:D15)</f>
        <v>26657</v>
      </c>
      <c r="E16" s="300">
        <f>+D16-C16</f>
        <v>-3310</v>
      </c>
      <c r="F16" s="309">
        <f>IF(C16=0,0,+E16/C16)</f>
        <v>-0.11045483365034872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548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543</v>
      </c>
      <c r="C19" s="296">
        <v>327</v>
      </c>
      <c r="D19" s="296">
        <v>320</v>
      </c>
      <c r="E19" s="296">
        <f>+D19-C19</f>
        <v>-7</v>
      </c>
      <c r="F19" s="316">
        <f>IF(C19=0,0,+E19/C19)</f>
        <v>-2.1406727828746176E-2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544</v>
      </c>
      <c r="C20" s="296">
        <v>3546</v>
      </c>
      <c r="D20" s="296">
        <v>3563</v>
      </c>
      <c r="E20" s="296">
        <f>+D20-C20</f>
        <v>17</v>
      </c>
      <c r="F20" s="316">
        <f>IF(C20=0,0,+E20/C20)</f>
        <v>4.7941342357586013E-3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545</v>
      </c>
      <c r="C21" s="296">
        <v>67</v>
      </c>
      <c r="D21" s="296">
        <v>52</v>
      </c>
      <c r="E21" s="296">
        <f>+D21-C21</f>
        <v>-15</v>
      </c>
      <c r="F21" s="316">
        <f>IF(C21=0,0,+E21/C21)</f>
        <v>-0.22388059701492538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546</v>
      </c>
      <c r="C22" s="296">
        <v>3763</v>
      </c>
      <c r="D22" s="296">
        <v>4171</v>
      </c>
      <c r="E22" s="296">
        <f>+D22-C22</f>
        <v>408</v>
      </c>
      <c r="F22" s="316">
        <f>IF(C22=0,0,+E22/C22)</f>
        <v>0.10842412968376296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549</v>
      </c>
      <c r="C23" s="300">
        <f>SUM(C19:C22)</f>
        <v>7703</v>
      </c>
      <c r="D23" s="300">
        <f>SUM(D19:D22)</f>
        <v>8106</v>
      </c>
      <c r="E23" s="300">
        <f>+D23-C23</f>
        <v>403</v>
      </c>
      <c r="F23" s="309">
        <f>IF(C23=0,0,+E23/C23)</f>
        <v>5.2317278982214721E-2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550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543</v>
      </c>
      <c r="C26" s="296">
        <v>0</v>
      </c>
      <c r="D26" s="296">
        <v>0</v>
      </c>
      <c r="E26" s="296">
        <f>+D26-C26</f>
        <v>0</v>
      </c>
      <c r="F26" s="316">
        <f>IF(C26=0,0,+E26/C26)</f>
        <v>0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544</v>
      </c>
      <c r="C27" s="296">
        <v>0</v>
      </c>
      <c r="D27" s="296">
        <v>0</v>
      </c>
      <c r="E27" s="296">
        <f>+D27-C27</f>
        <v>0</v>
      </c>
      <c r="F27" s="316">
        <f>IF(C27=0,0,+E27/C27)</f>
        <v>0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545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546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551</v>
      </c>
      <c r="C30" s="300">
        <f>SUM(C26:C29)</f>
        <v>0</v>
      </c>
      <c r="D30" s="300">
        <f>SUM(D26:D29)</f>
        <v>0</v>
      </c>
      <c r="E30" s="300">
        <f>+D30-C30</f>
        <v>0</v>
      </c>
      <c r="F30" s="309">
        <f>IF(C30=0,0,+E30/C30)</f>
        <v>0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333</v>
      </c>
      <c r="B32" s="291" t="s">
        <v>552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543</v>
      </c>
      <c r="C33" s="296">
        <v>20</v>
      </c>
      <c r="D33" s="296">
        <v>26</v>
      </c>
      <c r="E33" s="296">
        <f>+D33-C33</f>
        <v>6</v>
      </c>
      <c r="F33" s="316">
        <f>IF(C33=0,0,+E33/C33)</f>
        <v>0.3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544</v>
      </c>
      <c r="C34" s="296">
        <v>373</v>
      </c>
      <c r="D34" s="296">
        <v>314</v>
      </c>
      <c r="E34" s="296">
        <f>+D34-C34</f>
        <v>-59</v>
      </c>
      <c r="F34" s="316">
        <f>IF(C34=0,0,+E34/C34)</f>
        <v>-0.1581769436997319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545</v>
      </c>
      <c r="C35" s="296">
        <v>1</v>
      </c>
      <c r="D35" s="296">
        <v>0</v>
      </c>
      <c r="E35" s="296">
        <f>+D35-C35</f>
        <v>-1</v>
      </c>
      <c r="F35" s="316">
        <f>IF(C35=0,0,+E35/C35)</f>
        <v>-1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546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553</v>
      </c>
      <c r="C37" s="300">
        <f>SUM(C33:C36)</f>
        <v>394</v>
      </c>
      <c r="D37" s="300">
        <f>SUM(D33:D36)</f>
        <v>340</v>
      </c>
      <c r="E37" s="300">
        <f>+D37-C37</f>
        <v>-54</v>
      </c>
      <c r="F37" s="309">
        <f>IF(C37=0,0,+E37/C37)</f>
        <v>-0.13705583756345177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554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555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354</v>
      </c>
      <c r="B42" s="291" t="s">
        <v>556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557</v>
      </c>
      <c r="C43" s="296">
        <v>313</v>
      </c>
      <c r="D43" s="296">
        <v>282</v>
      </c>
      <c r="E43" s="296">
        <f>+D43-C43</f>
        <v>-31</v>
      </c>
      <c r="F43" s="316">
        <f>IF(C43=0,0,+E43/C43)</f>
        <v>-9.9041533546325874E-2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558</v>
      </c>
      <c r="C44" s="296">
        <v>6533</v>
      </c>
      <c r="D44" s="296">
        <v>6767</v>
      </c>
      <c r="E44" s="296">
        <f>+D44-C44</f>
        <v>234</v>
      </c>
      <c r="F44" s="316">
        <f>IF(C44=0,0,+E44/C44)</f>
        <v>3.5818153987448337E-2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559</v>
      </c>
      <c r="C45" s="300">
        <f>SUM(C43:C44)</f>
        <v>6846</v>
      </c>
      <c r="D45" s="300">
        <f>SUM(D43:D44)</f>
        <v>7049</v>
      </c>
      <c r="E45" s="300">
        <f>+D45-C45</f>
        <v>203</v>
      </c>
      <c r="F45" s="309">
        <f>IF(C45=0,0,+E45/C45)</f>
        <v>2.9652351738241309E-2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366</v>
      </c>
      <c r="B47" s="291" t="s">
        <v>560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557</v>
      </c>
      <c r="C48" s="296">
        <v>365</v>
      </c>
      <c r="D48" s="296">
        <v>294</v>
      </c>
      <c r="E48" s="296">
        <f>+D48-C48</f>
        <v>-71</v>
      </c>
      <c r="F48" s="316">
        <f>IF(C48=0,0,+E48/C48)</f>
        <v>-0.19452054794520549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558</v>
      </c>
      <c r="C49" s="296">
        <v>332</v>
      </c>
      <c r="D49" s="296">
        <v>279</v>
      </c>
      <c r="E49" s="296">
        <f>+D49-C49</f>
        <v>-53</v>
      </c>
      <c r="F49" s="316">
        <f>IF(C49=0,0,+E49/C49)</f>
        <v>-0.15963855421686746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561</v>
      </c>
      <c r="C50" s="300">
        <f>SUM(C48:C49)</f>
        <v>697</v>
      </c>
      <c r="D50" s="300">
        <f>SUM(D48:D49)</f>
        <v>573</v>
      </c>
      <c r="E50" s="300">
        <f>+D50-C50</f>
        <v>-124</v>
      </c>
      <c r="F50" s="309">
        <f>IF(C50=0,0,+E50/C50)</f>
        <v>-0.17790530846484937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378</v>
      </c>
      <c r="B52" s="291" t="s">
        <v>562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563</v>
      </c>
      <c r="C53" s="296">
        <v>132</v>
      </c>
      <c r="D53" s="296">
        <v>73</v>
      </c>
      <c r="E53" s="296">
        <f>+D53-C53</f>
        <v>-59</v>
      </c>
      <c r="F53" s="316">
        <f>IF(C53=0,0,+E53/C53)</f>
        <v>-0.44696969696969696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564</v>
      </c>
      <c r="C54" s="296">
        <v>0</v>
      </c>
      <c r="D54" s="296">
        <v>0</v>
      </c>
      <c r="E54" s="296">
        <f>+D54-C54</f>
        <v>0</v>
      </c>
      <c r="F54" s="316">
        <f>IF(C54=0,0,+E54/C54)</f>
        <v>0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565</v>
      </c>
      <c r="C55" s="300">
        <f>SUM(C53:C54)</f>
        <v>132</v>
      </c>
      <c r="D55" s="300">
        <f>SUM(D53:D54)</f>
        <v>73</v>
      </c>
      <c r="E55" s="300">
        <f>+D55-C55</f>
        <v>-59</v>
      </c>
      <c r="F55" s="309">
        <f>IF(C55=0,0,+E55/C55)</f>
        <v>-0.44696969696969696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382</v>
      </c>
      <c r="B57" s="291" t="s">
        <v>566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567</v>
      </c>
      <c r="C58" s="296">
        <v>0</v>
      </c>
      <c r="D58" s="296">
        <v>0</v>
      </c>
      <c r="E58" s="296">
        <f>+D58-C58</f>
        <v>0</v>
      </c>
      <c r="F58" s="316">
        <f>IF(C58=0,0,+E58/C58)</f>
        <v>0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568</v>
      </c>
      <c r="C59" s="296">
        <v>0</v>
      </c>
      <c r="D59" s="296">
        <v>0</v>
      </c>
      <c r="E59" s="296">
        <f>+D59-C59</f>
        <v>0</v>
      </c>
      <c r="F59" s="316">
        <f>IF(C59=0,0,+E59/C59)</f>
        <v>0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569</v>
      </c>
      <c r="C60" s="300">
        <f>SUM(C58:C59)</f>
        <v>0</v>
      </c>
      <c r="D60" s="300">
        <f>SUM(D58:D59)</f>
        <v>0</v>
      </c>
      <c r="E60" s="300">
        <f>SUM(E58:E59)</f>
        <v>0</v>
      </c>
      <c r="F60" s="309">
        <f>IF(C60=0,0,+E60/C60)</f>
        <v>0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570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571</v>
      </c>
      <c r="C63" s="296">
        <v>3964</v>
      </c>
      <c r="D63" s="296">
        <v>3659</v>
      </c>
      <c r="E63" s="296">
        <f>+D63-C63</f>
        <v>-305</v>
      </c>
      <c r="F63" s="316">
        <f>IF(C63=0,0,+E63/C63)</f>
        <v>-7.6942482341069623E-2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572</v>
      </c>
      <c r="C64" s="296">
        <v>8021</v>
      </c>
      <c r="D64" s="296">
        <v>8014</v>
      </c>
      <c r="E64" s="296">
        <f>+D64-C64</f>
        <v>-7</v>
      </c>
      <c r="F64" s="316">
        <f>IF(C64=0,0,+E64/C64)</f>
        <v>-8.7270913851140758E-4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573</v>
      </c>
      <c r="C65" s="300">
        <f>SUM(C63:C64)</f>
        <v>11985</v>
      </c>
      <c r="D65" s="300">
        <f>SUM(D63:D64)</f>
        <v>11673</v>
      </c>
      <c r="E65" s="300">
        <f>+D65-C65</f>
        <v>-312</v>
      </c>
      <c r="F65" s="309">
        <f>IF(C65=0,0,+E65/C65)</f>
        <v>-2.6032540675844807E-2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408</v>
      </c>
      <c r="B67" s="291" t="s">
        <v>574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575</v>
      </c>
      <c r="C68" s="296">
        <v>1363</v>
      </c>
      <c r="D68" s="296">
        <v>1256</v>
      </c>
      <c r="E68" s="296">
        <f>+D68-C68</f>
        <v>-107</v>
      </c>
      <c r="F68" s="316">
        <f>IF(C68=0,0,+E68/C68)</f>
        <v>-7.8503301540719009E-2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576</v>
      </c>
      <c r="C69" s="296">
        <v>6679</v>
      </c>
      <c r="D69" s="296">
        <v>6444</v>
      </c>
      <c r="E69" s="296">
        <f>+D69-C69</f>
        <v>-235</v>
      </c>
      <c r="F69" s="318">
        <f>IF(C69=0,0,+E69/C69)</f>
        <v>-3.5184907920347355E-2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577</v>
      </c>
      <c r="C70" s="300">
        <f>SUM(C68:C69)</f>
        <v>8042</v>
      </c>
      <c r="D70" s="300">
        <f>SUM(D68:D69)</f>
        <v>7700</v>
      </c>
      <c r="E70" s="300">
        <f>+D70-C70</f>
        <v>-342</v>
      </c>
      <c r="F70" s="309">
        <f>IF(C70=0,0,+E70/C70)</f>
        <v>-4.25267346431236E-2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424</v>
      </c>
      <c r="B72" s="291" t="s">
        <v>578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579</v>
      </c>
      <c r="C73" s="319">
        <v>14219</v>
      </c>
      <c r="D73" s="319">
        <v>14064</v>
      </c>
      <c r="E73" s="296">
        <f>+D73-C73</f>
        <v>-155</v>
      </c>
      <c r="F73" s="316">
        <f>IF(C73=0,0,+E73/C73)</f>
        <v>-1.0900907236795836E-2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580</v>
      </c>
      <c r="C74" s="319">
        <v>94835</v>
      </c>
      <c r="D74" s="319">
        <v>96434</v>
      </c>
      <c r="E74" s="296">
        <f>+D74-C74</f>
        <v>1599</v>
      </c>
      <c r="F74" s="316">
        <f>IF(C74=0,0,+E74/C74)</f>
        <v>1.6860863605209046E-2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440</v>
      </c>
      <c r="C75" s="300">
        <f>SUM(C73:C74)</f>
        <v>109054</v>
      </c>
      <c r="D75" s="300">
        <f>SUM(D73:D74)</f>
        <v>110498</v>
      </c>
      <c r="E75" s="300">
        <f>SUM(E73:E74)</f>
        <v>1444</v>
      </c>
      <c r="F75" s="309">
        <f>IF(C75=0,0,+E75/C75)</f>
        <v>1.3241146587928916E-2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433</v>
      </c>
      <c r="B78" s="291" t="s">
        <v>581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582</v>
      </c>
      <c r="C79" s="319">
        <v>16977</v>
      </c>
      <c r="D79" s="319">
        <v>20696</v>
      </c>
      <c r="E79" s="296">
        <f t="shared" ref="E79:E84" si="0">+D79-C79</f>
        <v>3719</v>
      </c>
      <c r="F79" s="316">
        <f t="shared" ref="F79:F84" si="1">IF(C79=0,0,+E79/C79)</f>
        <v>0.21906108264122048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583</v>
      </c>
      <c r="C80" s="319">
        <v>0</v>
      </c>
      <c r="D80" s="319">
        <v>0</v>
      </c>
      <c r="E80" s="296">
        <f t="shared" si="0"/>
        <v>0</v>
      </c>
      <c r="F80" s="316">
        <f t="shared" si="1"/>
        <v>0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584</v>
      </c>
      <c r="C81" s="319">
        <v>60591</v>
      </c>
      <c r="D81" s="319">
        <v>65702</v>
      </c>
      <c r="E81" s="296">
        <f t="shared" si="0"/>
        <v>5111</v>
      </c>
      <c r="F81" s="316">
        <f t="shared" si="1"/>
        <v>8.43524615867043E-2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585</v>
      </c>
      <c r="C82" s="319">
        <v>4204</v>
      </c>
      <c r="D82" s="319">
        <v>4824</v>
      </c>
      <c r="E82" s="296">
        <f t="shared" si="0"/>
        <v>620</v>
      </c>
      <c r="F82" s="316">
        <f t="shared" si="1"/>
        <v>0.14747859181731685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586</v>
      </c>
      <c r="C83" s="319">
        <v>16344</v>
      </c>
      <c r="D83" s="319">
        <v>19508</v>
      </c>
      <c r="E83" s="296">
        <f t="shared" si="0"/>
        <v>3164</v>
      </c>
      <c r="F83" s="316">
        <f t="shared" si="1"/>
        <v>0.19358786098874203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587</v>
      </c>
      <c r="C84" s="320">
        <f>SUM(C79:C83)</f>
        <v>98116</v>
      </c>
      <c r="D84" s="320">
        <f>SUM(D79:D83)</f>
        <v>110730</v>
      </c>
      <c r="E84" s="300">
        <f t="shared" si="0"/>
        <v>12614</v>
      </c>
      <c r="F84" s="309">
        <f t="shared" si="1"/>
        <v>0.12856211015532634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436</v>
      </c>
      <c r="B86" s="291" t="s">
        <v>588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589</v>
      </c>
      <c r="C87" s="322">
        <v>33770</v>
      </c>
      <c r="D87" s="322">
        <v>21774</v>
      </c>
      <c r="E87" s="323">
        <f t="shared" ref="E87:E92" si="2">+D87-C87</f>
        <v>-11996</v>
      </c>
      <c r="F87" s="318">
        <f t="shared" ref="F87:F92" si="3">IF(C87=0,0,+E87/C87)</f>
        <v>-0.3552265324252295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275</v>
      </c>
      <c r="C88" s="322">
        <v>6485</v>
      </c>
      <c r="D88" s="322">
        <v>5240</v>
      </c>
      <c r="E88" s="296">
        <f t="shared" si="2"/>
        <v>-1245</v>
      </c>
      <c r="F88" s="316">
        <f t="shared" si="3"/>
        <v>-0.19198149575944487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590</v>
      </c>
      <c r="C89" s="322">
        <v>3050</v>
      </c>
      <c r="D89" s="322">
        <v>3907</v>
      </c>
      <c r="E89" s="296">
        <f t="shared" si="2"/>
        <v>857</v>
      </c>
      <c r="F89" s="316">
        <f t="shared" si="3"/>
        <v>0.28098360655737703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591</v>
      </c>
      <c r="C90" s="322">
        <v>297</v>
      </c>
      <c r="D90" s="322">
        <v>345</v>
      </c>
      <c r="E90" s="296">
        <f t="shared" si="2"/>
        <v>48</v>
      </c>
      <c r="F90" s="316">
        <f t="shared" si="3"/>
        <v>0.16161616161616163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592</v>
      </c>
      <c r="C91" s="322">
        <v>32049</v>
      </c>
      <c r="D91" s="322">
        <v>31384</v>
      </c>
      <c r="E91" s="296">
        <f t="shared" si="2"/>
        <v>-665</v>
      </c>
      <c r="F91" s="316">
        <f t="shared" si="3"/>
        <v>-2.0749477362788229E-2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593</v>
      </c>
      <c r="C92" s="320">
        <f>SUM(C87:C91)</f>
        <v>75651</v>
      </c>
      <c r="D92" s="320">
        <f>SUM(D87:D91)</f>
        <v>62650</v>
      </c>
      <c r="E92" s="300">
        <f t="shared" si="2"/>
        <v>-13001</v>
      </c>
      <c r="F92" s="309">
        <f t="shared" si="3"/>
        <v>-0.17185496556555763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594</v>
      </c>
      <c r="B95" s="291" t="s">
        <v>595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596</v>
      </c>
      <c r="C96" s="325">
        <v>627.5</v>
      </c>
      <c r="D96" s="325">
        <v>617.4</v>
      </c>
      <c r="E96" s="326">
        <f>+D96-C96</f>
        <v>-10.100000000000023</v>
      </c>
      <c r="F96" s="316">
        <f>IF(C96=0,0,+E96/C96)</f>
        <v>-1.6095617529880514E-2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597</v>
      </c>
      <c r="C97" s="325">
        <v>109.6</v>
      </c>
      <c r="D97" s="325">
        <v>122.2</v>
      </c>
      <c r="E97" s="326">
        <f>+D97-C97</f>
        <v>12.600000000000009</v>
      </c>
      <c r="F97" s="316">
        <f>IF(C97=0,0,+E97/C97)</f>
        <v>0.11496350364963512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598</v>
      </c>
      <c r="C98" s="325">
        <v>1434.9</v>
      </c>
      <c r="D98" s="325">
        <v>1559.9</v>
      </c>
      <c r="E98" s="326">
        <f>+D98-C98</f>
        <v>125</v>
      </c>
      <c r="F98" s="316">
        <f>IF(C98=0,0,+E98/C98)</f>
        <v>8.7114084605198969E-2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599</v>
      </c>
      <c r="C99" s="327">
        <f>SUM(C96:C98)</f>
        <v>2172</v>
      </c>
      <c r="D99" s="327">
        <f>SUM(D96:D98)</f>
        <v>2299.5</v>
      </c>
      <c r="E99" s="327">
        <f>+D99-C99</f>
        <v>127.5</v>
      </c>
      <c r="F99" s="309">
        <f>IF(C99=0,0,+E99/C99)</f>
        <v>5.8701657458563539E-2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/>
  <headerFooter>
    <oddHeader>&amp;LOFFICE OF HEALTH CARE ACCESS&amp;CTWELVE MONTHS ACTUAL FILING&amp;RTHE HOSPITAL OF CENTRAL CONNECTICUT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="75" zoomScaleSheetLayoutView="90" workbookViewId="0">
      <selection sqref="A1:F1"/>
    </sheetView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600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572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601</v>
      </c>
      <c r="C12" s="296">
        <v>8021</v>
      </c>
      <c r="D12" s="296">
        <v>8014</v>
      </c>
      <c r="E12" s="296">
        <f>+D12-C12</f>
        <v>-7</v>
      </c>
      <c r="F12" s="316">
        <f>IF(C12=0,0,+E12/C12)</f>
        <v>-8.7270913851140758E-4</v>
      </c>
    </row>
    <row r="13" spans="1:16" ht="15.75" customHeight="1" x14ac:dyDescent="0.25">
      <c r="A13" s="294"/>
      <c r="B13" s="135" t="s">
        <v>602</v>
      </c>
      <c r="C13" s="300">
        <f>SUM(C11:C12)</f>
        <v>8021</v>
      </c>
      <c r="D13" s="300">
        <f>SUM(D11:D12)</f>
        <v>8014</v>
      </c>
      <c r="E13" s="300">
        <f>+D13-C13</f>
        <v>-7</v>
      </c>
      <c r="F13" s="309">
        <f>IF(C13=0,0,+E13/C13)</f>
        <v>-8.7270913851140758E-4</v>
      </c>
    </row>
    <row r="14" spans="1:16" ht="15.75" customHeight="1" x14ac:dyDescent="0.25">
      <c r="A14" s="293"/>
      <c r="B14" s="135"/>
      <c r="C14" s="300"/>
      <c r="D14" s="300"/>
      <c r="E14" s="300"/>
      <c r="F14" s="309"/>
    </row>
    <row r="15" spans="1:16" ht="15.75" customHeight="1" x14ac:dyDescent="0.25">
      <c r="A15" s="293" t="s">
        <v>124</v>
      </c>
      <c r="B15" s="291" t="s">
        <v>576</v>
      </c>
      <c r="C15" s="296"/>
      <c r="D15" s="296"/>
      <c r="E15" s="296"/>
      <c r="F15" s="316"/>
    </row>
    <row r="16" spans="1:16" ht="15.75" customHeight="1" x14ac:dyDescent="0.2">
      <c r="A16" s="294">
        <v>1</v>
      </c>
      <c r="B16" s="295" t="s">
        <v>601</v>
      </c>
      <c r="C16" s="296">
        <v>6679</v>
      </c>
      <c r="D16" s="296">
        <v>6444</v>
      </c>
      <c r="E16" s="296">
        <f>+D16-C16</f>
        <v>-235</v>
      </c>
      <c r="F16" s="316">
        <f>IF(C16=0,0,+E16/C16)</f>
        <v>-3.5184907920347355E-2</v>
      </c>
    </row>
    <row r="17" spans="1:6" ht="15.75" customHeight="1" x14ac:dyDescent="0.25">
      <c r="A17" s="294"/>
      <c r="B17" s="135" t="s">
        <v>603</v>
      </c>
      <c r="C17" s="300">
        <f>SUM(C15:C16)</f>
        <v>6679</v>
      </c>
      <c r="D17" s="300">
        <f>SUM(D15:D16)</f>
        <v>6444</v>
      </c>
      <c r="E17" s="300">
        <f>+D17-C17</f>
        <v>-235</v>
      </c>
      <c r="F17" s="309">
        <f>IF(C17=0,0,+E17/C17)</f>
        <v>-3.5184907920347355E-2</v>
      </c>
    </row>
    <row r="18" spans="1:6" ht="15.75" customHeight="1" x14ac:dyDescent="0.25">
      <c r="A18" s="293"/>
      <c r="B18" s="135"/>
      <c r="C18" s="300"/>
      <c r="D18" s="300"/>
      <c r="E18" s="300"/>
      <c r="F18" s="309"/>
    </row>
    <row r="19" spans="1:6" ht="15.75" customHeight="1" x14ac:dyDescent="0.25">
      <c r="A19" s="293" t="s">
        <v>141</v>
      </c>
      <c r="B19" s="291" t="s">
        <v>604</v>
      </c>
      <c r="C19" s="296"/>
      <c r="D19" s="296"/>
      <c r="E19" s="296"/>
      <c r="F19" s="316"/>
    </row>
    <row r="20" spans="1:6" ht="15.75" customHeight="1" x14ac:dyDescent="0.2">
      <c r="A20" s="294">
        <v>1</v>
      </c>
      <c r="B20" s="295" t="s">
        <v>601</v>
      </c>
      <c r="C20" s="296">
        <v>94835</v>
      </c>
      <c r="D20" s="296">
        <v>96434</v>
      </c>
      <c r="E20" s="296">
        <f>+D20-C20</f>
        <v>1599</v>
      </c>
      <c r="F20" s="316">
        <f>IF(C20=0,0,+E20/C20)</f>
        <v>1.6860863605209046E-2</v>
      </c>
    </row>
    <row r="21" spans="1:6" ht="15.75" customHeight="1" x14ac:dyDescent="0.25">
      <c r="A21" s="294"/>
      <c r="B21" s="135" t="s">
        <v>605</v>
      </c>
      <c r="C21" s="300">
        <f>SUM(C19:C20)</f>
        <v>94835</v>
      </c>
      <c r="D21" s="300">
        <f>SUM(D19:D20)</f>
        <v>96434</v>
      </c>
      <c r="E21" s="300">
        <f>+D21-C21</f>
        <v>1599</v>
      </c>
      <c r="F21" s="309">
        <f>IF(C21=0,0,+E21/C21)</f>
        <v>1.6860863605209046E-2</v>
      </c>
    </row>
    <row r="22" spans="1:6" ht="15.75" customHeight="1" x14ac:dyDescent="0.25">
      <c r="A22" s="293"/>
      <c r="B22" s="135"/>
      <c r="C22" s="300"/>
      <c r="D22" s="300"/>
      <c r="E22" s="300"/>
      <c r="F22" s="309"/>
    </row>
    <row r="23" spans="1:6" ht="15.75" customHeight="1" x14ac:dyDescent="0.25">
      <c r="B23" s="699" t="s">
        <v>606</v>
      </c>
      <c r="C23" s="700"/>
      <c r="D23" s="700"/>
      <c r="E23" s="700"/>
      <c r="F23" s="701"/>
    </row>
    <row r="24" spans="1:6" ht="15.75" customHeight="1" x14ac:dyDescent="0.25">
      <c r="A24" s="293"/>
      <c r="B24" s="135"/>
      <c r="C24" s="300"/>
      <c r="D24" s="300"/>
      <c r="E24" s="300"/>
      <c r="F24" s="309"/>
    </row>
    <row r="25" spans="1:6" ht="15.75" customHeight="1" x14ac:dyDescent="0.25">
      <c r="B25" s="699" t="s">
        <v>607</v>
      </c>
      <c r="C25" s="700"/>
      <c r="D25" s="700"/>
      <c r="E25" s="700"/>
      <c r="F25" s="701"/>
    </row>
    <row r="26" spans="1:6" ht="15.75" customHeight="1" x14ac:dyDescent="0.25">
      <c r="A26" s="293"/>
      <c r="B26" s="135"/>
      <c r="C26" s="300"/>
      <c r="D26" s="300"/>
      <c r="E26" s="300"/>
      <c r="F26" s="309"/>
    </row>
    <row r="27" spans="1:6" ht="15.75" customHeight="1" x14ac:dyDescent="0.25">
      <c r="B27" s="699" t="s">
        <v>608</v>
      </c>
      <c r="C27" s="700"/>
      <c r="D27" s="700"/>
      <c r="E27" s="700"/>
      <c r="F27" s="701"/>
    </row>
    <row r="28" spans="1:6" ht="15.75" customHeight="1" x14ac:dyDescent="0.25">
      <c r="A28" s="293"/>
      <c r="B28" s="135"/>
      <c r="C28" s="300"/>
      <c r="D28" s="300"/>
      <c r="E28" s="300"/>
      <c r="F28" s="309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80" orientation="portrait" horizontalDpi="1200" verticalDpi="1200"/>
  <headerFooter>
    <oddHeader>&amp;LOFFICE OF HEALTH CARE ACCESS&amp;CTWELVE MONTHS ACTUAL FILING&amp;RTHE HOSPITAL OF CENTRAL CONNECTICUT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SheetLayoutView="80" workbookViewId="0">
      <selection sqref="A1:F1"/>
    </sheetView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609</v>
      </c>
      <c r="B2" s="704"/>
      <c r="C2" s="704"/>
      <c r="D2" s="704"/>
      <c r="E2" s="704"/>
      <c r="F2" s="705"/>
    </row>
    <row r="3" spans="1:21" ht="15.75" customHeight="1" x14ac:dyDescent="0.25">
      <c r="A3" s="703" t="s">
        <v>610</v>
      </c>
      <c r="B3" s="704"/>
      <c r="C3" s="704"/>
      <c r="D3" s="704"/>
      <c r="E3" s="704"/>
      <c r="F3" s="705"/>
    </row>
    <row r="4" spans="1:21" ht="15.75" customHeight="1" x14ac:dyDescent="0.25">
      <c r="A4" s="706" t="s">
        <v>611</v>
      </c>
      <c r="B4" s="707"/>
      <c r="C4" s="707"/>
      <c r="D4" s="707"/>
      <c r="E4" s="707"/>
      <c r="F4" s="708"/>
    </row>
    <row r="5" spans="1:21" ht="15.75" customHeight="1" x14ac:dyDescent="0.25">
      <c r="A5" s="706" t="s">
        <v>612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613</v>
      </c>
      <c r="D7" s="341" t="s">
        <v>613</v>
      </c>
      <c r="E7" s="341" t="s">
        <v>614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615</v>
      </c>
      <c r="D8" s="344" t="s">
        <v>616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617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618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619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620</v>
      </c>
      <c r="C15" s="361">
        <v>254787684</v>
      </c>
      <c r="D15" s="361">
        <v>235878746</v>
      </c>
      <c r="E15" s="361">
        <f t="shared" ref="E15:E24" si="0">D15-C15</f>
        <v>-18908938</v>
      </c>
      <c r="F15" s="362">
        <f t="shared" ref="F15:F24" si="1">IF(C15=0,0,E15/C15)</f>
        <v>-7.4214489896615249E-2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621</v>
      </c>
      <c r="C16" s="361">
        <v>104104559</v>
      </c>
      <c r="D16" s="361">
        <v>100610285</v>
      </c>
      <c r="E16" s="361">
        <f t="shared" si="0"/>
        <v>-3494274</v>
      </c>
      <c r="F16" s="362">
        <f t="shared" si="1"/>
        <v>-3.3565043006425876E-2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622</v>
      </c>
      <c r="C17" s="366">
        <f>IF(C15=0,0,C16/C15)</f>
        <v>0.40859337219769226</v>
      </c>
      <c r="D17" s="366">
        <f>IF(LN_IA1=0,0,LN_IA2/LN_IA1)</f>
        <v>0.42653391501411492</v>
      </c>
      <c r="E17" s="367">
        <f t="shared" si="0"/>
        <v>1.7940542816422655E-2</v>
      </c>
      <c r="F17" s="362">
        <f t="shared" si="1"/>
        <v>4.3908061258865386E-2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9651</v>
      </c>
      <c r="D18" s="369">
        <v>8524</v>
      </c>
      <c r="E18" s="369">
        <f t="shared" si="0"/>
        <v>-1127</v>
      </c>
      <c r="F18" s="362">
        <f t="shared" si="1"/>
        <v>-0.11677546368251994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623</v>
      </c>
      <c r="C19" s="372">
        <v>1.3198799999999999</v>
      </c>
      <c r="D19" s="372">
        <v>1.3797999999999999</v>
      </c>
      <c r="E19" s="373">
        <f t="shared" si="0"/>
        <v>5.9919999999999973E-2</v>
      </c>
      <c r="F19" s="362">
        <f t="shared" si="1"/>
        <v>4.5398066490893091E-2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624</v>
      </c>
      <c r="C20" s="376">
        <f>C18*C19</f>
        <v>12738.16188</v>
      </c>
      <c r="D20" s="376">
        <f>LN_IA4*LN_IA5</f>
        <v>11761.415199999999</v>
      </c>
      <c r="E20" s="376">
        <f t="shared" si="0"/>
        <v>-976.7466800000002</v>
      </c>
      <c r="F20" s="362">
        <f t="shared" si="1"/>
        <v>-7.6678777456390762E-2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625</v>
      </c>
      <c r="C21" s="378">
        <f>IF(C20=0,0,C16/C20)</f>
        <v>8172.6515945328847</v>
      </c>
      <c r="D21" s="378">
        <f>IF(LN_IA6=0,0,LN_IA2/LN_IA6)</f>
        <v>8554.2669218921892</v>
      </c>
      <c r="E21" s="378">
        <f t="shared" si="0"/>
        <v>381.6153273593045</v>
      </c>
      <c r="F21" s="362">
        <f t="shared" si="1"/>
        <v>4.6694187675219996E-2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45378</v>
      </c>
      <c r="D22" s="369">
        <v>41020</v>
      </c>
      <c r="E22" s="369">
        <f t="shared" si="0"/>
        <v>-4358</v>
      </c>
      <c r="F22" s="362">
        <f t="shared" si="1"/>
        <v>-9.6037727533165848E-2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626</v>
      </c>
      <c r="C23" s="378">
        <f>IF(C22=0,0,C16/C22)</f>
        <v>2294.1636696196397</v>
      </c>
      <c r="D23" s="378">
        <f>IF(LN_IA8=0,0,LN_IA2/LN_IA8)</f>
        <v>2452.7129449049244</v>
      </c>
      <c r="E23" s="378">
        <f t="shared" si="0"/>
        <v>158.54927528528469</v>
      </c>
      <c r="F23" s="362">
        <f t="shared" si="1"/>
        <v>6.9109836139795267E-2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627</v>
      </c>
      <c r="C24" s="379">
        <f>IF(C18=0,0,C22/C18)</f>
        <v>4.7018961765620144</v>
      </c>
      <c r="D24" s="379">
        <f>IF(LN_IA4=0,0,LN_IA8/LN_IA4)</f>
        <v>4.8122946973251999</v>
      </c>
      <c r="E24" s="379">
        <f t="shared" si="0"/>
        <v>0.11039852076318546</v>
      </c>
      <c r="F24" s="362">
        <f t="shared" si="1"/>
        <v>2.3479574328650509E-2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628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629</v>
      </c>
      <c r="C27" s="361">
        <v>130399003</v>
      </c>
      <c r="D27" s="361">
        <v>150377303</v>
      </c>
      <c r="E27" s="361">
        <f t="shared" ref="E27:E32" si="2">D27-C27</f>
        <v>19978300</v>
      </c>
      <c r="F27" s="362">
        <f t="shared" ref="F27:F32" si="3">IF(C27=0,0,E27/C27)</f>
        <v>0.15320899347673694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630</v>
      </c>
      <c r="C28" s="361">
        <v>33644970</v>
      </c>
      <c r="D28" s="361">
        <v>40063849</v>
      </c>
      <c r="E28" s="361">
        <f t="shared" si="2"/>
        <v>6418879</v>
      </c>
      <c r="F28" s="362">
        <f t="shared" si="3"/>
        <v>0.19078272324213694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631</v>
      </c>
      <c r="C29" s="366">
        <f>IF(C27=0,0,C28/C27)</f>
        <v>0.2580155463305191</v>
      </c>
      <c r="D29" s="366">
        <f>IF(LN_IA11=0,0,LN_IA12/LN_IA11)</f>
        <v>0.26642218074625262</v>
      </c>
      <c r="E29" s="367">
        <f t="shared" si="2"/>
        <v>8.4066344157335271E-3</v>
      </c>
      <c r="F29" s="362">
        <f t="shared" si="3"/>
        <v>3.258189103444406E-2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632</v>
      </c>
      <c r="C30" s="366">
        <f>IF(C15=0,0,C27/C15)</f>
        <v>0.51179476555860526</v>
      </c>
      <c r="D30" s="366">
        <f>IF(LN_IA1=0,0,LN_IA11/LN_IA1)</f>
        <v>0.63751951182579203</v>
      </c>
      <c r="E30" s="367">
        <f t="shared" si="2"/>
        <v>0.12572474626718677</v>
      </c>
      <c r="F30" s="362">
        <f t="shared" si="3"/>
        <v>0.24565461534168451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633</v>
      </c>
      <c r="C31" s="376">
        <f>C30*C18</f>
        <v>4939.3312824060995</v>
      </c>
      <c r="D31" s="376">
        <f>LN_IA14*LN_IA4</f>
        <v>5434.2163188030509</v>
      </c>
      <c r="E31" s="376">
        <f t="shared" si="2"/>
        <v>494.88503639695136</v>
      </c>
      <c r="F31" s="362">
        <f t="shared" si="3"/>
        <v>0.10019272004688815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634</v>
      </c>
      <c r="C32" s="378">
        <f>IF(C31=0,0,C28/C31)</f>
        <v>6811.6447503416912</v>
      </c>
      <c r="D32" s="378">
        <f>IF(LN_IA15=0,0,LN_IA12/LN_IA15)</f>
        <v>7372.5164126010586</v>
      </c>
      <c r="E32" s="378">
        <f t="shared" si="2"/>
        <v>560.87166225936744</v>
      </c>
      <c r="F32" s="362">
        <f t="shared" si="3"/>
        <v>8.2340122366368645E-2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635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636</v>
      </c>
      <c r="C35" s="361">
        <f>C15+C27</f>
        <v>385186687</v>
      </c>
      <c r="D35" s="361">
        <f>LN_IA1+LN_IA11</f>
        <v>386256049</v>
      </c>
      <c r="E35" s="361">
        <f>D35-C35</f>
        <v>1069362</v>
      </c>
      <c r="F35" s="362">
        <f>IF(C35=0,0,E35/C35)</f>
        <v>2.7762174449191177E-3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637</v>
      </c>
      <c r="C36" s="361">
        <f>C16+C28</f>
        <v>137749529</v>
      </c>
      <c r="D36" s="361">
        <f>LN_IA2+LN_IA12</f>
        <v>140674134</v>
      </c>
      <c r="E36" s="361">
        <f>D36-C36</f>
        <v>2924605</v>
      </c>
      <c r="F36" s="362">
        <f>IF(C36=0,0,E36/C36)</f>
        <v>2.1231324863549988E-2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638</v>
      </c>
      <c r="C37" s="361">
        <f>C35-C36</f>
        <v>247437158</v>
      </c>
      <c r="D37" s="361">
        <f>LN_IA17-LN_IA18</f>
        <v>245581915</v>
      </c>
      <c r="E37" s="361">
        <f>D37-C37</f>
        <v>-1855243</v>
      </c>
      <c r="F37" s="362">
        <f>IF(C37=0,0,E37/C37)</f>
        <v>-7.4978350664696852E-3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639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640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620</v>
      </c>
      <c r="C42" s="361">
        <v>109193764</v>
      </c>
      <c r="D42" s="361">
        <v>99446573</v>
      </c>
      <c r="E42" s="361">
        <f t="shared" ref="E42:E53" si="4">D42-C42</f>
        <v>-9747191</v>
      </c>
      <c r="F42" s="362">
        <f t="shared" ref="F42:F53" si="5">IF(C42=0,0,E42/C42)</f>
        <v>-8.9265088434903661E-2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621</v>
      </c>
      <c r="C43" s="361">
        <v>69099679</v>
      </c>
      <c r="D43" s="361">
        <v>65274727</v>
      </c>
      <c r="E43" s="361">
        <f t="shared" si="4"/>
        <v>-3824952</v>
      </c>
      <c r="F43" s="362">
        <f t="shared" si="5"/>
        <v>-5.5354121109593001E-2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622</v>
      </c>
      <c r="C44" s="366">
        <f>IF(C42=0,0,C43/C42)</f>
        <v>0.63281708101938861</v>
      </c>
      <c r="D44" s="366">
        <f>IF(LN_IB1=0,0,LN_IB2/LN_IB1)</f>
        <v>0.65637985333089355</v>
      </c>
      <c r="E44" s="367">
        <f t="shared" si="4"/>
        <v>2.3562772311504943E-2</v>
      </c>
      <c r="F44" s="362">
        <f t="shared" si="5"/>
        <v>3.7234728673170903E-2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6033</v>
      </c>
      <c r="D45" s="369">
        <v>5345</v>
      </c>
      <c r="E45" s="369">
        <f t="shared" si="4"/>
        <v>-688</v>
      </c>
      <c r="F45" s="362">
        <f t="shared" si="5"/>
        <v>-0.11403944969335322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623</v>
      </c>
      <c r="C46" s="372">
        <v>1.09074</v>
      </c>
      <c r="D46" s="372">
        <v>1.0782</v>
      </c>
      <c r="E46" s="373">
        <f t="shared" si="4"/>
        <v>-1.2539999999999996E-2</v>
      </c>
      <c r="F46" s="362">
        <f t="shared" si="5"/>
        <v>-1.1496782001210184E-2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624</v>
      </c>
      <c r="C47" s="376">
        <f>C45*C46</f>
        <v>6580.4344200000005</v>
      </c>
      <c r="D47" s="376">
        <f>LN_IB4*LN_IB5</f>
        <v>5762.9790000000003</v>
      </c>
      <c r="E47" s="376">
        <f t="shared" si="4"/>
        <v>-817.45542000000023</v>
      </c>
      <c r="F47" s="362">
        <f t="shared" si="5"/>
        <v>-0.12422514500190097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625</v>
      </c>
      <c r="C48" s="378">
        <f>IF(C47=0,0,C43/C47)</f>
        <v>10500.777697895513</v>
      </c>
      <c r="D48" s="378">
        <f>IF(LN_IB6=0,0,LN_IB2/LN_IB6)</f>
        <v>11326.559926732338</v>
      </c>
      <c r="E48" s="378">
        <f t="shared" si="4"/>
        <v>825.78222883682429</v>
      </c>
      <c r="F48" s="362">
        <f t="shared" si="5"/>
        <v>7.8640101961431036E-2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641</v>
      </c>
      <c r="C49" s="378">
        <f>C21-C48</f>
        <v>-2328.1261033626288</v>
      </c>
      <c r="D49" s="378">
        <f>LN_IA7-LN_IB7</f>
        <v>-2772.2930048401486</v>
      </c>
      <c r="E49" s="378">
        <f t="shared" si="4"/>
        <v>-444.16690147751979</v>
      </c>
      <c r="F49" s="362">
        <f t="shared" si="5"/>
        <v>0.19078300820388869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642</v>
      </c>
      <c r="C50" s="391">
        <f>C49*C47</f>
        <v>-15320081.144667922</v>
      </c>
      <c r="D50" s="391">
        <f>LN_IB8*LN_IB6</f>
        <v>-15976666.368740676</v>
      </c>
      <c r="E50" s="391">
        <f t="shared" si="4"/>
        <v>-656585.22407275438</v>
      </c>
      <c r="F50" s="362">
        <f t="shared" si="5"/>
        <v>4.285781634396079E-2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19639</v>
      </c>
      <c r="D51" s="369">
        <v>17310</v>
      </c>
      <c r="E51" s="369">
        <f t="shared" si="4"/>
        <v>-2329</v>
      </c>
      <c r="F51" s="362">
        <f t="shared" si="5"/>
        <v>-0.11859055960079434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626</v>
      </c>
      <c r="C52" s="378">
        <f>IF(C51=0,0,C43/C51)</f>
        <v>3518.492744029737</v>
      </c>
      <c r="D52" s="378">
        <f>IF(LN_IB10=0,0,LN_IB2/LN_IB10)</f>
        <v>3770.9258809936455</v>
      </c>
      <c r="E52" s="378">
        <f t="shared" si="4"/>
        <v>252.43313696390851</v>
      </c>
      <c r="F52" s="362">
        <f t="shared" si="5"/>
        <v>7.1744680273177514E-2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627</v>
      </c>
      <c r="C53" s="379">
        <f>IF(C45=0,0,C51/C45)</f>
        <v>3.2552627216973313</v>
      </c>
      <c r="D53" s="379">
        <f>IF(LN_IB4=0,0,LN_IB10/LN_IB4)</f>
        <v>3.2385406922357345</v>
      </c>
      <c r="E53" s="379">
        <f t="shared" si="4"/>
        <v>-1.6722029461596843E-2</v>
      </c>
      <c r="F53" s="362">
        <f t="shared" si="5"/>
        <v>-5.1369216223745486E-3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643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629</v>
      </c>
      <c r="C56" s="361">
        <v>174035333</v>
      </c>
      <c r="D56" s="361">
        <v>185390734</v>
      </c>
      <c r="E56" s="361">
        <f t="shared" ref="E56:E63" si="6">D56-C56</f>
        <v>11355401</v>
      </c>
      <c r="F56" s="362">
        <f t="shared" ref="F56:F63" si="7">IF(C56=0,0,E56/C56)</f>
        <v>6.5247675884298736E-2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630</v>
      </c>
      <c r="C57" s="361">
        <v>105707671</v>
      </c>
      <c r="D57" s="361">
        <v>102839569</v>
      </c>
      <c r="E57" s="361">
        <f t="shared" si="6"/>
        <v>-2868102</v>
      </c>
      <c r="F57" s="362">
        <f t="shared" si="7"/>
        <v>-2.7132392312380054E-2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631</v>
      </c>
      <c r="C58" s="366">
        <f>IF(C56=0,0,C57/C56)</f>
        <v>0.6073920115980127</v>
      </c>
      <c r="D58" s="366">
        <f>IF(LN_IB13=0,0,LN_IB14/LN_IB13)</f>
        <v>0.55471795586072814</v>
      </c>
      <c r="E58" s="367">
        <f t="shared" si="6"/>
        <v>-5.2674055737284564E-2</v>
      </c>
      <c r="F58" s="362">
        <f t="shared" si="7"/>
        <v>-8.6721680120063177E-2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632</v>
      </c>
      <c r="C59" s="366">
        <f>IF(C42=0,0,C56/C42)</f>
        <v>1.5938211727915159</v>
      </c>
      <c r="D59" s="366">
        <f>IF(LN_IB1=0,0,LN_IB13/LN_IB1)</f>
        <v>1.8642244615106043</v>
      </c>
      <c r="E59" s="367">
        <f t="shared" si="6"/>
        <v>0.27040328871908836</v>
      </c>
      <c r="F59" s="362">
        <f t="shared" si="7"/>
        <v>0.16965723215076098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633</v>
      </c>
      <c r="C60" s="376">
        <f>C59*C45</f>
        <v>9615.5231354512161</v>
      </c>
      <c r="D60" s="376">
        <f>LN_IB16*LN_IB4</f>
        <v>9964.2797467741802</v>
      </c>
      <c r="E60" s="376">
        <f t="shared" si="6"/>
        <v>348.75661132296409</v>
      </c>
      <c r="F60" s="362">
        <f t="shared" si="7"/>
        <v>3.6270165066437481E-2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634</v>
      </c>
      <c r="C61" s="378">
        <f>IF(C60=0,0,C57/C60)</f>
        <v>10993.439411556215</v>
      </c>
      <c r="D61" s="378">
        <f>IF(LN_IB17=0,0,LN_IB14/LN_IB17)</f>
        <v>10320.823141611727</v>
      </c>
      <c r="E61" s="378">
        <f t="shared" si="6"/>
        <v>-672.61626994448852</v>
      </c>
      <c r="F61" s="362">
        <f t="shared" si="7"/>
        <v>-6.1183424473822058E-2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644</v>
      </c>
      <c r="C62" s="378">
        <f>C32-C61</f>
        <v>-4181.7946612145242</v>
      </c>
      <c r="D62" s="378">
        <f>LN_IA16-LN_IB18</f>
        <v>-2948.3067290106683</v>
      </c>
      <c r="E62" s="378">
        <f t="shared" si="6"/>
        <v>1233.487932203856</v>
      </c>
      <c r="F62" s="362">
        <f t="shared" si="7"/>
        <v>-0.29496616456189467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645</v>
      </c>
      <c r="C63" s="361">
        <f>C62*C60</f>
        <v>-40210143.312614635</v>
      </c>
      <c r="D63" s="361">
        <f>LN_IB19*LN_IB17</f>
        <v>-29377753.027159035</v>
      </c>
      <c r="E63" s="361">
        <f t="shared" si="6"/>
        <v>10832390.285455599</v>
      </c>
      <c r="F63" s="362">
        <f t="shared" si="7"/>
        <v>-0.26939447097313096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646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636</v>
      </c>
      <c r="C66" s="361">
        <f>C42+C56</f>
        <v>283229097</v>
      </c>
      <c r="D66" s="361">
        <f>LN_IB1+LN_IB13</f>
        <v>284837307</v>
      </c>
      <c r="E66" s="361">
        <f>D66-C66</f>
        <v>1608210</v>
      </c>
      <c r="F66" s="362">
        <f>IF(C66=0,0,E66/C66)</f>
        <v>5.6781242359431735E-3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637</v>
      </c>
      <c r="C67" s="361">
        <f>C43+C57</f>
        <v>174807350</v>
      </c>
      <c r="D67" s="361">
        <f>LN_IB2+LN_IB14</f>
        <v>168114296</v>
      </c>
      <c r="E67" s="361">
        <f>D67-C67</f>
        <v>-6693054</v>
      </c>
      <c r="F67" s="362">
        <f>IF(C67=0,0,E67/C67)</f>
        <v>-3.828817266550863E-2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638</v>
      </c>
      <c r="C68" s="361">
        <f>C66-C67</f>
        <v>108421747</v>
      </c>
      <c r="D68" s="361">
        <f>LN_IB21-LN_IB22</f>
        <v>116723011</v>
      </c>
      <c r="E68" s="361">
        <f>D68-C68</f>
        <v>8301264</v>
      </c>
      <c r="F68" s="362">
        <f>IF(C68=0,0,E68/C68)</f>
        <v>7.6564565962952066E-2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647</v>
      </c>
      <c r="C70" s="353">
        <f>C50+C63</f>
        <v>-55530224.457282558</v>
      </c>
      <c r="D70" s="353">
        <f>LN_IB9+LN_IB20</f>
        <v>-45354419.395899713</v>
      </c>
      <c r="E70" s="361">
        <f>D70-C70</f>
        <v>10175805.061382845</v>
      </c>
      <c r="F70" s="362">
        <f>IF(C70=0,0,E70/C70)</f>
        <v>-0.18324804484107088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648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649</v>
      </c>
      <c r="C73" s="400">
        <v>276564149</v>
      </c>
      <c r="D73" s="400">
        <v>277830167</v>
      </c>
      <c r="E73" s="400">
        <f>D73-C73</f>
        <v>1266018</v>
      </c>
      <c r="F73" s="401">
        <f>IF(C73=0,0,E73/C73)</f>
        <v>4.5776649091274664E-3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650</v>
      </c>
      <c r="C74" s="400">
        <v>168142403</v>
      </c>
      <c r="D74" s="400">
        <v>159661043</v>
      </c>
      <c r="E74" s="400">
        <f>D74-C74</f>
        <v>-8481360</v>
      </c>
      <c r="F74" s="401">
        <f>IF(C74=0,0,E74/C74)</f>
        <v>-5.0441529612253726E-2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651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652</v>
      </c>
      <c r="C76" s="353">
        <f>C73-C74</f>
        <v>108421746</v>
      </c>
      <c r="D76" s="353">
        <f>LN_IB32-LN_IB33</f>
        <v>118169124</v>
      </c>
      <c r="E76" s="400">
        <f>D76-C76</f>
        <v>9747378</v>
      </c>
      <c r="F76" s="401">
        <f>IF(C76=0,0,E76/C76)</f>
        <v>8.9902426031766722E-2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653</v>
      </c>
      <c r="C77" s="366">
        <f>IF(C73=0,0,C76/C73)</f>
        <v>0.3920310943845437</v>
      </c>
      <c r="D77" s="366">
        <f>IF(LN_IB1=0,0,LN_IB34/LN_IB32)</f>
        <v>0.42532862891019318</v>
      </c>
      <c r="E77" s="405">
        <f>D77-C77</f>
        <v>3.3297534525649486E-2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654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655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620</v>
      </c>
      <c r="C83" s="361">
        <v>3318356</v>
      </c>
      <c r="D83" s="361">
        <v>6962793</v>
      </c>
      <c r="E83" s="361">
        <f t="shared" ref="E83:E95" si="8">D83-C83</f>
        <v>3644437</v>
      </c>
      <c r="F83" s="362">
        <f t="shared" ref="F83:F95" si="9">IF(C83=0,0,E83/C83)</f>
        <v>1.0982658280184525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621</v>
      </c>
      <c r="C84" s="361">
        <v>516899</v>
      </c>
      <c r="D84" s="361">
        <v>2347104</v>
      </c>
      <c r="E84" s="361">
        <f t="shared" si="8"/>
        <v>1830205</v>
      </c>
      <c r="F84" s="362">
        <f t="shared" si="9"/>
        <v>3.5407400672084877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622</v>
      </c>
      <c r="C85" s="366">
        <f>IF(C83=0,0,C84/C83)</f>
        <v>0.15576960398462372</v>
      </c>
      <c r="D85" s="366">
        <f>IF(LN_IC1=0,0,LN_IC2/LN_IC1)</f>
        <v>0.33709231338630918</v>
      </c>
      <c r="E85" s="367">
        <f t="shared" si="8"/>
        <v>0.18132270940168546</v>
      </c>
      <c r="F85" s="362">
        <f t="shared" si="9"/>
        <v>1.1640442343268982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187</v>
      </c>
      <c r="D86" s="369">
        <v>200</v>
      </c>
      <c r="E86" s="369">
        <f t="shared" si="8"/>
        <v>13</v>
      </c>
      <c r="F86" s="362">
        <f t="shared" si="9"/>
        <v>6.9518716577540107E-2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623</v>
      </c>
      <c r="C87" s="372">
        <v>1.0122800000000001</v>
      </c>
      <c r="D87" s="372">
        <v>0.99860000000000004</v>
      </c>
      <c r="E87" s="373">
        <f t="shared" si="8"/>
        <v>-1.3680000000000025E-2</v>
      </c>
      <c r="F87" s="362">
        <f t="shared" si="9"/>
        <v>-1.3514047496740057E-2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624</v>
      </c>
      <c r="C88" s="376">
        <f>C86*C87</f>
        <v>189.29636000000002</v>
      </c>
      <c r="D88" s="376">
        <f>LN_IC4*LN_IC5</f>
        <v>199.72</v>
      </c>
      <c r="E88" s="376">
        <f t="shared" si="8"/>
        <v>10.423639999999978</v>
      </c>
      <c r="F88" s="362">
        <f t="shared" si="9"/>
        <v>5.5065189843058665E-2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625</v>
      </c>
      <c r="C89" s="378">
        <f>IF(C88=0,0,C84/C88)</f>
        <v>2730.6335948562346</v>
      </c>
      <c r="D89" s="378">
        <f>IF(LN_IC6=0,0,LN_IC2/LN_IC6)</f>
        <v>11751.972761866613</v>
      </c>
      <c r="E89" s="378">
        <f t="shared" si="8"/>
        <v>9021.3391670103774</v>
      </c>
      <c r="F89" s="362">
        <f t="shared" si="9"/>
        <v>3.3037530864646607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656</v>
      </c>
      <c r="C90" s="378">
        <f>C48-C89</f>
        <v>7770.1441030392789</v>
      </c>
      <c r="D90" s="378">
        <f>LN_IB7-LN_IC7</f>
        <v>-425.41283513427516</v>
      </c>
      <c r="E90" s="378">
        <f t="shared" si="8"/>
        <v>-8195.556938173555</v>
      </c>
      <c r="F90" s="362">
        <f t="shared" si="9"/>
        <v>-1.0547496712407014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657</v>
      </c>
      <c r="C91" s="378">
        <f>C21-C89</f>
        <v>5442.0179996766501</v>
      </c>
      <c r="D91" s="378">
        <f>LN_IA7-LN_IC7</f>
        <v>-3197.7058399744237</v>
      </c>
      <c r="E91" s="378">
        <f t="shared" si="8"/>
        <v>-8639.7238396510729</v>
      </c>
      <c r="F91" s="362">
        <f t="shared" si="9"/>
        <v>-1.5875956015148098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642</v>
      </c>
      <c r="C92" s="353">
        <f>C91*C88</f>
        <v>1030154.1983932712</v>
      </c>
      <c r="D92" s="353">
        <f>LN_IC9*LN_IC6</f>
        <v>-638645.81035969185</v>
      </c>
      <c r="E92" s="353">
        <f t="shared" si="8"/>
        <v>-1668800.008752963</v>
      </c>
      <c r="F92" s="362">
        <f t="shared" si="9"/>
        <v>-1.6199516648631691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548</v>
      </c>
      <c r="D93" s="369">
        <v>747</v>
      </c>
      <c r="E93" s="369">
        <f t="shared" si="8"/>
        <v>199</v>
      </c>
      <c r="F93" s="362">
        <f t="shared" si="9"/>
        <v>0.36313868613138683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626</v>
      </c>
      <c r="C94" s="411">
        <f>IF(C93=0,0,C84/C93)</f>
        <v>943.24635036496352</v>
      </c>
      <c r="D94" s="411">
        <f>IF(LN_IC11=0,0,LN_IC2/LN_IC11)</f>
        <v>3142.0401606425703</v>
      </c>
      <c r="E94" s="411">
        <f t="shared" si="8"/>
        <v>2198.793810277607</v>
      </c>
      <c r="F94" s="362">
        <f t="shared" si="9"/>
        <v>2.3310917762118493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627</v>
      </c>
      <c r="C95" s="379">
        <f>IF(C86=0,0,C93/C86)</f>
        <v>2.9304812834224601</v>
      </c>
      <c r="D95" s="379">
        <f>IF(LN_IC4=0,0,LN_IC11/LN_IC4)</f>
        <v>3.7349999999999999</v>
      </c>
      <c r="E95" s="379">
        <f t="shared" si="8"/>
        <v>0.80451871657753982</v>
      </c>
      <c r="F95" s="362">
        <f t="shared" si="9"/>
        <v>0.27453467153284661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658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629</v>
      </c>
      <c r="C98" s="361">
        <v>14252846</v>
      </c>
      <c r="D98" s="361">
        <v>16102691</v>
      </c>
      <c r="E98" s="361">
        <f t="shared" ref="E98:E106" si="10">D98-C98</f>
        <v>1849845</v>
      </c>
      <c r="F98" s="362">
        <f t="shared" ref="F98:F106" si="11">IF(C98=0,0,E98/C98)</f>
        <v>0.12978776308956119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630</v>
      </c>
      <c r="C99" s="361">
        <v>3015191</v>
      </c>
      <c r="D99" s="361">
        <v>2199511</v>
      </c>
      <c r="E99" s="361">
        <f t="shared" si="10"/>
        <v>-815680</v>
      </c>
      <c r="F99" s="362">
        <f t="shared" si="11"/>
        <v>-0.27052349254160019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631</v>
      </c>
      <c r="C100" s="366">
        <f>IF(C98=0,0,C99/C98)</f>
        <v>0.21155010023962934</v>
      </c>
      <c r="D100" s="366">
        <f>IF(LN_IC14=0,0,LN_IC15/LN_IC14)</f>
        <v>0.13659275955801425</v>
      </c>
      <c r="E100" s="367">
        <f t="shared" si="10"/>
        <v>-7.4957340681615081E-2</v>
      </c>
      <c r="F100" s="362">
        <f t="shared" si="11"/>
        <v>-0.35432429763308354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632</v>
      </c>
      <c r="C101" s="366">
        <f>IF(C83=0,0,C98/C83)</f>
        <v>4.2951527804732219</v>
      </c>
      <c r="D101" s="366">
        <f>IF(LN_IC1=0,0,LN_IC14/LN_IC1)</f>
        <v>2.3126769674181036</v>
      </c>
      <c r="E101" s="367">
        <f t="shared" si="10"/>
        <v>-1.9824758130551183</v>
      </c>
      <c r="F101" s="362">
        <f t="shared" si="11"/>
        <v>-0.46156118638385141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633</v>
      </c>
      <c r="C102" s="376">
        <f>C101*C86</f>
        <v>803.1935699484925</v>
      </c>
      <c r="D102" s="376">
        <f>LN_IC17*LN_IC4</f>
        <v>462.53539348362074</v>
      </c>
      <c r="E102" s="376">
        <f t="shared" si="10"/>
        <v>-340.65817646487176</v>
      </c>
      <c r="F102" s="362">
        <f t="shared" si="11"/>
        <v>-0.42412961110572339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634</v>
      </c>
      <c r="C103" s="378">
        <f>IF(C102=0,0,C99/C102)</f>
        <v>3754.0029113945216</v>
      </c>
      <c r="D103" s="378">
        <f>IF(LN_IC18=0,0,LN_IC15/LN_IC18)</f>
        <v>4755.3355505061236</v>
      </c>
      <c r="E103" s="378">
        <f t="shared" si="10"/>
        <v>1001.332639111602</v>
      </c>
      <c r="F103" s="362">
        <f t="shared" si="11"/>
        <v>0.26673731021152325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659</v>
      </c>
      <c r="C104" s="378">
        <f>C61-C103</f>
        <v>7239.4365001616934</v>
      </c>
      <c r="D104" s="378">
        <f>LN_IB18-LN_IC19</f>
        <v>5565.4875911056033</v>
      </c>
      <c r="E104" s="378">
        <f t="shared" si="10"/>
        <v>-1673.9489090560901</v>
      </c>
      <c r="F104" s="362">
        <f t="shared" si="11"/>
        <v>-0.23122640954426527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660</v>
      </c>
      <c r="C105" s="378">
        <f>C32-C103</f>
        <v>3057.6418389471696</v>
      </c>
      <c r="D105" s="378">
        <f>LN_IA16-LN_IC19</f>
        <v>2617.180862094935</v>
      </c>
      <c r="E105" s="378">
        <f t="shared" si="10"/>
        <v>-440.46097685223458</v>
      </c>
      <c r="F105" s="362">
        <f t="shared" si="11"/>
        <v>-0.14405250845334372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645</v>
      </c>
      <c r="C106" s="361">
        <f>C105*C102</f>
        <v>2455878.2642478505</v>
      </c>
      <c r="D106" s="361">
        <f>LN_IC21*LN_IC18</f>
        <v>1210538.7798668826</v>
      </c>
      <c r="E106" s="361">
        <f t="shared" si="10"/>
        <v>-1245339.4843809679</v>
      </c>
      <c r="F106" s="362">
        <f t="shared" si="11"/>
        <v>-0.50708518516994638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661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636</v>
      </c>
      <c r="C109" s="361">
        <f>C83+C98</f>
        <v>17571202</v>
      </c>
      <c r="D109" s="361">
        <f>LN_IC1+LN_IC14</f>
        <v>23065484</v>
      </c>
      <c r="E109" s="361">
        <f>D109-C109</f>
        <v>5494282</v>
      </c>
      <c r="F109" s="362">
        <f>IF(C109=0,0,E109/C109)</f>
        <v>0.31268674732667689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637</v>
      </c>
      <c r="C110" s="361">
        <f>C84+C99</f>
        <v>3532090</v>
      </c>
      <c r="D110" s="361">
        <f>LN_IC2+LN_IC15</f>
        <v>4546615</v>
      </c>
      <c r="E110" s="361">
        <f>D110-C110</f>
        <v>1014525</v>
      </c>
      <c r="F110" s="362">
        <f>IF(C110=0,0,E110/C110)</f>
        <v>0.28723078970241417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638</v>
      </c>
      <c r="C111" s="361">
        <f>C109-C110</f>
        <v>14039112</v>
      </c>
      <c r="D111" s="361">
        <f>LN_IC23-LN_IC24</f>
        <v>18518869</v>
      </c>
      <c r="E111" s="361">
        <f>D111-C111</f>
        <v>4479757</v>
      </c>
      <c r="F111" s="362">
        <f>IF(C111=0,0,E111/C111)</f>
        <v>0.31909119323216456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647</v>
      </c>
      <c r="C113" s="361">
        <f>C92+C106</f>
        <v>3486032.4626411218</v>
      </c>
      <c r="D113" s="361">
        <f>LN_IC10+LN_IC22</f>
        <v>571892.96950719075</v>
      </c>
      <c r="E113" s="361">
        <f>D113-C113</f>
        <v>-2914139.493133931</v>
      </c>
      <c r="F113" s="362">
        <f>IF(C113=0,0,E113/C113)</f>
        <v>-0.83594731958579993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333</v>
      </c>
      <c r="B115" s="356" t="s">
        <v>662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663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620</v>
      </c>
      <c r="C118" s="361">
        <v>78785125</v>
      </c>
      <c r="D118" s="361">
        <v>75640131</v>
      </c>
      <c r="E118" s="361">
        <f t="shared" ref="E118:E130" si="12">D118-C118</f>
        <v>-3144994</v>
      </c>
      <c r="F118" s="362">
        <f t="shared" ref="F118:F130" si="13">IF(C118=0,0,E118/C118)</f>
        <v>-3.9918626771233784E-2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621</v>
      </c>
      <c r="C119" s="361">
        <v>26215246</v>
      </c>
      <c r="D119" s="361">
        <v>22551461</v>
      </c>
      <c r="E119" s="361">
        <f t="shared" si="12"/>
        <v>-3663785</v>
      </c>
      <c r="F119" s="362">
        <f t="shared" si="13"/>
        <v>-0.1397577959024302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622</v>
      </c>
      <c r="C120" s="366">
        <f>IF(C118=0,0,C119/C118)</f>
        <v>0.33274359849019725</v>
      </c>
      <c r="D120" s="366">
        <f>IF(LN_ID1=0,0,LN_1D2/LN_ID1)</f>
        <v>0.29814148523883438</v>
      </c>
      <c r="E120" s="367">
        <f t="shared" si="12"/>
        <v>-3.4602113251362865E-2</v>
      </c>
      <c r="F120" s="362">
        <f t="shared" si="13"/>
        <v>-0.10399031989906864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4816</v>
      </c>
      <c r="D121" s="369">
        <v>4352</v>
      </c>
      <c r="E121" s="369">
        <f t="shared" si="12"/>
        <v>-464</v>
      </c>
      <c r="F121" s="362">
        <f t="shared" si="13"/>
        <v>-9.634551495016612E-2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623</v>
      </c>
      <c r="C122" s="372">
        <v>0.97274000000000005</v>
      </c>
      <c r="D122" s="372">
        <v>0.99860000000000004</v>
      </c>
      <c r="E122" s="373">
        <f t="shared" si="12"/>
        <v>2.5859999999999994E-2</v>
      </c>
      <c r="F122" s="362">
        <f t="shared" si="13"/>
        <v>2.6584698891790194E-2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624</v>
      </c>
      <c r="C123" s="376">
        <f>C121*C122</f>
        <v>4684.7158399999998</v>
      </c>
      <c r="D123" s="376">
        <f>LN_ID4*LN_ID5</f>
        <v>4345.9072000000006</v>
      </c>
      <c r="E123" s="376">
        <f t="shared" si="12"/>
        <v>-338.80863999999929</v>
      </c>
      <c r="F123" s="362">
        <f t="shared" si="13"/>
        <v>-7.2322132562900404E-2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625</v>
      </c>
      <c r="C124" s="378">
        <f>IF(C123=0,0,C119/C123)</f>
        <v>5595.9095269266109</v>
      </c>
      <c r="D124" s="378">
        <f>IF(LN_ID6=0,0,LN_1D2/LN_ID6)</f>
        <v>5189.1262197223168</v>
      </c>
      <c r="E124" s="378">
        <f t="shared" si="12"/>
        <v>-406.78330720429403</v>
      </c>
      <c r="F124" s="362">
        <f t="shared" si="13"/>
        <v>-7.2692974260380475E-2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664</v>
      </c>
      <c r="C125" s="378">
        <f>C48-C124</f>
        <v>4904.8681709689026</v>
      </c>
      <c r="D125" s="378">
        <f>LN_IB7-LN_ID7</f>
        <v>6137.433707010021</v>
      </c>
      <c r="E125" s="378">
        <f t="shared" si="12"/>
        <v>1232.5655360411183</v>
      </c>
      <c r="F125" s="362">
        <f t="shared" si="13"/>
        <v>0.25129432495993842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665</v>
      </c>
      <c r="C126" s="378">
        <f>C21-C124</f>
        <v>2576.7420676062738</v>
      </c>
      <c r="D126" s="378">
        <f>LN_IA7-LN_ID7</f>
        <v>3365.1407021698724</v>
      </c>
      <c r="E126" s="378">
        <f t="shared" si="12"/>
        <v>788.39863456359853</v>
      </c>
      <c r="F126" s="362">
        <f t="shared" si="13"/>
        <v>0.30596723066503911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642</v>
      </c>
      <c r="C127" s="391">
        <f>C126*C123</f>
        <v>12071304.379709462</v>
      </c>
      <c r="D127" s="391">
        <f>LN_ID9*LN_ID6</f>
        <v>14624589.206573106</v>
      </c>
      <c r="E127" s="391">
        <f t="shared" si="12"/>
        <v>2553284.8268636446</v>
      </c>
      <c r="F127" s="362">
        <f t="shared" si="13"/>
        <v>0.21151689548607824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17991</v>
      </c>
      <c r="D128" s="369">
        <v>18355</v>
      </c>
      <c r="E128" s="369">
        <f t="shared" si="12"/>
        <v>364</v>
      </c>
      <c r="F128" s="362">
        <f t="shared" si="13"/>
        <v>2.0232338391417932E-2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626</v>
      </c>
      <c r="C129" s="378">
        <f>IF(C128=0,0,C119/C128)</f>
        <v>1457.1311211161137</v>
      </c>
      <c r="D129" s="378">
        <f>IF(LN_ID11=0,0,LN_1D2/LN_ID11)</f>
        <v>1228.6276763824571</v>
      </c>
      <c r="E129" s="378">
        <f t="shared" si="12"/>
        <v>-228.50344473365658</v>
      </c>
      <c r="F129" s="362">
        <f t="shared" si="13"/>
        <v>-0.15681735255138232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627</v>
      </c>
      <c r="C130" s="379">
        <f>IF(C121=0,0,C128/C121)</f>
        <v>3.7356727574750832</v>
      </c>
      <c r="D130" s="379">
        <f>IF(LN_ID4=0,0,LN_ID11/LN_ID4)</f>
        <v>4.2176011029411766</v>
      </c>
      <c r="E130" s="379">
        <f t="shared" si="12"/>
        <v>0.48192834546609342</v>
      </c>
      <c r="F130" s="362">
        <f t="shared" si="13"/>
        <v>0.12900710976403235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666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629</v>
      </c>
      <c r="C133" s="361">
        <v>93414111</v>
      </c>
      <c r="D133" s="361">
        <v>112632134</v>
      </c>
      <c r="E133" s="361">
        <f t="shared" ref="E133:E141" si="14">D133-C133</f>
        <v>19218023</v>
      </c>
      <c r="F133" s="362">
        <f t="shared" ref="F133:F141" si="15">IF(C133=0,0,E133/C133)</f>
        <v>0.20572933568890892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630</v>
      </c>
      <c r="C134" s="361">
        <v>33165597</v>
      </c>
      <c r="D134" s="361">
        <v>33403197</v>
      </c>
      <c r="E134" s="361">
        <f t="shared" si="14"/>
        <v>237600</v>
      </c>
      <c r="F134" s="362">
        <f t="shared" si="15"/>
        <v>7.164050145094629E-3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631</v>
      </c>
      <c r="C135" s="366">
        <f>IF(C133=0,0,C134/C133)</f>
        <v>0.35503840527904829</v>
      </c>
      <c r="D135" s="366">
        <f>IF(LN_ID14=0,0,LN_ID15/LN_ID14)</f>
        <v>0.29656897915118968</v>
      </c>
      <c r="E135" s="367">
        <f t="shared" si="14"/>
        <v>-5.8469426127858604E-2</v>
      </c>
      <c r="F135" s="362">
        <f t="shared" si="15"/>
        <v>-0.16468479257026741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632</v>
      </c>
      <c r="C136" s="366">
        <f>IF(C118=0,0,C133/C118)</f>
        <v>1.1856820814842903</v>
      </c>
      <c r="D136" s="366">
        <f>IF(LN_ID1=0,0,LN_ID14/LN_ID1)</f>
        <v>1.4890526035709801</v>
      </c>
      <c r="E136" s="367">
        <f t="shared" si="14"/>
        <v>0.3033705220866898</v>
      </c>
      <c r="F136" s="362">
        <f t="shared" si="15"/>
        <v>0.2558616064324063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633</v>
      </c>
      <c r="C137" s="376">
        <f>C136*C121</f>
        <v>5710.2449044283421</v>
      </c>
      <c r="D137" s="376">
        <f>LN_ID17*LN_ID4</f>
        <v>6480.3569307409052</v>
      </c>
      <c r="E137" s="376">
        <f t="shared" si="14"/>
        <v>770.1120263125631</v>
      </c>
      <c r="F137" s="362">
        <f t="shared" si="15"/>
        <v>0.13486497325453325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634</v>
      </c>
      <c r="C138" s="378">
        <f>IF(C137=0,0,C134/C137)</f>
        <v>5808.0866153883881</v>
      </c>
      <c r="D138" s="378">
        <f>IF(LN_ID18=0,0,LN_ID15/LN_ID18)</f>
        <v>5154.5304304991396</v>
      </c>
      <c r="E138" s="378">
        <f t="shared" si="14"/>
        <v>-653.55618488924847</v>
      </c>
      <c r="F138" s="362">
        <f t="shared" si="15"/>
        <v>-0.11252521323591608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667</v>
      </c>
      <c r="C139" s="378">
        <f>C61-C138</f>
        <v>5185.3527961678274</v>
      </c>
      <c r="D139" s="378">
        <f>LN_IB18-LN_ID19</f>
        <v>5166.2927111125873</v>
      </c>
      <c r="E139" s="378">
        <f t="shared" si="14"/>
        <v>-19.060085055240052</v>
      </c>
      <c r="F139" s="362">
        <f t="shared" si="15"/>
        <v>-3.6757547276872228E-3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668</v>
      </c>
      <c r="C140" s="378">
        <f>C32-C138</f>
        <v>1003.5581349533031</v>
      </c>
      <c r="D140" s="378">
        <f>LN_IA16-LN_ID19</f>
        <v>2217.985982101919</v>
      </c>
      <c r="E140" s="378">
        <f t="shared" si="14"/>
        <v>1214.4278471486159</v>
      </c>
      <c r="F140" s="362">
        <f t="shared" si="15"/>
        <v>1.2101220695153099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645</v>
      </c>
      <c r="C141" s="353">
        <f>C140*C137</f>
        <v>5730562.7264147094</v>
      </c>
      <c r="D141" s="353">
        <f>LN_ID21*LN_ID18</f>
        <v>14373340.831400344</v>
      </c>
      <c r="E141" s="353">
        <f t="shared" si="14"/>
        <v>8642778.1049856357</v>
      </c>
      <c r="F141" s="362">
        <f t="shared" si="15"/>
        <v>1.5081901233097461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669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636</v>
      </c>
      <c r="C144" s="361">
        <f>C118+C133</f>
        <v>172199236</v>
      </c>
      <c r="D144" s="361">
        <f>LN_ID1+LN_ID14</f>
        <v>188272265</v>
      </c>
      <c r="E144" s="361">
        <f>D144-C144</f>
        <v>16073029</v>
      </c>
      <c r="F144" s="362">
        <f>IF(C144=0,0,E144/C144)</f>
        <v>9.3339723063579683E-2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637</v>
      </c>
      <c r="C145" s="361">
        <f>C119+C134</f>
        <v>59380843</v>
      </c>
      <c r="D145" s="361">
        <f>LN_1D2+LN_ID15</f>
        <v>55954658</v>
      </c>
      <c r="E145" s="361">
        <f>D145-C145</f>
        <v>-3426185</v>
      </c>
      <c r="F145" s="362">
        <f>IF(C145=0,0,E145/C145)</f>
        <v>-5.7698490403714879E-2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638</v>
      </c>
      <c r="C146" s="361">
        <f>C144-C145</f>
        <v>112818393</v>
      </c>
      <c r="D146" s="361">
        <f>LN_ID23-LN_ID24</f>
        <v>132317607</v>
      </c>
      <c r="E146" s="361">
        <f>D146-C146</f>
        <v>19499214</v>
      </c>
      <c r="F146" s="362">
        <f>IF(C146=0,0,E146/C146)</f>
        <v>0.17283718976567944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647</v>
      </c>
      <c r="C148" s="361">
        <f>C127+C141</f>
        <v>17801867.10612417</v>
      </c>
      <c r="D148" s="361">
        <f>LN_ID10+LN_ID22</f>
        <v>28997930.037973449</v>
      </c>
      <c r="E148" s="361">
        <f>D148-C148</f>
        <v>11196062.931849279</v>
      </c>
      <c r="F148" s="415">
        <f>IF(C148=0,0,E148/C148)</f>
        <v>0.62892632919372971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354</v>
      </c>
      <c r="B150" s="356" t="s">
        <v>670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671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620</v>
      </c>
      <c r="C153" s="361">
        <v>0</v>
      </c>
      <c r="D153" s="361">
        <v>0</v>
      </c>
      <c r="E153" s="361">
        <f t="shared" ref="E153:E165" si="16">D153-C153</f>
        <v>0</v>
      </c>
      <c r="F153" s="362">
        <f t="shared" ref="F153:F165" si="17">IF(C153=0,0,E153/C153)</f>
        <v>0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621</v>
      </c>
      <c r="C154" s="361">
        <v>0</v>
      </c>
      <c r="D154" s="361">
        <v>0</v>
      </c>
      <c r="E154" s="361">
        <f t="shared" si="16"/>
        <v>0</v>
      </c>
      <c r="F154" s="362">
        <f t="shared" si="17"/>
        <v>0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622</v>
      </c>
      <c r="C155" s="366">
        <f>IF(C153=0,0,C154/C153)</f>
        <v>0</v>
      </c>
      <c r="D155" s="366">
        <f>IF(LN_IE1=0,0,LN_IE2/LN_IE1)</f>
        <v>0</v>
      </c>
      <c r="E155" s="367">
        <f t="shared" si="16"/>
        <v>0</v>
      </c>
      <c r="F155" s="362">
        <f t="shared" si="17"/>
        <v>0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0</v>
      </c>
      <c r="D156" s="419">
        <v>0</v>
      </c>
      <c r="E156" s="419">
        <f t="shared" si="16"/>
        <v>0</v>
      </c>
      <c r="F156" s="362">
        <f t="shared" si="17"/>
        <v>0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623</v>
      </c>
      <c r="C157" s="372">
        <v>0</v>
      </c>
      <c r="D157" s="372">
        <v>0</v>
      </c>
      <c r="E157" s="373">
        <f t="shared" si="16"/>
        <v>0</v>
      </c>
      <c r="F157" s="362">
        <f t="shared" si="17"/>
        <v>0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624</v>
      </c>
      <c r="C158" s="376">
        <f>C156*C157</f>
        <v>0</v>
      </c>
      <c r="D158" s="376">
        <f>LN_IE4*LN_IE5</f>
        <v>0</v>
      </c>
      <c r="E158" s="376">
        <f t="shared" si="16"/>
        <v>0</v>
      </c>
      <c r="F158" s="362">
        <f t="shared" si="17"/>
        <v>0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625</v>
      </c>
      <c r="C159" s="378">
        <f>IF(C158=0,0,C154/C158)</f>
        <v>0</v>
      </c>
      <c r="D159" s="378">
        <f>IF(LN_IE6=0,0,LN_IE2/LN_IE6)</f>
        <v>0</v>
      </c>
      <c r="E159" s="378">
        <f t="shared" si="16"/>
        <v>0</v>
      </c>
      <c r="F159" s="362">
        <f t="shared" si="17"/>
        <v>0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672</v>
      </c>
      <c r="C160" s="378">
        <f>C48-C159</f>
        <v>10500.777697895513</v>
      </c>
      <c r="D160" s="378">
        <f>LN_IB7-LN_IE7</f>
        <v>11326.559926732338</v>
      </c>
      <c r="E160" s="378">
        <f t="shared" si="16"/>
        <v>825.78222883682429</v>
      </c>
      <c r="F160" s="362">
        <f t="shared" si="17"/>
        <v>7.8640101961431036E-2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673</v>
      </c>
      <c r="C161" s="378">
        <f>C21-C159</f>
        <v>8172.6515945328847</v>
      </c>
      <c r="D161" s="378">
        <f>LN_IA7-LN_IE7</f>
        <v>8554.2669218921892</v>
      </c>
      <c r="E161" s="378">
        <f t="shared" si="16"/>
        <v>381.6153273593045</v>
      </c>
      <c r="F161" s="362">
        <f t="shared" si="17"/>
        <v>4.6694187675219996E-2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642</v>
      </c>
      <c r="C162" s="391">
        <f>C161*C158</f>
        <v>0</v>
      </c>
      <c r="D162" s="391">
        <f>LN_IE9*LN_IE6</f>
        <v>0</v>
      </c>
      <c r="E162" s="391">
        <f t="shared" si="16"/>
        <v>0</v>
      </c>
      <c r="F162" s="362">
        <f t="shared" si="17"/>
        <v>0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0</v>
      </c>
      <c r="D163" s="369">
        <v>0</v>
      </c>
      <c r="E163" s="419">
        <f t="shared" si="16"/>
        <v>0</v>
      </c>
      <c r="F163" s="362">
        <f t="shared" si="17"/>
        <v>0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626</v>
      </c>
      <c r="C164" s="378">
        <f>IF(C163=0,0,C154/C163)</f>
        <v>0</v>
      </c>
      <c r="D164" s="378">
        <f>IF(LN_IE11=0,0,LN_IE2/LN_IE11)</f>
        <v>0</v>
      </c>
      <c r="E164" s="378">
        <f t="shared" si="16"/>
        <v>0</v>
      </c>
      <c r="F164" s="362">
        <f t="shared" si="17"/>
        <v>0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627</v>
      </c>
      <c r="C165" s="379">
        <f>IF(C156=0,0,C163/C156)</f>
        <v>0</v>
      </c>
      <c r="D165" s="379">
        <f>IF(LN_IE4=0,0,LN_IE11/LN_IE4)</f>
        <v>0</v>
      </c>
      <c r="E165" s="379">
        <f t="shared" si="16"/>
        <v>0</v>
      </c>
      <c r="F165" s="362">
        <f t="shared" si="17"/>
        <v>0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674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629</v>
      </c>
      <c r="C168" s="424">
        <v>0</v>
      </c>
      <c r="D168" s="424">
        <v>0</v>
      </c>
      <c r="E168" s="424">
        <f t="shared" ref="E168:E176" si="18">D168-C168</f>
        <v>0</v>
      </c>
      <c r="F168" s="362">
        <f t="shared" ref="F168:F176" si="19">IF(C168=0,0,E168/C168)</f>
        <v>0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630</v>
      </c>
      <c r="C169" s="424">
        <v>0</v>
      </c>
      <c r="D169" s="424">
        <v>0</v>
      </c>
      <c r="E169" s="424">
        <f t="shared" si="18"/>
        <v>0</v>
      </c>
      <c r="F169" s="362">
        <f t="shared" si="19"/>
        <v>0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631</v>
      </c>
      <c r="C170" s="366">
        <f>IF(C168=0,0,C169/C168)</f>
        <v>0</v>
      </c>
      <c r="D170" s="366">
        <f>IF(LN_IE14=0,0,LN_IE15/LN_IE14)</f>
        <v>0</v>
      </c>
      <c r="E170" s="367">
        <f t="shared" si="18"/>
        <v>0</v>
      </c>
      <c r="F170" s="362">
        <f t="shared" si="19"/>
        <v>0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632</v>
      </c>
      <c r="C171" s="366">
        <f>IF(C153=0,0,C168/C153)</f>
        <v>0</v>
      </c>
      <c r="D171" s="366">
        <f>IF(LN_IE1=0,0,LN_IE14/LN_IE1)</f>
        <v>0</v>
      </c>
      <c r="E171" s="367">
        <f t="shared" si="18"/>
        <v>0</v>
      </c>
      <c r="F171" s="362">
        <f t="shared" si="19"/>
        <v>0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633</v>
      </c>
      <c r="C172" s="376">
        <f>C171*C156</f>
        <v>0</v>
      </c>
      <c r="D172" s="376">
        <f>LN_IE17*LN_IE4</f>
        <v>0</v>
      </c>
      <c r="E172" s="376">
        <f t="shared" si="18"/>
        <v>0</v>
      </c>
      <c r="F172" s="362">
        <f t="shared" si="19"/>
        <v>0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634</v>
      </c>
      <c r="C173" s="378">
        <f>IF(C172=0,0,C169/C172)</f>
        <v>0</v>
      </c>
      <c r="D173" s="378">
        <f>IF(LN_IE18=0,0,LN_IE15/LN_IE18)</f>
        <v>0</v>
      </c>
      <c r="E173" s="378">
        <f t="shared" si="18"/>
        <v>0</v>
      </c>
      <c r="F173" s="362">
        <f t="shared" si="19"/>
        <v>0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675</v>
      </c>
      <c r="C174" s="378">
        <f>C61-C173</f>
        <v>10993.439411556215</v>
      </c>
      <c r="D174" s="378">
        <f>LN_IB18-LN_IE19</f>
        <v>10320.823141611727</v>
      </c>
      <c r="E174" s="378">
        <f t="shared" si="18"/>
        <v>-672.61626994448852</v>
      </c>
      <c r="F174" s="362">
        <f t="shared" si="19"/>
        <v>-6.1183424473822058E-2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676</v>
      </c>
      <c r="C175" s="378">
        <f>C32-C173</f>
        <v>6811.6447503416912</v>
      </c>
      <c r="D175" s="378">
        <f>LN_IA16-LN_IE19</f>
        <v>7372.5164126010586</v>
      </c>
      <c r="E175" s="378">
        <f t="shared" si="18"/>
        <v>560.87166225936744</v>
      </c>
      <c r="F175" s="362">
        <f t="shared" si="19"/>
        <v>8.2340122366368645E-2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645</v>
      </c>
      <c r="C176" s="353">
        <f>C175*C172</f>
        <v>0</v>
      </c>
      <c r="D176" s="353">
        <f>LN_IE21*LN_IE18</f>
        <v>0</v>
      </c>
      <c r="E176" s="353">
        <f t="shared" si="18"/>
        <v>0</v>
      </c>
      <c r="F176" s="362">
        <f t="shared" si="19"/>
        <v>0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677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636</v>
      </c>
      <c r="C179" s="361">
        <f>C153+C168</f>
        <v>0</v>
      </c>
      <c r="D179" s="361">
        <f>LN_IE1+LN_IE14</f>
        <v>0</v>
      </c>
      <c r="E179" s="361">
        <f>D179-C179</f>
        <v>0</v>
      </c>
      <c r="F179" s="362">
        <f>IF(C179=0,0,E179/C179)</f>
        <v>0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637</v>
      </c>
      <c r="C180" s="361">
        <f>C154+C169</f>
        <v>0</v>
      </c>
      <c r="D180" s="361">
        <f>LN_IE15+LN_IE2</f>
        <v>0</v>
      </c>
      <c r="E180" s="361">
        <f>D180-C180</f>
        <v>0</v>
      </c>
      <c r="F180" s="362">
        <f>IF(C180=0,0,E180/C180)</f>
        <v>0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638</v>
      </c>
      <c r="C181" s="361">
        <f>C179-C180</f>
        <v>0</v>
      </c>
      <c r="D181" s="361">
        <f>LN_IE23-LN_IE24</f>
        <v>0</v>
      </c>
      <c r="E181" s="361">
        <f>D181-C181</f>
        <v>0</v>
      </c>
      <c r="F181" s="362">
        <f>IF(C181=0,0,E181/C181)</f>
        <v>0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678</v>
      </c>
      <c r="C183" s="361">
        <f>C162+C176</f>
        <v>0</v>
      </c>
      <c r="D183" s="361">
        <f>LN_IE10+LN_IE22</f>
        <v>0</v>
      </c>
      <c r="E183" s="353">
        <f>D183-C183</f>
        <v>0</v>
      </c>
      <c r="F183" s="362">
        <f>IF(C183=0,0,E183/C183)</f>
        <v>0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366</v>
      </c>
      <c r="B185" s="356" t="s">
        <v>679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680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620</v>
      </c>
      <c r="C188" s="361">
        <f>C118+C153</f>
        <v>78785125</v>
      </c>
      <c r="D188" s="361">
        <f>LN_ID1+LN_IE1</f>
        <v>75640131</v>
      </c>
      <c r="E188" s="361">
        <f t="shared" ref="E188:E200" si="20">D188-C188</f>
        <v>-3144994</v>
      </c>
      <c r="F188" s="362">
        <f t="shared" ref="F188:F200" si="21">IF(C188=0,0,E188/C188)</f>
        <v>-3.9918626771233784E-2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621</v>
      </c>
      <c r="C189" s="361">
        <f>C119+C154</f>
        <v>26215246</v>
      </c>
      <c r="D189" s="361">
        <f>LN_1D2+LN_IE2</f>
        <v>22551461</v>
      </c>
      <c r="E189" s="361">
        <f t="shared" si="20"/>
        <v>-3663785</v>
      </c>
      <c r="F189" s="362">
        <f t="shared" si="21"/>
        <v>-0.1397577959024302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622</v>
      </c>
      <c r="C190" s="366">
        <f>IF(C188=0,0,C189/C188)</f>
        <v>0.33274359849019725</v>
      </c>
      <c r="D190" s="366">
        <f>IF(LN_IF1=0,0,LN_IF2/LN_IF1)</f>
        <v>0.29814148523883438</v>
      </c>
      <c r="E190" s="367">
        <f t="shared" si="20"/>
        <v>-3.4602113251362865E-2</v>
      </c>
      <c r="F190" s="362">
        <f t="shared" si="21"/>
        <v>-0.10399031989906864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4816</v>
      </c>
      <c r="D191" s="369">
        <f>LN_ID4+LN_IE4</f>
        <v>4352</v>
      </c>
      <c r="E191" s="369">
        <f t="shared" si="20"/>
        <v>-464</v>
      </c>
      <c r="F191" s="362">
        <f t="shared" si="21"/>
        <v>-9.634551495016612E-2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623</v>
      </c>
      <c r="C192" s="372">
        <f>IF((C121+C156)=0,0,(C123+C158)/(C121+C156))</f>
        <v>0.97273999999999994</v>
      </c>
      <c r="D192" s="372">
        <f>IF((LN_ID4+LN_IE4)=0,0,(LN_ID6+LN_IE6)/(LN_ID4+LN_IE4))</f>
        <v>0.99860000000000015</v>
      </c>
      <c r="E192" s="373">
        <f t="shared" si="20"/>
        <v>2.5860000000000216E-2</v>
      </c>
      <c r="F192" s="362">
        <f t="shared" si="21"/>
        <v>2.6584698891790423E-2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624</v>
      </c>
      <c r="C193" s="376">
        <f>C123+C158</f>
        <v>4684.7158399999998</v>
      </c>
      <c r="D193" s="376">
        <f>LN_IF4*LN_IF5</f>
        <v>4345.9072000000006</v>
      </c>
      <c r="E193" s="376">
        <f t="shared" si="20"/>
        <v>-338.80863999999929</v>
      </c>
      <c r="F193" s="362">
        <f t="shared" si="21"/>
        <v>-7.2322132562900404E-2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625</v>
      </c>
      <c r="C194" s="378">
        <f>IF(C193=0,0,C189/C193)</f>
        <v>5595.9095269266109</v>
      </c>
      <c r="D194" s="378">
        <f>IF(LN_IF6=0,0,LN_IF2/LN_IF6)</f>
        <v>5189.1262197223168</v>
      </c>
      <c r="E194" s="378">
        <f t="shared" si="20"/>
        <v>-406.78330720429403</v>
      </c>
      <c r="F194" s="362">
        <f t="shared" si="21"/>
        <v>-7.2692974260380475E-2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681</v>
      </c>
      <c r="C195" s="378">
        <f>C48-C194</f>
        <v>4904.8681709689026</v>
      </c>
      <c r="D195" s="378">
        <f>LN_IB7-LN_IF7</f>
        <v>6137.433707010021</v>
      </c>
      <c r="E195" s="378">
        <f t="shared" si="20"/>
        <v>1232.5655360411183</v>
      </c>
      <c r="F195" s="362">
        <f t="shared" si="21"/>
        <v>0.25129432495993842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682</v>
      </c>
      <c r="C196" s="378">
        <f>C21-C194</f>
        <v>2576.7420676062738</v>
      </c>
      <c r="D196" s="378">
        <f>LN_IA7-LN_IF7</f>
        <v>3365.1407021698724</v>
      </c>
      <c r="E196" s="378">
        <f t="shared" si="20"/>
        <v>788.39863456359853</v>
      </c>
      <c r="F196" s="362">
        <f t="shared" si="21"/>
        <v>0.30596723066503911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642</v>
      </c>
      <c r="C197" s="391">
        <f>C127+C162</f>
        <v>12071304.379709462</v>
      </c>
      <c r="D197" s="391">
        <f>LN_IF9*LN_IF6</f>
        <v>14624589.206573106</v>
      </c>
      <c r="E197" s="391">
        <f t="shared" si="20"/>
        <v>2553284.8268636446</v>
      </c>
      <c r="F197" s="362">
        <f t="shared" si="21"/>
        <v>0.21151689548607824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17991</v>
      </c>
      <c r="D198" s="369">
        <f>LN_ID11+LN_IE11</f>
        <v>18355</v>
      </c>
      <c r="E198" s="369">
        <f t="shared" si="20"/>
        <v>364</v>
      </c>
      <c r="F198" s="362">
        <f t="shared" si="21"/>
        <v>2.0232338391417932E-2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626</v>
      </c>
      <c r="C199" s="432">
        <f>IF(C198=0,0,C189/C198)</f>
        <v>1457.1311211161137</v>
      </c>
      <c r="D199" s="432">
        <f>IF(LN_IF11=0,0,LN_IF2/LN_IF11)</f>
        <v>1228.6276763824571</v>
      </c>
      <c r="E199" s="432">
        <f t="shared" si="20"/>
        <v>-228.50344473365658</v>
      </c>
      <c r="F199" s="362">
        <f t="shared" si="21"/>
        <v>-0.15681735255138232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627</v>
      </c>
      <c r="C200" s="379">
        <f>IF(C191=0,0,C198/C191)</f>
        <v>3.7356727574750832</v>
      </c>
      <c r="D200" s="379">
        <f>IF(LN_IF4=0,0,LN_IF11/LN_IF4)</f>
        <v>4.2176011029411766</v>
      </c>
      <c r="E200" s="379">
        <f t="shared" si="20"/>
        <v>0.48192834546609342</v>
      </c>
      <c r="F200" s="362">
        <f t="shared" si="21"/>
        <v>0.12900710976403235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683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629</v>
      </c>
      <c r="C203" s="361">
        <f>C133+C168</f>
        <v>93414111</v>
      </c>
      <c r="D203" s="361">
        <f>LN_ID14+LN_IE14</f>
        <v>112632134</v>
      </c>
      <c r="E203" s="361">
        <f t="shared" ref="E203:E211" si="22">D203-C203</f>
        <v>19218023</v>
      </c>
      <c r="F203" s="362">
        <f t="shared" ref="F203:F211" si="23">IF(C203=0,0,E203/C203)</f>
        <v>0.20572933568890892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630</v>
      </c>
      <c r="C204" s="361">
        <f>C134+C169</f>
        <v>33165597</v>
      </c>
      <c r="D204" s="361">
        <f>LN_ID15+LN_IE15</f>
        <v>33403197</v>
      </c>
      <c r="E204" s="361">
        <f t="shared" si="22"/>
        <v>237600</v>
      </c>
      <c r="F204" s="362">
        <f t="shared" si="23"/>
        <v>7.164050145094629E-3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631</v>
      </c>
      <c r="C205" s="366">
        <f>IF(C203=0,0,C204/C203)</f>
        <v>0.35503840527904829</v>
      </c>
      <c r="D205" s="366">
        <f>IF(LN_IF14=0,0,LN_IF15/LN_IF14)</f>
        <v>0.29656897915118968</v>
      </c>
      <c r="E205" s="367">
        <f t="shared" si="22"/>
        <v>-5.8469426127858604E-2</v>
      </c>
      <c r="F205" s="362">
        <f t="shared" si="23"/>
        <v>-0.16468479257026741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632</v>
      </c>
      <c r="C206" s="366">
        <f>IF(C188=0,0,C203/C188)</f>
        <v>1.1856820814842903</v>
      </c>
      <c r="D206" s="366">
        <f>IF(LN_IF1=0,0,LN_IF14/LN_IF1)</f>
        <v>1.4890526035709801</v>
      </c>
      <c r="E206" s="367">
        <f t="shared" si="22"/>
        <v>0.3033705220866898</v>
      </c>
      <c r="F206" s="362">
        <f t="shared" si="23"/>
        <v>0.2558616064324063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633</v>
      </c>
      <c r="C207" s="376">
        <f>C137+C172</f>
        <v>5710.2449044283421</v>
      </c>
      <c r="D207" s="376">
        <f>LN_ID18+LN_IE18</f>
        <v>6480.3569307409052</v>
      </c>
      <c r="E207" s="376">
        <f t="shared" si="22"/>
        <v>770.1120263125631</v>
      </c>
      <c r="F207" s="362">
        <f t="shared" si="23"/>
        <v>0.13486497325453325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634</v>
      </c>
      <c r="C208" s="378">
        <f>IF(C207=0,0,C204/C207)</f>
        <v>5808.0866153883881</v>
      </c>
      <c r="D208" s="378">
        <f>IF(LN_IF18=0,0,LN_IF15/LN_IF18)</f>
        <v>5154.5304304991396</v>
      </c>
      <c r="E208" s="378">
        <f t="shared" si="22"/>
        <v>-653.55618488924847</v>
      </c>
      <c r="F208" s="362">
        <f t="shared" si="23"/>
        <v>-0.11252521323591608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684</v>
      </c>
      <c r="C209" s="378">
        <f>C61-C208</f>
        <v>5185.3527961678274</v>
      </c>
      <c r="D209" s="378">
        <f>LN_IB18-LN_IF19</f>
        <v>5166.2927111125873</v>
      </c>
      <c r="E209" s="378">
        <f t="shared" si="22"/>
        <v>-19.060085055240052</v>
      </c>
      <c r="F209" s="362">
        <f t="shared" si="23"/>
        <v>-3.6757547276872228E-3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685</v>
      </c>
      <c r="C210" s="378">
        <f>C32-C208</f>
        <v>1003.5581349533031</v>
      </c>
      <c r="D210" s="378">
        <f>LN_IA16-LN_IF19</f>
        <v>2217.985982101919</v>
      </c>
      <c r="E210" s="378">
        <f t="shared" si="22"/>
        <v>1214.4278471486159</v>
      </c>
      <c r="F210" s="362">
        <f t="shared" si="23"/>
        <v>1.2101220695153099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645</v>
      </c>
      <c r="C211" s="391">
        <f>C141+C176</f>
        <v>5730562.7264147094</v>
      </c>
      <c r="D211" s="353">
        <f>LN_IF21*LN_IF18</f>
        <v>14373340.831400344</v>
      </c>
      <c r="E211" s="353">
        <f t="shared" si="22"/>
        <v>8642778.1049856357</v>
      </c>
      <c r="F211" s="362">
        <f t="shared" si="23"/>
        <v>1.5081901233097461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686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636</v>
      </c>
      <c r="C214" s="361">
        <f>C188+C203</f>
        <v>172199236</v>
      </c>
      <c r="D214" s="361">
        <f>LN_IF1+LN_IF14</f>
        <v>188272265</v>
      </c>
      <c r="E214" s="361">
        <f>D214-C214</f>
        <v>16073029</v>
      </c>
      <c r="F214" s="362">
        <f>IF(C214=0,0,E214/C214)</f>
        <v>9.3339723063579683E-2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637</v>
      </c>
      <c r="C215" s="361">
        <f>C189+C204</f>
        <v>59380843</v>
      </c>
      <c r="D215" s="361">
        <f>LN_IF2+LN_IF15</f>
        <v>55954658</v>
      </c>
      <c r="E215" s="361">
        <f>D215-C215</f>
        <v>-3426185</v>
      </c>
      <c r="F215" s="362">
        <f>IF(C215=0,0,E215/C215)</f>
        <v>-5.7698490403714879E-2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638</v>
      </c>
      <c r="C216" s="361">
        <f>C214-C215</f>
        <v>112818393</v>
      </c>
      <c r="D216" s="361">
        <f>LN_IF23-LN_IF24</f>
        <v>132317607</v>
      </c>
      <c r="E216" s="361">
        <f>D216-C216</f>
        <v>19499214</v>
      </c>
      <c r="F216" s="362">
        <f>IF(C216=0,0,E216/C216)</f>
        <v>0.17283718976567944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378</v>
      </c>
      <c r="B218" s="356" t="s">
        <v>687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688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620</v>
      </c>
      <c r="C221" s="361">
        <v>513067</v>
      </c>
      <c r="D221" s="361">
        <v>511703</v>
      </c>
      <c r="E221" s="361">
        <f t="shared" ref="E221:E230" si="24">D221-C221</f>
        <v>-1364</v>
      </c>
      <c r="F221" s="362">
        <f t="shared" ref="F221:F230" si="25">IF(C221=0,0,E221/C221)</f>
        <v>-2.6585221813135518E-3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621</v>
      </c>
      <c r="C222" s="361">
        <v>267040</v>
      </c>
      <c r="D222" s="361">
        <v>246372</v>
      </c>
      <c r="E222" s="361">
        <f t="shared" si="24"/>
        <v>-20668</v>
      </c>
      <c r="F222" s="362">
        <f t="shared" si="25"/>
        <v>-7.7396644697423606E-2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622</v>
      </c>
      <c r="C223" s="366">
        <f>IF(C221=0,0,C222/C221)</f>
        <v>0.52047783232989064</v>
      </c>
      <c r="D223" s="366">
        <f>IF(LN_IG1=0,0,LN_IG2/LN_IG1)</f>
        <v>0.48147460538632764</v>
      </c>
      <c r="E223" s="367">
        <f t="shared" si="24"/>
        <v>-3.9003226943563007E-2</v>
      </c>
      <c r="F223" s="362">
        <f t="shared" si="25"/>
        <v>-7.4937345110294498E-2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46</v>
      </c>
      <c r="D224" s="369">
        <v>31</v>
      </c>
      <c r="E224" s="369">
        <f t="shared" si="24"/>
        <v>-15</v>
      </c>
      <c r="F224" s="362">
        <f t="shared" si="25"/>
        <v>-0.32608695652173914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623</v>
      </c>
      <c r="C225" s="372">
        <v>0.76080999999999999</v>
      </c>
      <c r="D225" s="372">
        <v>1.1358999999999999</v>
      </c>
      <c r="E225" s="373">
        <f t="shared" si="24"/>
        <v>0.37508999999999992</v>
      </c>
      <c r="F225" s="362">
        <f t="shared" si="25"/>
        <v>0.4930140245264914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624</v>
      </c>
      <c r="C226" s="376">
        <f>C224*C225</f>
        <v>34.997259999999997</v>
      </c>
      <c r="D226" s="376">
        <f>LN_IG3*LN_IG4</f>
        <v>35.212899999999998</v>
      </c>
      <c r="E226" s="376">
        <f t="shared" si="24"/>
        <v>0.2156400000000005</v>
      </c>
      <c r="F226" s="362">
        <f t="shared" si="25"/>
        <v>6.1616252243747232E-3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625</v>
      </c>
      <c r="C227" s="378">
        <f>IF(C226=0,0,C222/C226)</f>
        <v>7630.3116301104719</v>
      </c>
      <c r="D227" s="378">
        <f>IF(LN_IG5=0,0,LN_IG2/LN_IG5)</f>
        <v>6996.6404357493993</v>
      </c>
      <c r="E227" s="378">
        <f t="shared" si="24"/>
        <v>-633.67119436107259</v>
      </c>
      <c r="F227" s="362">
        <f t="shared" si="25"/>
        <v>-8.3046568093038453E-2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129</v>
      </c>
      <c r="D228" s="369">
        <v>86</v>
      </c>
      <c r="E228" s="369">
        <f t="shared" si="24"/>
        <v>-43</v>
      </c>
      <c r="F228" s="362">
        <f t="shared" si="25"/>
        <v>-0.33333333333333331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626</v>
      </c>
      <c r="C229" s="378">
        <f>IF(C228=0,0,C222/C228)</f>
        <v>2070.0775193798449</v>
      </c>
      <c r="D229" s="378">
        <f>IF(LN_IG6=0,0,LN_IG2/LN_IG6)</f>
        <v>2864.7906976744184</v>
      </c>
      <c r="E229" s="378">
        <f t="shared" si="24"/>
        <v>794.71317829457348</v>
      </c>
      <c r="F229" s="362">
        <f t="shared" si="25"/>
        <v>0.38390503295386452</v>
      </c>
      <c r="Q229" s="330"/>
      <c r="U229" s="375"/>
    </row>
    <row r="230" spans="1:21" ht="11.25" customHeight="1" x14ac:dyDescent="0.2">
      <c r="A230" s="364">
        <v>10</v>
      </c>
      <c r="B230" s="360" t="s">
        <v>627</v>
      </c>
      <c r="C230" s="379">
        <f>IF(C224=0,0,C228/C224)</f>
        <v>2.8043478260869565</v>
      </c>
      <c r="D230" s="379">
        <f>IF(LN_IG3=0,0,LN_IG6/LN_IG3)</f>
        <v>2.774193548387097</v>
      </c>
      <c r="E230" s="379">
        <f t="shared" si="24"/>
        <v>-3.0154277699859566E-2</v>
      </c>
      <c r="F230" s="362">
        <f t="shared" si="25"/>
        <v>-1.0752688172042946E-2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689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629</v>
      </c>
      <c r="C233" s="361">
        <v>719632</v>
      </c>
      <c r="D233" s="361">
        <v>870795</v>
      </c>
      <c r="E233" s="361">
        <f>D233-C233</f>
        <v>151163</v>
      </c>
      <c r="F233" s="362">
        <f>IF(C233=0,0,E233/C233)</f>
        <v>0.2100559730528937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630</v>
      </c>
      <c r="C234" s="361">
        <v>196963</v>
      </c>
      <c r="D234" s="361">
        <v>268124</v>
      </c>
      <c r="E234" s="361">
        <f>D234-C234</f>
        <v>71161</v>
      </c>
      <c r="F234" s="362">
        <f>IF(C234=0,0,E234/C234)</f>
        <v>0.36129120697796036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690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636</v>
      </c>
      <c r="C237" s="361">
        <f>C221+C233</f>
        <v>1232699</v>
      </c>
      <c r="D237" s="361">
        <f>LN_IG1+LN_IG9</f>
        <v>1382498</v>
      </c>
      <c r="E237" s="361">
        <f>D237-C237</f>
        <v>149799</v>
      </c>
      <c r="F237" s="362">
        <f>IF(C237=0,0,E237/C237)</f>
        <v>0.12152114993197853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637</v>
      </c>
      <c r="C238" s="361">
        <f>C222+C234</f>
        <v>464003</v>
      </c>
      <c r="D238" s="361">
        <f>LN_IG2+LN_IG10</f>
        <v>514496</v>
      </c>
      <c r="E238" s="361">
        <f>D238-C238</f>
        <v>50493</v>
      </c>
      <c r="F238" s="362">
        <f>IF(C238=0,0,E238/C238)</f>
        <v>0.10882041710937214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638</v>
      </c>
      <c r="C239" s="361">
        <f>C237-C238</f>
        <v>768696</v>
      </c>
      <c r="D239" s="361">
        <f>LN_IG13-LN_IG14</f>
        <v>868002</v>
      </c>
      <c r="E239" s="361">
        <f>D239-C239</f>
        <v>99306</v>
      </c>
      <c r="F239" s="362">
        <f>IF(C239=0,0,E239/C239)</f>
        <v>0.12918761122732525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382</v>
      </c>
      <c r="B241" s="356" t="s">
        <v>691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692</v>
      </c>
      <c r="C243" s="361">
        <v>21278672</v>
      </c>
      <c r="D243" s="361">
        <v>28114619</v>
      </c>
      <c r="E243" s="353">
        <f>D243-C243</f>
        <v>6835947</v>
      </c>
      <c r="F243" s="415">
        <f>IF(C243=0,0,E243/C243)</f>
        <v>0.3212581593437786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693</v>
      </c>
      <c r="C244" s="361">
        <v>368573386</v>
      </c>
      <c r="D244" s="361">
        <v>389521494</v>
      </c>
      <c r="E244" s="353">
        <f>D244-C244</f>
        <v>20948108</v>
      </c>
      <c r="F244" s="415">
        <f>IF(C244=0,0,E244/C244)</f>
        <v>5.6835650092217999E-2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694</v>
      </c>
      <c r="C245" s="400">
        <v>0</v>
      </c>
      <c r="D245" s="400">
        <v>0</v>
      </c>
      <c r="E245" s="400">
        <f>D245-C245</f>
        <v>0</v>
      </c>
      <c r="F245" s="401">
        <f>IF(C245=0,0,E245/C245)</f>
        <v>0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695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696</v>
      </c>
      <c r="C248" s="353">
        <v>17262086</v>
      </c>
      <c r="D248" s="353">
        <v>6791581</v>
      </c>
      <c r="E248" s="353">
        <f>D248-C248</f>
        <v>-10470505</v>
      </c>
      <c r="F248" s="362">
        <f>IF(C248=0,0,E248/C248)</f>
        <v>-0.60656081773662818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697</v>
      </c>
      <c r="C249" s="353">
        <v>1140529</v>
      </c>
      <c r="D249" s="353">
        <v>17293190</v>
      </c>
      <c r="E249" s="353">
        <f>D249-C249</f>
        <v>16152661</v>
      </c>
      <c r="F249" s="362">
        <f>IF(C249=0,0,E249/C249)</f>
        <v>14.162429013203523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698</v>
      </c>
      <c r="C250" s="353">
        <f>C248+C249</f>
        <v>18402615</v>
      </c>
      <c r="D250" s="353">
        <f>LN_IH4+LN_IH5</f>
        <v>24084771</v>
      </c>
      <c r="E250" s="353">
        <f>D250-C250</f>
        <v>5682156</v>
      </c>
      <c r="F250" s="362">
        <f>IF(C250=0,0,E250/C250)</f>
        <v>0.3087689439788856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699</v>
      </c>
      <c r="C251" s="353">
        <f>C250*C313</f>
        <v>7738346.500259704</v>
      </c>
      <c r="D251" s="353">
        <f>LN_IH6*LN_III10</f>
        <v>9301129.2075198535</v>
      </c>
      <c r="E251" s="353">
        <f>D251-C251</f>
        <v>1562782.7072601495</v>
      </c>
      <c r="F251" s="362">
        <f>IF(C251=0,0,E251/C251)</f>
        <v>0.20195305382198916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700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636</v>
      </c>
      <c r="C254" s="353">
        <f>C188+C203</f>
        <v>172199236</v>
      </c>
      <c r="D254" s="353">
        <f>LN_IF23</f>
        <v>188272265</v>
      </c>
      <c r="E254" s="353">
        <f>D254-C254</f>
        <v>16073029</v>
      </c>
      <c r="F254" s="362">
        <f>IF(C254=0,0,E254/C254)</f>
        <v>9.3339723063579683E-2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637</v>
      </c>
      <c r="C255" s="353">
        <f>C189+C204</f>
        <v>59380843</v>
      </c>
      <c r="D255" s="353">
        <f>LN_IF24</f>
        <v>55954658</v>
      </c>
      <c r="E255" s="353">
        <f>D255-C255</f>
        <v>-3426185</v>
      </c>
      <c r="F255" s="362">
        <f>IF(C255=0,0,E255/C255)</f>
        <v>-5.7698490403714879E-2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701</v>
      </c>
      <c r="C256" s="353">
        <f>C254*C313</f>
        <v>72410217.528758541</v>
      </c>
      <c r="D256" s="353">
        <f>LN_IH8*LN_III10</f>
        <v>72707548.805733621</v>
      </c>
      <c r="E256" s="353">
        <f>D256-C256</f>
        <v>297331.27697508037</v>
      </c>
      <c r="F256" s="362">
        <f>IF(C256=0,0,E256/C256)</f>
        <v>4.106206100775652E-3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702</v>
      </c>
      <c r="C257" s="353">
        <f>C256-C255</f>
        <v>13029374.528758541</v>
      </c>
      <c r="D257" s="353">
        <f>LN_IH10-LN_IH9</f>
        <v>16752890.805733621</v>
      </c>
      <c r="E257" s="353">
        <f>D257-C257</f>
        <v>3723516.2769750804</v>
      </c>
      <c r="F257" s="362">
        <f>IF(C257=0,0,E257/C257)</f>
        <v>0.28577858965958075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703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704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705</v>
      </c>
      <c r="C261" s="361">
        <f>C15+C42+C188+C221</f>
        <v>443279640</v>
      </c>
      <c r="D261" s="361">
        <f>LN_IA1+LN_IB1+LN_IF1+LN_IG1</f>
        <v>411477153</v>
      </c>
      <c r="E261" s="361">
        <f t="shared" ref="E261:E274" si="26">D261-C261</f>
        <v>-31802487</v>
      </c>
      <c r="F261" s="415">
        <f t="shared" ref="F261:F274" si="27">IF(C261=0,0,E261/C261)</f>
        <v>-7.1743622152373163E-2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706</v>
      </c>
      <c r="C262" s="361">
        <f>C16+C43+C189+C222</f>
        <v>199686524</v>
      </c>
      <c r="D262" s="361">
        <f>+LN_IA2+LN_IB2+LN_IF2+LN_IG2</f>
        <v>188682845</v>
      </c>
      <c r="E262" s="361">
        <f t="shared" si="26"/>
        <v>-11003679</v>
      </c>
      <c r="F262" s="415">
        <f t="shared" si="27"/>
        <v>-5.510476510673299E-2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707</v>
      </c>
      <c r="C263" s="366">
        <f>IF(C261=0,0,C262/C261)</f>
        <v>0.45047528914253765</v>
      </c>
      <c r="D263" s="366">
        <f>IF(LN_IIA1=0,0,LN_IIA2/LN_IIA1)</f>
        <v>0.45854999147425324</v>
      </c>
      <c r="E263" s="367">
        <f t="shared" si="26"/>
        <v>8.0747023317155886E-3</v>
      </c>
      <c r="F263" s="371">
        <f t="shared" si="27"/>
        <v>1.7924850766144071E-2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708</v>
      </c>
      <c r="C264" s="369">
        <f>C18+C45+C191+C224</f>
        <v>20546</v>
      </c>
      <c r="D264" s="369">
        <f>LN_IA4+LN_IB4+LN_IF4+LN_IG3</f>
        <v>18252</v>
      </c>
      <c r="E264" s="369">
        <f t="shared" si="26"/>
        <v>-2294</v>
      </c>
      <c r="F264" s="415">
        <f t="shared" si="27"/>
        <v>-0.11165190304682177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709</v>
      </c>
      <c r="C265" s="439">
        <f>IF(C264=0,0,C266/C264)</f>
        <v>1.1699751484473864</v>
      </c>
      <c r="D265" s="439">
        <f>IF(LN_IIA4=0,0,LN_IIA6/LN_IIA4)</f>
        <v>1.2001706278763971</v>
      </c>
      <c r="E265" s="439">
        <f t="shared" si="26"/>
        <v>3.0195479429010685E-2</v>
      </c>
      <c r="F265" s="415">
        <f t="shared" si="27"/>
        <v>2.5808650268410869E-2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710</v>
      </c>
      <c r="C266" s="376">
        <f>C20+C47+C193+C226</f>
        <v>24038.309400000002</v>
      </c>
      <c r="D266" s="376">
        <f>LN_IA6+LN_IB6+LN_IF6+LN_IG5</f>
        <v>21905.514299999999</v>
      </c>
      <c r="E266" s="376">
        <f t="shared" si="26"/>
        <v>-2132.795100000003</v>
      </c>
      <c r="F266" s="415">
        <f t="shared" si="27"/>
        <v>-8.8724837695948897E-2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711</v>
      </c>
      <c r="C267" s="361">
        <f>C27+C56+C203+C233</f>
        <v>398568079</v>
      </c>
      <c r="D267" s="361">
        <f>LN_IA11+LN_IB13+LN_IF14+LN_IG9</f>
        <v>449270966</v>
      </c>
      <c r="E267" s="361">
        <f t="shared" si="26"/>
        <v>50702887</v>
      </c>
      <c r="F267" s="415">
        <f t="shared" si="27"/>
        <v>0.12721261353195323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632</v>
      </c>
      <c r="C268" s="366">
        <f>IF(C261=0,0,C267/C261)</f>
        <v>0.8991346388027206</v>
      </c>
      <c r="D268" s="366">
        <f>IF(LN_IIA1=0,0,LN_IIA7/LN_IIA1)</f>
        <v>1.0918491165899555</v>
      </c>
      <c r="E268" s="367">
        <f t="shared" si="26"/>
        <v>0.19271447778723494</v>
      </c>
      <c r="F268" s="371">
        <f t="shared" si="27"/>
        <v>0.21433328165829732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712</v>
      </c>
      <c r="C269" s="361">
        <f>C28+C57+C204+C234</f>
        <v>172715201</v>
      </c>
      <c r="D269" s="361">
        <f>LN_IA12+LN_IB14+LN_IF15+LN_IG10</f>
        <v>176574739</v>
      </c>
      <c r="E269" s="361">
        <f t="shared" si="26"/>
        <v>3859538</v>
      </c>
      <c r="F269" s="415">
        <f t="shared" si="27"/>
        <v>2.2346255440480887E-2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631</v>
      </c>
      <c r="C270" s="366">
        <f>IF(C267=0,0,C269/C267)</f>
        <v>0.43333927150749069</v>
      </c>
      <c r="D270" s="366">
        <f>IF(LN_IIA7=0,0,LN_IIA9/LN_IIA7)</f>
        <v>0.39302503914753306</v>
      </c>
      <c r="E270" s="367">
        <f t="shared" si="26"/>
        <v>-4.0314232359957625E-2</v>
      </c>
      <c r="F270" s="371">
        <f t="shared" si="27"/>
        <v>-9.3031569051457999E-2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713</v>
      </c>
      <c r="C271" s="353">
        <f>C261+C267</f>
        <v>841847719</v>
      </c>
      <c r="D271" s="353">
        <f>LN_IIA1+LN_IIA7</f>
        <v>860748119</v>
      </c>
      <c r="E271" s="353">
        <f t="shared" si="26"/>
        <v>18900400</v>
      </c>
      <c r="F271" s="415">
        <f t="shared" si="27"/>
        <v>2.245109130004069E-2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714</v>
      </c>
      <c r="C272" s="353">
        <f>C262+C269</f>
        <v>372401725</v>
      </c>
      <c r="D272" s="353">
        <f>LN_IIA2+LN_IIA9</f>
        <v>365257584</v>
      </c>
      <c r="E272" s="353">
        <f t="shared" si="26"/>
        <v>-7144141</v>
      </c>
      <c r="F272" s="415">
        <f t="shared" si="27"/>
        <v>-1.9183963232178906E-2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715</v>
      </c>
      <c r="C273" s="366">
        <f>IF(C271=0,0,C272/C271)</f>
        <v>0.44236233774246292</v>
      </c>
      <c r="D273" s="366">
        <f>IF(LN_IIA11=0,0,LN_IIA12/LN_IIA11)</f>
        <v>0.42434897728774473</v>
      </c>
      <c r="E273" s="367">
        <f t="shared" si="26"/>
        <v>-1.8013360454718186E-2</v>
      </c>
      <c r="F273" s="371">
        <f t="shared" si="27"/>
        <v>-4.0720827515848122E-2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83137</v>
      </c>
      <c r="D274" s="421">
        <f>LN_IA8+LN_IB10+LN_IF11+LN_IG6</f>
        <v>76771</v>
      </c>
      <c r="E274" s="442">
        <f t="shared" si="26"/>
        <v>-6366</v>
      </c>
      <c r="F274" s="371">
        <f t="shared" si="27"/>
        <v>-7.6572404585202744E-2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716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717</v>
      </c>
      <c r="C277" s="361">
        <f>C15+C188+C221</f>
        <v>334085876</v>
      </c>
      <c r="D277" s="361">
        <f>LN_IA1+LN_IF1+LN_IG1</f>
        <v>312030580</v>
      </c>
      <c r="E277" s="361">
        <f t="shared" ref="E277:E291" si="28">D277-C277</f>
        <v>-22055296</v>
      </c>
      <c r="F277" s="415">
        <f t="shared" ref="F277:F291" si="29">IF(C277=0,0,E277/C277)</f>
        <v>-6.6016846518827388E-2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718</v>
      </c>
      <c r="C278" s="361">
        <f>C16+C189+C222</f>
        <v>130586845</v>
      </c>
      <c r="D278" s="361">
        <f>LN_IA2+LN_IF2+LN_IG2</f>
        <v>123408118</v>
      </c>
      <c r="E278" s="361">
        <f t="shared" si="28"/>
        <v>-7178727</v>
      </c>
      <c r="F278" s="415">
        <f t="shared" si="29"/>
        <v>-5.4972819046206378E-2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719</v>
      </c>
      <c r="C279" s="366">
        <f>IF(C277=0,0,C278/C277)</f>
        <v>0.39087807770718208</v>
      </c>
      <c r="D279" s="366">
        <f>IF(D277=0,0,LN_IIB2/D277)</f>
        <v>0.3955000756656607</v>
      </c>
      <c r="E279" s="367">
        <f t="shared" si="28"/>
        <v>4.6219979584786186E-3</v>
      </c>
      <c r="F279" s="371">
        <f t="shared" si="29"/>
        <v>1.1824653829629937E-2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720</v>
      </c>
      <c r="C280" s="369">
        <f>C18+C191+C224</f>
        <v>14513</v>
      </c>
      <c r="D280" s="369">
        <f>LN_IA4+LN_IF4+LN_IG3</f>
        <v>12907</v>
      </c>
      <c r="E280" s="369">
        <f t="shared" si="28"/>
        <v>-1606</v>
      </c>
      <c r="F280" s="415">
        <f t="shared" si="29"/>
        <v>-0.11065940880589815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721</v>
      </c>
      <c r="C281" s="439">
        <f>IF(C280=0,0,C282/C280)</f>
        <v>1.2029129042927031</v>
      </c>
      <c r="D281" s="439">
        <f>IF(LN_IIB4=0,0,LN_IIB6/LN_IIB4)</f>
        <v>1.2506806616564656</v>
      </c>
      <c r="E281" s="439">
        <f t="shared" si="28"/>
        <v>4.7767757363762486E-2</v>
      </c>
      <c r="F281" s="415">
        <f t="shared" si="29"/>
        <v>3.9710071438504767E-2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722</v>
      </c>
      <c r="C282" s="376">
        <f>C20+C193+C226</f>
        <v>17457.874980000001</v>
      </c>
      <c r="D282" s="376">
        <f>LN_IA6+LN_IF6+LN_IG5</f>
        <v>16142.535300000001</v>
      </c>
      <c r="E282" s="376">
        <f t="shared" si="28"/>
        <v>-1315.3396799999991</v>
      </c>
      <c r="F282" s="415">
        <f t="shared" si="29"/>
        <v>-7.5343630396418337E-2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723</v>
      </c>
      <c r="C283" s="361">
        <f>C27+C203+C233</f>
        <v>224532746</v>
      </c>
      <c r="D283" s="361">
        <f>LN_IA11+LN_IF14+LN_IG9</f>
        <v>263880232</v>
      </c>
      <c r="E283" s="361">
        <f t="shared" si="28"/>
        <v>39347486</v>
      </c>
      <c r="F283" s="415">
        <f t="shared" si="29"/>
        <v>0.17524163713741781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724</v>
      </c>
      <c r="C284" s="366">
        <f>IF(C277=0,0,C283/C277)</f>
        <v>0.67208092927580099</v>
      </c>
      <c r="D284" s="366">
        <f>IF(D277=0,0,LN_IIB7/D277)</f>
        <v>0.84568708618238631</v>
      </c>
      <c r="E284" s="367">
        <f t="shared" si="28"/>
        <v>0.17360615690658532</v>
      </c>
      <c r="F284" s="371">
        <f t="shared" si="29"/>
        <v>0.25831138683499644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725</v>
      </c>
      <c r="C285" s="361">
        <f>C28+C204+C234</f>
        <v>67007530</v>
      </c>
      <c r="D285" s="361">
        <f>LN_IA12+LN_IF15+LN_IG10</f>
        <v>73735170</v>
      </c>
      <c r="E285" s="361">
        <f t="shared" si="28"/>
        <v>6727640</v>
      </c>
      <c r="F285" s="415">
        <f t="shared" si="29"/>
        <v>0.10040125341137034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726</v>
      </c>
      <c r="C286" s="366">
        <f>IF(C283=0,0,C285/C283)</f>
        <v>0.29843099144211244</v>
      </c>
      <c r="D286" s="366">
        <f>IF(LN_IIB7=0,0,LN_IIB9/LN_IIB7)</f>
        <v>0.27942665292184526</v>
      </c>
      <c r="E286" s="367">
        <f t="shared" si="28"/>
        <v>-1.9004338520267172E-2</v>
      </c>
      <c r="F286" s="371">
        <f t="shared" si="29"/>
        <v>-6.368084771769926E-2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727</v>
      </c>
      <c r="C287" s="353">
        <f>C277+C283</f>
        <v>558618622</v>
      </c>
      <c r="D287" s="353">
        <f>D277+LN_IIB7</f>
        <v>575910812</v>
      </c>
      <c r="E287" s="353">
        <f t="shared" si="28"/>
        <v>17292190</v>
      </c>
      <c r="F287" s="415">
        <f t="shared" si="29"/>
        <v>3.095526951480683E-2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728</v>
      </c>
      <c r="C288" s="353">
        <f>C278+C285</f>
        <v>197594375</v>
      </c>
      <c r="D288" s="353">
        <f>LN_IIB2+LN_IIB9</f>
        <v>197143288</v>
      </c>
      <c r="E288" s="353">
        <f t="shared" si="28"/>
        <v>-451087</v>
      </c>
      <c r="F288" s="415">
        <f t="shared" si="29"/>
        <v>-2.2828939335950227E-3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729</v>
      </c>
      <c r="C289" s="366">
        <f>IF(C287=0,0,C288/C287)</f>
        <v>0.35371963486029295</v>
      </c>
      <c r="D289" s="366">
        <f>IF(LN_IIB11=0,0,LN_IIB12/LN_IIB11)</f>
        <v>0.34231565702919986</v>
      </c>
      <c r="E289" s="367">
        <f t="shared" si="28"/>
        <v>-1.1403977831093093E-2</v>
      </c>
      <c r="F289" s="371">
        <f t="shared" si="29"/>
        <v>-3.2240160588193727E-2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63498</v>
      </c>
      <c r="D290" s="421">
        <f>LN_IA8+LN_IF11+LN_IG6</f>
        <v>59461</v>
      </c>
      <c r="E290" s="442">
        <f t="shared" si="28"/>
        <v>-4037</v>
      </c>
      <c r="F290" s="371">
        <f t="shared" si="29"/>
        <v>-6.3576805568679326E-2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730</v>
      </c>
      <c r="C291" s="361">
        <f>C287-C288</f>
        <v>361024247</v>
      </c>
      <c r="D291" s="429">
        <f>LN_IIB11-LN_IIB12</f>
        <v>378767524</v>
      </c>
      <c r="E291" s="353">
        <f t="shared" si="28"/>
        <v>17743277</v>
      </c>
      <c r="F291" s="415">
        <f t="shared" si="29"/>
        <v>4.9147050779666884E-2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627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618</v>
      </c>
      <c r="C294" s="379">
        <f>IF(C18=0,0,C22/C18)</f>
        <v>4.7018961765620144</v>
      </c>
      <c r="D294" s="379">
        <f>IF(LN_IA4=0,0,LN_IA8/LN_IA4)</f>
        <v>4.8122946973251999</v>
      </c>
      <c r="E294" s="379">
        <f t="shared" ref="E294:E300" si="30">D294-C294</f>
        <v>0.11039852076318546</v>
      </c>
      <c r="F294" s="415">
        <f t="shared" ref="F294:F300" si="31">IF(C294=0,0,E294/C294)</f>
        <v>2.3479574328650509E-2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639</v>
      </c>
      <c r="C295" s="379">
        <f>IF(C45=0,0,C51/C45)</f>
        <v>3.2552627216973313</v>
      </c>
      <c r="D295" s="379">
        <f>IF(LN_IB4=0,0,(LN_IB10)/(LN_IB4))</f>
        <v>3.2385406922357345</v>
      </c>
      <c r="E295" s="379">
        <f t="shared" si="30"/>
        <v>-1.6722029461596843E-2</v>
      </c>
      <c r="F295" s="415">
        <f t="shared" si="31"/>
        <v>-5.1369216223745486E-3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654</v>
      </c>
      <c r="C296" s="379">
        <f>IF(C86=0,0,C93/C86)</f>
        <v>2.9304812834224601</v>
      </c>
      <c r="D296" s="379">
        <f>IF(LN_IC4=0,0,LN_IC11/LN_IC4)</f>
        <v>3.7349999999999999</v>
      </c>
      <c r="E296" s="379">
        <f t="shared" si="30"/>
        <v>0.80451871657753982</v>
      </c>
      <c r="F296" s="415">
        <f t="shared" si="31"/>
        <v>0.27453467153284661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3.7356727574750832</v>
      </c>
      <c r="D297" s="379">
        <f>IF(LN_ID4=0,0,LN_ID11/LN_ID4)</f>
        <v>4.2176011029411766</v>
      </c>
      <c r="E297" s="379">
        <f t="shared" si="30"/>
        <v>0.48192834546609342</v>
      </c>
      <c r="F297" s="415">
        <f t="shared" si="31"/>
        <v>0.12900710976403235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731</v>
      </c>
      <c r="C298" s="379">
        <f>IF(C156=0,0,C163/C156)</f>
        <v>0</v>
      </c>
      <c r="D298" s="379">
        <f>IF(LN_IE4=0,0,LN_IE11/LN_IE4)</f>
        <v>0</v>
      </c>
      <c r="E298" s="379">
        <f t="shared" si="30"/>
        <v>0</v>
      </c>
      <c r="F298" s="415">
        <f t="shared" si="31"/>
        <v>0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430</v>
      </c>
      <c r="C299" s="379">
        <f>IF(C224=0,0,C228/C224)</f>
        <v>2.8043478260869565</v>
      </c>
      <c r="D299" s="379">
        <f>IF(LN_IG3=0,0,LN_IG6/LN_IG3)</f>
        <v>2.774193548387097</v>
      </c>
      <c r="E299" s="379">
        <f t="shared" si="30"/>
        <v>-3.0154277699859566E-2</v>
      </c>
      <c r="F299" s="415">
        <f t="shared" si="31"/>
        <v>-1.0752688172042946E-2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732</v>
      </c>
      <c r="C300" s="379">
        <f>IF(C264=0,0,C274/C264)</f>
        <v>4.0463837243259029</v>
      </c>
      <c r="D300" s="379">
        <f>IF(LN_IIA4=0,0,LN_IIA14/LN_IIA4)</f>
        <v>4.2061691869384177</v>
      </c>
      <c r="E300" s="379">
        <f t="shared" si="30"/>
        <v>0.15978546261251481</v>
      </c>
      <c r="F300" s="415">
        <f t="shared" si="31"/>
        <v>3.9488460190248979E-2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733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727</v>
      </c>
      <c r="C304" s="353">
        <f>C35+C66+C214+C221+C233</f>
        <v>841847719</v>
      </c>
      <c r="D304" s="353">
        <f>LN_IIA11</f>
        <v>860748119</v>
      </c>
      <c r="E304" s="353">
        <f t="shared" ref="E304:E316" si="32">D304-C304</f>
        <v>18900400</v>
      </c>
      <c r="F304" s="362">
        <f>IF(C304=0,0,E304/C304)</f>
        <v>2.245109130004069E-2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730</v>
      </c>
      <c r="C305" s="353">
        <f>C291</f>
        <v>361024247</v>
      </c>
      <c r="D305" s="353">
        <f>LN_IIB14</f>
        <v>378767524</v>
      </c>
      <c r="E305" s="353">
        <f t="shared" si="32"/>
        <v>17743277</v>
      </c>
      <c r="F305" s="362">
        <f>IF(C305=0,0,E305/C305)</f>
        <v>4.9147050779666884E-2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734</v>
      </c>
      <c r="C306" s="353">
        <f>C250</f>
        <v>18402615</v>
      </c>
      <c r="D306" s="353">
        <f>LN_IH6</f>
        <v>24084771</v>
      </c>
      <c r="E306" s="353">
        <f t="shared" si="32"/>
        <v>5682156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735</v>
      </c>
      <c r="C307" s="353">
        <f>C73-C74</f>
        <v>108421746</v>
      </c>
      <c r="D307" s="353">
        <f>LN_IB32-LN_IB33</f>
        <v>118169124</v>
      </c>
      <c r="E307" s="353">
        <f t="shared" si="32"/>
        <v>9747378</v>
      </c>
      <c r="F307" s="362">
        <f t="shared" ref="F307:F316" si="33">IF(C307=0,0,E307/C307)</f>
        <v>8.9902426031766722E-2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736</v>
      </c>
      <c r="C308" s="353">
        <v>0</v>
      </c>
      <c r="D308" s="353">
        <v>7320406</v>
      </c>
      <c r="E308" s="353">
        <f t="shared" si="32"/>
        <v>7320406</v>
      </c>
      <c r="F308" s="362">
        <f t="shared" si="33"/>
        <v>0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737</v>
      </c>
      <c r="C309" s="353">
        <f>C305+C307+C308+C306</f>
        <v>487848608</v>
      </c>
      <c r="D309" s="353">
        <f>LN_III2+LN_III3+LN_III4+LN_III5</f>
        <v>528341825</v>
      </c>
      <c r="E309" s="353">
        <f t="shared" si="32"/>
        <v>40493217</v>
      </c>
      <c r="F309" s="362">
        <f t="shared" si="33"/>
        <v>8.3003653871243602E-2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738</v>
      </c>
      <c r="C310" s="353">
        <f>C304-C309</f>
        <v>353999111</v>
      </c>
      <c r="D310" s="353">
        <f>LN_III1-LN_III6</f>
        <v>332406294</v>
      </c>
      <c r="E310" s="353">
        <f t="shared" si="32"/>
        <v>-21592817</v>
      </c>
      <c r="F310" s="362">
        <f t="shared" si="33"/>
        <v>-6.0996811373348336E-2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739</v>
      </c>
      <c r="C311" s="353">
        <f>C245</f>
        <v>0</v>
      </c>
      <c r="D311" s="353">
        <f>LN_IH3</f>
        <v>0</v>
      </c>
      <c r="E311" s="353">
        <f t="shared" si="32"/>
        <v>0</v>
      </c>
      <c r="F311" s="362">
        <f t="shared" si="33"/>
        <v>0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740</v>
      </c>
      <c r="C312" s="353">
        <f>C310+C311</f>
        <v>353999111</v>
      </c>
      <c r="D312" s="353">
        <f>LN_III7+LN_III8</f>
        <v>332406294</v>
      </c>
      <c r="E312" s="353">
        <f t="shared" si="32"/>
        <v>-21592817</v>
      </c>
      <c r="F312" s="362">
        <f t="shared" si="33"/>
        <v>-6.0996811373348336E-2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741</v>
      </c>
      <c r="C313" s="448">
        <f>IF(C304=0,0,C312/C304)</f>
        <v>0.42050254815740612</v>
      </c>
      <c r="D313" s="448">
        <f>IF(LN_III1=0,0,LN_III9/LN_III1)</f>
        <v>0.38618300367148406</v>
      </c>
      <c r="E313" s="448">
        <f t="shared" si="32"/>
        <v>-3.431954448592206E-2</v>
      </c>
      <c r="F313" s="362">
        <f t="shared" si="33"/>
        <v>-8.1615544629411549E-2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699</v>
      </c>
      <c r="C314" s="353">
        <f>C306*C313</f>
        <v>7738346.500259704</v>
      </c>
      <c r="D314" s="353">
        <f>D313*LN_III5</f>
        <v>9301129.2075198535</v>
      </c>
      <c r="E314" s="353">
        <f t="shared" si="32"/>
        <v>1562782.7072601495</v>
      </c>
      <c r="F314" s="362">
        <f t="shared" si="33"/>
        <v>0.20195305382198916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702</v>
      </c>
      <c r="C315" s="353">
        <f>(C214*C313)-C215</f>
        <v>13029374.528758541</v>
      </c>
      <c r="D315" s="353">
        <f>D313*LN_IH8-LN_IH9</f>
        <v>16752890.805733621</v>
      </c>
      <c r="E315" s="353">
        <f t="shared" si="32"/>
        <v>3723516.2769750804</v>
      </c>
      <c r="F315" s="362">
        <f t="shared" si="33"/>
        <v>0.28577858965958075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742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743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744</v>
      </c>
      <c r="C318" s="353">
        <f>C314+C315+C316</f>
        <v>20767721.029018246</v>
      </c>
      <c r="D318" s="353">
        <f>D314+D315+D316</f>
        <v>26054020.013253473</v>
      </c>
      <c r="E318" s="353">
        <f>D318-C318</f>
        <v>5286298.9842352271</v>
      </c>
      <c r="F318" s="362">
        <f>IF(C318=0,0,E318/C318)</f>
        <v>0.25454400975671843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745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5730562.7264147094</v>
      </c>
      <c r="D322" s="353">
        <f>LN_ID22</f>
        <v>14373340.831400344</v>
      </c>
      <c r="E322" s="353">
        <f>LN_IV2-C322</f>
        <v>8642778.1049856357</v>
      </c>
      <c r="F322" s="362">
        <f>IF(C322=0,0,E322/C322)</f>
        <v>1.5081901233097461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731</v>
      </c>
      <c r="C323" s="353">
        <f>C162+C176</f>
        <v>0</v>
      </c>
      <c r="D323" s="353">
        <f>LN_IE10+LN_IE22</f>
        <v>0</v>
      </c>
      <c r="E323" s="353">
        <f>LN_IV3-C323</f>
        <v>0</v>
      </c>
      <c r="F323" s="362">
        <f>IF(C323=0,0,E323/C323)</f>
        <v>0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746</v>
      </c>
      <c r="C324" s="353">
        <f>C92+C106</f>
        <v>3486032.4626411218</v>
      </c>
      <c r="D324" s="353">
        <f>LN_IC10+LN_IC22</f>
        <v>571892.96950719075</v>
      </c>
      <c r="E324" s="353">
        <f>LN_IV1-C324</f>
        <v>-2914139.493133931</v>
      </c>
      <c r="F324" s="362">
        <f>IF(C324=0,0,E324/C324)</f>
        <v>-0.83594731958579993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747</v>
      </c>
      <c r="C325" s="429">
        <f>C324+C322+C323</f>
        <v>9216595.1890558302</v>
      </c>
      <c r="D325" s="429">
        <f>LN_IV1+LN_IV2+LN_IV3</f>
        <v>14945233.800907535</v>
      </c>
      <c r="E325" s="353">
        <f>LN_IV4-C325</f>
        <v>5728638.6118517052</v>
      </c>
      <c r="F325" s="362">
        <f>IF(C325=0,0,E325/C325)</f>
        <v>0.62155693011819912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748</v>
      </c>
      <c r="B327" s="446" t="s">
        <v>749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750</v>
      </c>
      <c r="C329" s="431">
        <v>0</v>
      </c>
      <c r="D329" s="431">
        <v>7320406</v>
      </c>
      <c r="E329" s="431">
        <f t="shared" ref="E329:E335" si="34">D329-C329</f>
        <v>7320406</v>
      </c>
      <c r="F329" s="462">
        <f t="shared" ref="F329:F335" si="35">IF(C329=0,0,E329/C329)</f>
        <v>0</v>
      </c>
    </row>
    <row r="330" spans="1:22" s="333" customFormat="1" ht="11.25" customHeight="1" x14ac:dyDescent="0.2">
      <c r="A330" s="364">
        <v>2</v>
      </c>
      <c r="B330" s="360" t="s">
        <v>751</v>
      </c>
      <c r="C330" s="429">
        <v>10914736</v>
      </c>
      <c r="D330" s="429">
        <v>28271399</v>
      </c>
      <c r="E330" s="431">
        <f t="shared" si="34"/>
        <v>17356663</v>
      </c>
      <c r="F330" s="463">
        <f t="shared" si="35"/>
        <v>1.5902045638117128</v>
      </c>
    </row>
    <row r="331" spans="1:22" s="333" customFormat="1" ht="11.25" customHeight="1" x14ac:dyDescent="0.2">
      <c r="A331" s="339">
        <v>3</v>
      </c>
      <c r="B331" s="360" t="s">
        <v>752</v>
      </c>
      <c r="C331" s="429">
        <v>383316464</v>
      </c>
      <c r="D331" s="429">
        <v>393528986</v>
      </c>
      <c r="E331" s="431">
        <f t="shared" si="34"/>
        <v>10212522</v>
      </c>
      <c r="F331" s="462">
        <f t="shared" si="35"/>
        <v>2.6642534195974427E-2</v>
      </c>
    </row>
    <row r="332" spans="1:22" s="333" customFormat="1" ht="11.25" customHeight="1" x14ac:dyDescent="0.2">
      <c r="A332" s="364">
        <v>4</v>
      </c>
      <c r="B332" s="360" t="s">
        <v>753</v>
      </c>
      <c r="C332" s="429">
        <v>8748112</v>
      </c>
      <c r="D332" s="429">
        <v>9669512</v>
      </c>
      <c r="E332" s="431">
        <f t="shared" si="34"/>
        <v>921400</v>
      </c>
      <c r="F332" s="463">
        <f t="shared" si="35"/>
        <v>0.10532558339445128</v>
      </c>
    </row>
    <row r="333" spans="1:22" s="333" customFormat="1" ht="11.25" customHeight="1" x14ac:dyDescent="0.2">
      <c r="A333" s="364">
        <v>5</v>
      </c>
      <c r="B333" s="360" t="s">
        <v>754</v>
      </c>
      <c r="C333" s="429">
        <v>850595831</v>
      </c>
      <c r="D333" s="429">
        <v>870417634</v>
      </c>
      <c r="E333" s="431">
        <f t="shared" si="34"/>
        <v>19821803</v>
      </c>
      <c r="F333" s="462">
        <f t="shared" si="35"/>
        <v>2.3303433049626596E-2</v>
      </c>
    </row>
    <row r="334" spans="1:22" s="333" customFormat="1" ht="11.25" customHeight="1" x14ac:dyDescent="0.2">
      <c r="A334" s="339">
        <v>6</v>
      </c>
      <c r="B334" s="360" t="s">
        <v>755</v>
      </c>
      <c r="C334" s="429">
        <v>1248893</v>
      </c>
      <c r="D334" s="429">
        <v>0</v>
      </c>
      <c r="E334" s="429">
        <f t="shared" si="34"/>
        <v>-1248893</v>
      </c>
      <c r="F334" s="463">
        <f t="shared" si="35"/>
        <v>-1</v>
      </c>
    </row>
    <row r="335" spans="1:22" s="333" customFormat="1" ht="11.25" customHeight="1" x14ac:dyDescent="0.2">
      <c r="A335" s="364">
        <v>7</v>
      </c>
      <c r="B335" s="360" t="s">
        <v>756</v>
      </c>
      <c r="C335" s="429">
        <v>19651508</v>
      </c>
      <c r="D335" s="429">
        <v>24084771</v>
      </c>
      <c r="E335" s="429">
        <f t="shared" si="34"/>
        <v>4433263</v>
      </c>
      <c r="F335" s="462">
        <f t="shared" si="35"/>
        <v>0.22559403583684265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horizontalDpi="1200" verticalDpi="1200"/>
  <headerFooter>
    <oddHeader>&amp;LOFFICE OF HEALTH CARE ACCESS&amp;CTWELVE MONTHS ACTUAL FILING&amp;RTHE HOSPITAL OF CENTRAL CONNECTICUT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SheetLayoutView="68" workbookViewId="0"/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140625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609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757</v>
      </c>
      <c r="B5" s="710"/>
      <c r="C5" s="710"/>
      <c r="D5" s="710"/>
      <c r="E5" s="710"/>
    </row>
    <row r="6" spans="1:5" s="338" customFormat="1" ht="15.75" customHeight="1" x14ac:dyDescent="0.25">
      <c r="A6" s="710" t="s">
        <v>758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759</v>
      </c>
      <c r="D9" s="494" t="s">
        <v>760</v>
      </c>
      <c r="E9" s="495" t="s">
        <v>761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762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763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639</v>
      </c>
      <c r="C14" s="513">
        <v>109193764</v>
      </c>
      <c r="D14" s="513">
        <v>99446573</v>
      </c>
      <c r="E14" s="514">
        <f t="shared" ref="E14:E22" si="0">D14-C14</f>
        <v>-9747191</v>
      </c>
    </row>
    <row r="15" spans="1:5" s="506" customFormat="1" x14ac:dyDescent="0.2">
      <c r="A15" s="512">
        <v>2</v>
      </c>
      <c r="B15" s="511" t="s">
        <v>618</v>
      </c>
      <c r="C15" s="513">
        <v>254787684</v>
      </c>
      <c r="D15" s="515">
        <v>235878746</v>
      </c>
      <c r="E15" s="514">
        <f t="shared" si="0"/>
        <v>-18908938</v>
      </c>
    </row>
    <row r="16" spans="1:5" s="506" customFormat="1" x14ac:dyDescent="0.2">
      <c r="A16" s="512">
        <v>3</v>
      </c>
      <c r="B16" s="511" t="s">
        <v>764</v>
      </c>
      <c r="C16" s="513">
        <v>78785125</v>
      </c>
      <c r="D16" s="515">
        <v>75640131</v>
      </c>
      <c r="E16" s="514">
        <f t="shared" si="0"/>
        <v>-3144994</v>
      </c>
    </row>
    <row r="17" spans="1:5" s="506" customFormat="1" x14ac:dyDescent="0.2">
      <c r="A17" s="512">
        <v>4</v>
      </c>
      <c r="B17" s="511" t="s">
        <v>114</v>
      </c>
      <c r="C17" s="513">
        <v>78785125</v>
      </c>
      <c r="D17" s="515">
        <v>75640131</v>
      </c>
      <c r="E17" s="514">
        <f t="shared" si="0"/>
        <v>-3144994</v>
      </c>
    </row>
    <row r="18" spans="1:5" s="506" customFormat="1" x14ac:dyDescent="0.2">
      <c r="A18" s="512">
        <v>5</v>
      </c>
      <c r="B18" s="511" t="s">
        <v>731</v>
      </c>
      <c r="C18" s="513">
        <v>0</v>
      </c>
      <c r="D18" s="515">
        <v>0</v>
      </c>
      <c r="E18" s="514">
        <f t="shared" si="0"/>
        <v>0</v>
      </c>
    </row>
    <row r="19" spans="1:5" s="506" customFormat="1" x14ac:dyDescent="0.2">
      <c r="A19" s="512">
        <v>6</v>
      </c>
      <c r="B19" s="511" t="s">
        <v>430</v>
      </c>
      <c r="C19" s="513">
        <v>513067</v>
      </c>
      <c r="D19" s="515">
        <v>511703</v>
      </c>
      <c r="E19" s="514">
        <f t="shared" si="0"/>
        <v>-1364</v>
      </c>
    </row>
    <row r="20" spans="1:5" s="506" customFormat="1" x14ac:dyDescent="0.2">
      <c r="A20" s="512">
        <v>7</v>
      </c>
      <c r="B20" s="511" t="s">
        <v>746</v>
      </c>
      <c r="C20" s="513">
        <v>3318356</v>
      </c>
      <c r="D20" s="515">
        <v>6962793</v>
      </c>
      <c r="E20" s="514">
        <f t="shared" si="0"/>
        <v>3644437</v>
      </c>
    </row>
    <row r="21" spans="1:5" s="506" customFormat="1" x14ac:dyDescent="0.2">
      <c r="A21" s="512"/>
      <c r="B21" s="516" t="s">
        <v>765</v>
      </c>
      <c r="C21" s="517">
        <f>SUM(C15+C16+C19)</f>
        <v>334085876</v>
      </c>
      <c r="D21" s="517">
        <f>SUM(D15+D16+D19)</f>
        <v>312030580</v>
      </c>
      <c r="E21" s="517">
        <f t="shared" si="0"/>
        <v>-22055296</v>
      </c>
    </row>
    <row r="22" spans="1:5" s="506" customFormat="1" x14ac:dyDescent="0.2">
      <c r="A22" s="512"/>
      <c r="B22" s="516" t="s">
        <v>705</v>
      </c>
      <c r="C22" s="517">
        <f>SUM(C14+C21)</f>
        <v>443279640</v>
      </c>
      <c r="D22" s="517">
        <f>SUM(D14+D21)</f>
        <v>411477153</v>
      </c>
      <c r="E22" s="517">
        <f t="shared" si="0"/>
        <v>-31802487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766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639</v>
      </c>
      <c r="C25" s="513">
        <v>174035333</v>
      </c>
      <c r="D25" s="513">
        <v>185390734</v>
      </c>
      <c r="E25" s="514">
        <f t="shared" ref="E25:E33" si="1">D25-C25</f>
        <v>11355401</v>
      </c>
    </row>
    <row r="26" spans="1:5" s="506" customFormat="1" x14ac:dyDescent="0.2">
      <c r="A26" s="512">
        <v>2</v>
      </c>
      <c r="B26" s="511" t="s">
        <v>618</v>
      </c>
      <c r="C26" s="513">
        <v>130399003</v>
      </c>
      <c r="D26" s="515">
        <v>150377303</v>
      </c>
      <c r="E26" s="514">
        <f t="shared" si="1"/>
        <v>19978300</v>
      </c>
    </row>
    <row r="27" spans="1:5" s="506" customFormat="1" x14ac:dyDescent="0.2">
      <c r="A27" s="512">
        <v>3</v>
      </c>
      <c r="B27" s="511" t="s">
        <v>764</v>
      </c>
      <c r="C27" s="513">
        <v>93414111</v>
      </c>
      <c r="D27" s="515">
        <v>112632134</v>
      </c>
      <c r="E27" s="514">
        <f t="shared" si="1"/>
        <v>19218023</v>
      </c>
    </row>
    <row r="28" spans="1:5" s="506" customFormat="1" x14ac:dyDescent="0.2">
      <c r="A28" s="512">
        <v>4</v>
      </c>
      <c r="B28" s="511" t="s">
        <v>114</v>
      </c>
      <c r="C28" s="513">
        <v>93414111</v>
      </c>
      <c r="D28" s="515">
        <v>112632134</v>
      </c>
      <c r="E28" s="514">
        <f t="shared" si="1"/>
        <v>19218023</v>
      </c>
    </row>
    <row r="29" spans="1:5" s="506" customFormat="1" x14ac:dyDescent="0.2">
      <c r="A29" s="512">
        <v>5</v>
      </c>
      <c r="B29" s="511" t="s">
        <v>731</v>
      </c>
      <c r="C29" s="513">
        <v>0</v>
      </c>
      <c r="D29" s="515">
        <v>0</v>
      </c>
      <c r="E29" s="514">
        <f t="shared" si="1"/>
        <v>0</v>
      </c>
    </row>
    <row r="30" spans="1:5" s="506" customFormat="1" x14ac:dyDescent="0.2">
      <c r="A30" s="512">
        <v>6</v>
      </c>
      <c r="B30" s="511" t="s">
        <v>430</v>
      </c>
      <c r="C30" s="513">
        <v>719632</v>
      </c>
      <c r="D30" s="515">
        <v>870795</v>
      </c>
      <c r="E30" s="514">
        <f t="shared" si="1"/>
        <v>151163</v>
      </c>
    </row>
    <row r="31" spans="1:5" s="506" customFormat="1" x14ac:dyDescent="0.2">
      <c r="A31" s="512">
        <v>7</v>
      </c>
      <c r="B31" s="511" t="s">
        <v>746</v>
      </c>
      <c r="C31" s="514">
        <v>14252846</v>
      </c>
      <c r="D31" s="518">
        <v>16102691</v>
      </c>
      <c r="E31" s="514">
        <f t="shared" si="1"/>
        <v>1849845</v>
      </c>
    </row>
    <row r="32" spans="1:5" s="506" customFormat="1" x14ac:dyDescent="0.2">
      <c r="A32" s="512"/>
      <c r="B32" s="516" t="s">
        <v>767</v>
      </c>
      <c r="C32" s="517">
        <f>SUM(C26+C27+C30)</f>
        <v>224532746</v>
      </c>
      <c r="D32" s="517">
        <f>SUM(D26+D27+D30)</f>
        <v>263880232</v>
      </c>
      <c r="E32" s="517">
        <f t="shared" si="1"/>
        <v>39347486</v>
      </c>
    </row>
    <row r="33" spans="1:5" s="506" customFormat="1" x14ac:dyDescent="0.2">
      <c r="A33" s="512"/>
      <c r="B33" s="516" t="s">
        <v>711</v>
      </c>
      <c r="C33" s="517">
        <f>SUM(C25+C32)</f>
        <v>398568079</v>
      </c>
      <c r="D33" s="517">
        <f>SUM(D25+D32)</f>
        <v>449270966</v>
      </c>
      <c r="E33" s="517">
        <f t="shared" si="1"/>
        <v>50702887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636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768</v>
      </c>
      <c r="C36" s="514">
        <f t="shared" ref="C36:D42" si="2">C14+C25</f>
        <v>283229097</v>
      </c>
      <c r="D36" s="514">
        <f t="shared" si="2"/>
        <v>284837307</v>
      </c>
      <c r="E36" s="514">
        <f t="shared" ref="E36:E44" si="3">D36-C36</f>
        <v>1608210</v>
      </c>
    </row>
    <row r="37" spans="1:5" s="506" customFormat="1" x14ac:dyDescent="0.2">
      <c r="A37" s="512">
        <v>2</v>
      </c>
      <c r="B37" s="511" t="s">
        <v>769</v>
      </c>
      <c r="C37" s="514">
        <f t="shared" si="2"/>
        <v>385186687</v>
      </c>
      <c r="D37" s="514">
        <f t="shared" si="2"/>
        <v>386256049</v>
      </c>
      <c r="E37" s="514">
        <f t="shared" si="3"/>
        <v>1069362</v>
      </c>
    </row>
    <row r="38" spans="1:5" s="506" customFormat="1" x14ac:dyDescent="0.2">
      <c r="A38" s="512">
        <v>3</v>
      </c>
      <c r="B38" s="511" t="s">
        <v>770</v>
      </c>
      <c r="C38" s="514">
        <f t="shared" si="2"/>
        <v>172199236</v>
      </c>
      <c r="D38" s="514">
        <f t="shared" si="2"/>
        <v>188272265</v>
      </c>
      <c r="E38" s="514">
        <f t="shared" si="3"/>
        <v>16073029</v>
      </c>
    </row>
    <row r="39" spans="1:5" s="506" customFormat="1" x14ac:dyDescent="0.2">
      <c r="A39" s="512">
        <v>4</v>
      </c>
      <c r="B39" s="511" t="s">
        <v>771</v>
      </c>
      <c r="C39" s="514">
        <f t="shared" si="2"/>
        <v>172199236</v>
      </c>
      <c r="D39" s="514">
        <f t="shared" si="2"/>
        <v>188272265</v>
      </c>
      <c r="E39" s="514">
        <f t="shared" si="3"/>
        <v>16073029</v>
      </c>
    </row>
    <row r="40" spans="1:5" s="506" customFormat="1" x14ac:dyDescent="0.2">
      <c r="A40" s="512">
        <v>5</v>
      </c>
      <c r="B40" s="511" t="s">
        <v>772</v>
      </c>
      <c r="C40" s="514">
        <f t="shared" si="2"/>
        <v>0</v>
      </c>
      <c r="D40" s="514">
        <f t="shared" si="2"/>
        <v>0</v>
      </c>
      <c r="E40" s="514">
        <f t="shared" si="3"/>
        <v>0</v>
      </c>
    </row>
    <row r="41" spans="1:5" s="506" customFormat="1" x14ac:dyDescent="0.2">
      <c r="A41" s="512">
        <v>6</v>
      </c>
      <c r="B41" s="511" t="s">
        <v>773</v>
      </c>
      <c r="C41" s="514">
        <f t="shared" si="2"/>
        <v>1232699</v>
      </c>
      <c r="D41" s="514">
        <f t="shared" si="2"/>
        <v>1382498</v>
      </c>
      <c r="E41" s="514">
        <f t="shared" si="3"/>
        <v>149799</v>
      </c>
    </row>
    <row r="42" spans="1:5" s="506" customFormat="1" x14ac:dyDescent="0.2">
      <c r="A42" s="512">
        <v>7</v>
      </c>
      <c r="B42" s="511" t="s">
        <v>774</v>
      </c>
      <c r="C42" s="514">
        <f t="shared" si="2"/>
        <v>17571202</v>
      </c>
      <c r="D42" s="514">
        <f t="shared" si="2"/>
        <v>23065484</v>
      </c>
      <c r="E42" s="514">
        <f t="shared" si="3"/>
        <v>5494282</v>
      </c>
    </row>
    <row r="43" spans="1:5" s="506" customFormat="1" x14ac:dyDescent="0.2">
      <c r="A43" s="512"/>
      <c r="B43" s="516" t="s">
        <v>775</v>
      </c>
      <c r="C43" s="517">
        <f>SUM(C37+C38+C41)</f>
        <v>558618622</v>
      </c>
      <c r="D43" s="517">
        <f>SUM(D37+D38+D41)</f>
        <v>575910812</v>
      </c>
      <c r="E43" s="517">
        <f t="shared" si="3"/>
        <v>17292190</v>
      </c>
    </row>
    <row r="44" spans="1:5" s="506" customFormat="1" x14ac:dyDescent="0.2">
      <c r="A44" s="512"/>
      <c r="B44" s="516" t="s">
        <v>713</v>
      </c>
      <c r="C44" s="517">
        <f>SUM(C36+C43)</f>
        <v>841847719</v>
      </c>
      <c r="D44" s="517">
        <f>SUM(D36+D43)</f>
        <v>860748119</v>
      </c>
      <c r="E44" s="517">
        <f t="shared" si="3"/>
        <v>18900400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333</v>
      </c>
      <c r="B46" s="509" t="s">
        <v>776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639</v>
      </c>
      <c r="C47" s="513">
        <v>69099679</v>
      </c>
      <c r="D47" s="513">
        <v>65274727</v>
      </c>
      <c r="E47" s="514">
        <f t="shared" ref="E47:E55" si="4">D47-C47</f>
        <v>-3824952</v>
      </c>
    </row>
    <row r="48" spans="1:5" s="506" customFormat="1" x14ac:dyDescent="0.2">
      <c r="A48" s="512">
        <v>2</v>
      </c>
      <c r="B48" s="511" t="s">
        <v>618</v>
      </c>
      <c r="C48" s="513">
        <v>104104559</v>
      </c>
      <c r="D48" s="515">
        <v>100610285</v>
      </c>
      <c r="E48" s="514">
        <f t="shared" si="4"/>
        <v>-3494274</v>
      </c>
    </row>
    <row r="49" spans="1:5" s="506" customFormat="1" x14ac:dyDescent="0.2">
      <c r="A49" s="512">
        <v>3</v>
      </c>
      <c r="B49" s="511" t="s">
        <v>764</v>
      </c>
      <c r="C49" s="513">
        <v>26215246</v>
      </c>
      <c r="D49" s="515">
        <v>22551461</v>
      </c>
      <c r="E49" s="514">
        <f t="shared" si="4"/>
        <v>-3663785</v>
      </c>
    </row>
    <row r="50" spans="1:5" s="506" customFormat="1" x14ac:dyDescent="0.2">
      <c r="A50" s="512">
        <v>4</v>
      </c>
      <c r="B50" s="511" t="s">
        <v>114</v>
      </c>
      <c r="C50" s="513">
        <v>26215246</v>
      </c>
      <c r="D50" s="515">
        <v>22551461</v>
      </c>
      <c r="E50" s="514">
        <f t="shared" si="4"/>
        <v>-3663785</v>
      </c>
    </row>
    <row r="51" spans="1:5" s="506" customFormat="1" x14ac:dyDescent="0.2">
      <c r="A51" s="512">
        <v>5</v>
      </c>
      <c r="B51" s="511" t="s">
        <v>731</v>
      </c>
      <c r="C51" s="513">
        <v>0</v>
      </c>
      <c r="D51" s="515">
        <v>0</v>
      </c>
      <c r="E51" s="514">
        <f t="shared" si="4"/>
        <v>0</v>
      </c>
    </row>
    <row r="52" spans="1:5" s="506" customFormat="1" x14ac:dyDescent="0.2">
      <c r="A52" s="512">
        <v>6</v>
      </c>
      <c r="B52" s="511" t="s">
        <v>430</v>
      </c>
      <c r="C52" s="513">
        <v>267040</v>
      </c>
      <c r="D52" s="515">
        <v>246372</v>
      </c>
      <c r="E52" s="514">
        <f t="shared" si="4"/>
        <v>-20668</v>
      </c>
    </row>
    <row r="53" spans="1:5" s="506" customFormat="1" x14ac:dyDescent="0.2">
      <c r="A53" s="512">
        <v>7</v>
      </c>
      <c r="B53" s="511" t="s">
        <v>746</v>
      </c>
      <c r="C53" s="513">
        <v>516899</v>
      </c>
      <c r="D53" s="515">
        <v>2347104</v>
      </c>
      <c r="E53" s="514">
        <f t="shared" si="4"/>
        <v>1830205</v>
      </c>
    </row>
    <row r="54" spans="1:5" s="506" customFormat="1" x14ac:dyDescent="0.2">
      <c r="A54" s="512"/>
      <c r="B54" s="516" t="s">
        <v>777</v>
      </c>
      <c r="C54" s="517">
        <f>SUM(C48+C49+C52)</f>
        <v>130586845</v>
      </c>
      <c r="D54" s="517">
        <f>SUM(D48+D49+D52)</f>
        <v>123408118</v>
      </c>
      <c r="E54" s="517">
        <f t="shared" si="4"/>
        <v>-7178727</v>
      </c>
    </row>
    <row r="55" spans="1:5" s="506" customFormat="1" x14ac:dyDescent="0.2">
      <c r="A55" s="512"/>
      <c r="B55" s="516" t="s">
        <v>706</v>
      </c>
      <c r="C55" s="517">
        <f>SUM(C47+C54)</f>
        <v>199686524</v>
      </c>
      <c r="D55" s="517">
        <f>SUM(D47+D54)</f>
        <v>188682845</v>
      </c>
      <c r="E55" s="517">
        <f t="shared" si="4"/>
        <v>-11003679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354</v>
      </c>
      <c r="B57" s="509" t="s">
        <v>778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639</v>
      </c>
      <c r="C58" s="513">
        <v>105707671</v>
      </c>
      <c r="D58" s="513">
        <v>102839569</v>
      </c>
      <c r="E58" s="514">
        <f t="shared" ref="E58:E66" si="5">D58-C58</f>
        <v>-2868102</v>
      </c>
    </row>
    <row r="59" spans="1:5" s="506" customFormat="1" x14ac:dyDescent="0.2">
      <c r="A59" s="512">
        <v>2</v>
      </c>
      <c r="B59" s="511" t="s">
        <v>618</v>
      </c>
      <c r="C59" s="513">
        <v>33644970</v>
      </c>
      <c r="D59" s="515">
        <v>40063849</v>
      </c>
      <c r="E59" s="514">
        <f t="shared" si="5"/>
        <v>6418879</v>
      </c>
    </row>
    <row r="60" spans="1:5" s="506" customFormat="1" x14ac:dyDescent="0.2">
      <c r="A60" s="512">
        <v>3</v>
      </c>
      <c r="B60" s="511" t="s">
        <v>764</v>
      </c>
      <c r="C60" s="513">
        <f>C61+C62</f>
        <v>33165597</v>
      </c>
      <c r="D60" s="515">
        <f>D61+D62</f>
        <v>33403197</v>
      </c>
      <c r="E60" s="514">
        <f t="shared" si="5"/>
        <v>237600</v>
      </c>
    </row>
    <row r="61" spans="1:5" s="506" customFormat="1" x14ac:dyDescent="0.2">
      <c r="A61" s="512">
        <v>4</v>
      </c>
      <c r="B61" s="511" t="s">
        <v>114</v>
      </c>
      <c r="C61" s="513">
        <v>33165597</v>
      </c>
      <c r="D61" s="515">
        <v>33403197</v>
      </c>
      <c r="E61" s="514">
        <f t="shared" si="5"/>
        <v>237600</v>
      </c>
    </row>
    <row r="62" spans="1:5" s="506" customFormat="1" x14ac:dyDescent="0.2">
      <c r="A62" s="512">
        <v>5</v>
      </c>
      <c r="B62" s="511" t="s">
        <v>731</v>
      </c>
      <c r="C62" s="513">
        <v>0</v>
      </c>
      <c r="D62" s="515">
        <v>0</v>
      </c>
      <c r="E62" s="514">
        <f t="shared" si="5"/>
        <v>0</v>
      </c>
    </row>
    <row r="63" spans="1:5" s="506" customFormat="1" x14ac:dyDescent="0.2">
      <c r="A63" s="512">
        <v>6</v>
      </c>
      <c r="B63" s="511" t="s">
        <v>430</v>
      </c>
      <c r="C63" s="513">
        <v>196963</v>
      </c>
      <c r="D63" s="515">
        <v>268124</v>
      </c>
      <c r="E63" s="514">
        <f t="shared" si="5"/>
        <v>71161</v>
      </c>
    </row>
    <row r="64" spans="1:5" s="506" customFormat="1" x14ac:dyDescent="0.2">
      <c r="A64" s="512">
        <v>7</v>
      </c>
      <c r="B64" s="511" t="s">
        <v>746</v>
      </c>
      <c r="C64" s="513">
        <v>3015191</v>
      </c>
      <c r="D64" s="515">
        <v>2199511</v>
      </c>
      <c r="E64" s="514">
        <f t="shared" si="5"/>
        <v>-815680</v>
      </c>
    </row>
    <row r="65" spans="1:5" s="506" customFormat="1" x14ac:dyDescent="0.2">
      <c r="A65" s="512"/>
      <c r="B65" s="516" t="s">
        <v>779</v>
      </c>
      <c r="C65" s="517">
        <f>SUM(C59+C60+C63)</f>
        <v>67007530</v>
      </c>
      <c r="D65" s="517">
        <f>SUM(D59+D60+D63)</f>
        <v>73735170</v>
      </c>
      <c r="E65" s="517">
        <f t="shared" si="5"/>
        <v>6727640</v>
      </c>
    </row>
    <row r="66" spans="1:5" s="506" customFormat="1" x14ac:dyDescent="0.2">
      <c r="A66" s="512"/>
      <c r="B66" s="516" t="s">
        <v>712</v>
      </c>
      <c r="C66" s="517">
        <f>SUM(C58+C65)</f>
        <v>172715201</v>
      </c>
      <c r="D66" s="517">
        <f>SUM(D58+D65)</f>
        <v>176574739</v>
      </c>
      <c r="E66" s="517">
        <f t="shared" si="5"/>
        <v>3859538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366</v>
      </c>
      <c r="B68" s="521" t="s">
        <v>637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768</v>
      </c>
      <c r="C69" s="514">
        <f t="shared" ref="C69:D75" si="6">C47+C58</f>
        <v>174807350</v>
      </c>
      <c r="D69" s="514">
        <f t="shared" si="6"/>
        <v>168114296</v>
      </c>
      <c r="E69" s="514">
        <f t="shared" ref="E69:E77" si="7">D69-C69</f>
        <v>-6693054</v>
      </c>
    </row>
    <row r="70" spans="1:5" s="506" customFormat="1" x14ac:dyDescent="0.2">
      <c r="A70" s="512">
        <v>2</v>
      </c>
      <c r="B70" s="511" t="s">
        <v>769</v>
      </c>
      <c r="C70" s="514">
        <f t="shared" si="6"/>
        <v>137749529</v>
      </c>
      <c r="D70" s="514">
        <f t="shared" si="6"/>
        <v>140674134</v>
      </c>
      <c r="E70" s="514">
        <f t="shared" si="7"/>
        <v>2924605</v>
      </c>
    </row>
    <row r="71" spans="1:5" s="506" customFormat="1" x14ac:dyDescent="0.2">
      <c r="A71" s="512">
        <v>3</v>
      </c>
      <c r="B71" s="511" t="s">
        <v>770</v>
      </c>
      <c r="C71" s="514">
        <f t="shared" si="6"/>
        <v>59380843</v>
      </c>
      <c r="D71" s="514">
        <f t="shared" si="6"/>
        <v>55954658</v>
      </c>
      <c r="E71" s="514">
        <f t="shared" si="7"/>
        <v>-3426185</v>
      </c>
    </row>
    <row r="72" spans="1:5" s="506" customFormat="1" x14ac:dyDescent="0.2">
      <c r="A72" s="512">
        <v>4</v>
      </c>
      <c r="B72" s="511" t="s">
        <v>771</v>
      </c>
      <c r="C72" s="514">
        <f t="shared" si="6"/>
        <v>59380843</v>
      </c>
      <c r="D72" s="514">
        <f t="shared" si="6"/>
        <v>55954658</v>
      </c>
      <c r="E72" s="514">
        <f t="shared" si="7"/>
        <v>-3426185</v>
      </c>
    </row>
    <row r="73" spans="1:5" s="506" customFormat="1" x14ac:dyDescent="0.2">
      <c r="A73" s="512">
        <v>5</v>
      </c>
      <c r="B73" s="511" t="s">
        <v>772</v>
      </c>
      <c r="C73" s="514">
        <f t="shared" si="6"/>
        <v>0</v>
      </c>
      <c r="D73" s="514">
        <f t="shared" si="6"/>
        <v>0</v>
      </c>
      <c r="E73" s="514">
        <f t="shared" si="7"/>
        <v>0</v>
      </c>
    </row>
    <row r="74" spans="1:5" s="506" customFormat="1" x14ac:dyDescent="0.2">
      <c r="A74" s="512">
        <v>6</v>
      </c>
      <c r="B74" s="511" t="s">
        <v>773</v>
      </c>
      <c r="C74" s="514">
        <f t="shared" si="6"/>
        <v>464003</v>
      </c>
      <c r="D74" s="514">
        <f t="shared" si="6"/>
        <v>514496</v>
      </c>
      <c r="E74" s="514">
        <f t="shared" si="7"/>
        <v>50493</v>
      </c>
    </row>
    <row r="75" spans="1:5" s="506" customFormat="1" x14ac:dyDescent="0.2">
      <c r="A75" s="512">
        <v>7</v>
      </c>
      <c r="B75" s="511" t="s">
        <v>774</v>
      </c>
      <c r="C75" s="514">
        <f t="shared" si="6"/>
        <v>3532090</v>
      </c>
      <c r="D75" s="514">
        <f t="shared" si="6"/>
        <v>4546615</v>
      </c>
      <c r="E75" s="514">
        <f t="shared" si="7"/>
        <v>1014525</v>
      </c>
    </row>
    <row r="76" spans="1:5" s="506" customFormat="1" x14ac:dyDescent="0.2">
      <c r="A76" s="512"/>
      <c r="B76" s="516" t="s">
        <v>780</v>
      </c>
      <c r="C76" s="517">
        <f>SUM(C70+C71+C74)</f>
        <v>197594375</v>
      </c>
      <c r="D76" s="517">
        <f>SUM(D70+D71+D74)</f>
        <v>197143288</v>
      </c>
      <c r="E76" s="517">
        <f t="shared" si="7"/>
        <v>-451087</v>
      </c>
    </row>
    <row r="77" spans="1:5" s="506" customFormat="1" x14ac:dyDescent="0.2">
      <c r="A77" s="512"/>
      <c r="B77" s="516" t="s">
        <v>714</v>
      </c>
      <c r="C77" s="517">
        <f>SUM(C69+C76)</f>
        <v>372401725</v>
      </c>
      <c r="D77" s="517">
        <f>SUM(D69+D76)</f>
        <v>365257584</v>
      </c>
      <c r="E77" s="517">
        <f t="shared" si="7"/>
        <v>-7144141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781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782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639</v>
      </c>
      <c r="C83" s="523">
        <f t="shared" ref="C83:D89" si="8">IF(C$44=0,0,C14/C$44)</f>
        <v>0.12970726360072254</v>
      </c>
      <c r="D83" s="523">
        <f t="shared" si="8"/>
        <v>0.11553504539229786</v>
      </c>
      <c r="E83" s="523">
        <f t="shared" ref="E83:E91" si="9">D83-C83</f>
        <v>-1.4172218208424681E-2</v>
      </c>
    </row>
    <row r="84" spans="1:5" s="506" customFormat="1" x14ac:dyDescent="0.2">
      <c r="A84" s="512">
        <v>2</v>
      </c>
      <c r="B84" s="511" t="s">
        <v>618</v>
      </c>
      <c r="C84" s="523">
        <f t="shared" si="8"/>
        <v>0.30265293621351486</v>
      </c>
      <c r="D84" s="523">
        <f t="shared" si="8"/>
        <v>0.27403922331429459</v>
      </c>
      <c r="E84" s="523">
        <f t="shared" si="9"/>
        <v>-2.8613712899220267E-2</v>
      </c>
    </row>
    <row r="85" spans="1:5" s="506" customFormat="1" x14ac:dyDescent="0.2">
      <c r="A85" s="512">
        <v>3</v>
      </c>
      <c r="B85" s="511" t="s">
        <v>764</v>
      </c>
      <c r="C85" s="523">
        <f t="shared" si="8"/>
        <v>9.3585957676034282E-2</v>
      </c>
      <c r="D85" s="523">
        <f t="shared" si="8"/>
        <v>8.7877195814121789E-2</v>
      </c>
      <c r="E85" s="523">
        <f t="shared" si="9"/>
        <v>-5.7087618619124925E-3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9.3585957676034282E-2</v>
      </c>
      <c r="D86" s="523">
        <f t="shared" si="8"/>
        <v>8.7877195814121789E-2</v>
      </c>
      <c r="E86" s="523">
        <f t="shared" si="9"/>
        <v>-5.7087618619124925E-3</v>
      </c>
    </row>
    <row r="87" spans="1:5" s="506" customFormat="1" x14ac:dyDescent="0.2">
      <c r="A87" s="512">
        <v>5</v>
      </c>
      <c r="B87" s="511" t="s">
        <v>731</v>
      </c>
      <c r="C87" s="523">
        <f t="shared" si="8"/>
        <v>0</v>
      </c>
      <c r="D87" s="523">
        <f t="shared" si="8"/>
        <v>0</v>
      </c>
      <c r="E87" s="523">
        <f t="shared" si="9"/>
        <v>0</v>
      </c>
    </row>
    <row r="88" spans="1:5" s="506" customFormat="1" x14ac:dyDescent="0.2">
      <c r="A88" s="512">
        <v>6</v>
      </c>
      <c r="B88" s="511" t="s">
        <v>430</v>
      </c>
      <c r="C88" s="523">
        <f t="shared" si="8"/>
        <v>6.0945345389716501E-4</v>
      </c>
      <c r="D88" s="523">
        <f t="shared" si="8"/>
        <v>5.9448634124752587E-4</v>
      </c>
      <c r="E88" s="523">
        <f t="shared" si="9"/>
        <v>-1.4967112649639136E-5</v>
      </c>
    </row>
    <row r="89" spans="1:5" s="506" customFormat="1" x14ac:dyDescent="0.2">
      <c r="A89" s="512">
        <v>7</v>
      </c>
      <c r="B89" s="511" t="s">
        <v>746</v>
      </c>
      <c r="C89" s="523">
        <f t="shared" si="8"/>
        <v>3.9417532709380664E-3</v>
      </c>
      <c r="D89" s="523">
        <f t="shared" si="8"/>
        <v>8.0892340584946439E-3</v>
      </c>
      <c r="E89" s="523">
        <f t="shared" si="9"/>
        <v>4.1474807875565775E-3</v>
      </c>
    </row>
    <row r="90" spans="1:5" s="506" customFormat="1" x14ac:dyDescent="0.2">
      <c r="A90" s="512"/>
      <c r="B90" s="516" t="s">
        <v>783</v>
      </c>
      <c r="C90" s="524">
        <f>SUM(C84+C85+C88)</f>
        <v>0.39684834734344632</v>
      </c>
      <c r="D90" s="524">
        <f>SUM(D84+D85+D88)</f>
        <v>0.36251090546966391</v>
      </c>
      <c r="E90" s="525">
        <f t="shared" si="9"/>
        <v>-3.4337441873782404E-2</v>
      </c>
    </row>
    <row r="91" spans="1:5" s="506" customFormat="1" x14ac:dyDescent="0.2">
      <c r="A91" s="512"/>
      <c r="B91" s="516" t="s">
        <v>784</v>
      </c>
      <c r="C91" s="524">
        <f>SUM(C83+C90)</f>
        <v>0.52655561094416892</v>
      </c>
      <c r="D91" s="524">
        <f>SUM(D83+D90)</f>
        <v>0.47804595086196178</v>
      </c>
      <c r="E91" s="525">
        <f t="shared" si="9"/>
        <v>-4.850966008220714E-2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785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639</v>
      </c>
      <c r="C95" s="523">
        <f t="shared" ref="C95:D101" si="10">IF(C$44=0,0,C25/C$44)</f>
        <v>0.20673018299168189</v>
      </c>
      <c r="D95" s="523">
        <f t="shared" si="10"/>
        <v>0.21538325778205969</v>
      </c>
      <c r="E95" s="523">
        <f t="shared" ref="E95:E103" si="11">D95-C95</f>
        <v>8.6530747903778016E-3</v>
      </c>
    </row>
    <row r="96" spans="1:5" s="506" customFormat="1" x14ac:dyDescent="0.2">
      <c r="A96" s="512">
        <v>2</v>
      </c>
      <c r="B96" s="511" t="s">
        <v>618</v>
      </c>
      <c r="C96" s="523">
        <f t="shared" si="10"/>
        <v>0.15489618853501935</v>
      </c>
      <c r="D96" s="523">
        <f t="shared" si="10"/>
        <v>0.17470535186844829</v>
      </c>
      <c r="E96" s="523">
        <f t="shared" si="11"/>
        <v>1.9809163333428942E-2</v>
      </c>
    </row>
    <row r="97" spans="1:5" s="506" customFormat="1" x14ac:dyDescent="0.2">
      <c r="A97" s="512">
        <v>3</v>
      </c>
      <c r="B97" s="511" t="s">
        <v>764</v>
      </c>
      <c r="C97" s="523">
        <f t="shared" si="10"/>
        <v>0.11096319309502102</v>
      </c>
      <c r="D97" s="523">
        <f t="shared" si="10"/>
        <v>0.13085376722153488</v>
      </c>
      <c r="E97" s="523">
        <f t="shared" si="11"/>
        <v>1.9890574126513863E-2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0.11096319309502102</v>
      </c>
      <c r="D98" s="523">
        <f t="shared" si="10"/>
        <v>0.13085376722153488</v>
      </c>
      <c r="E98" s="523">
        <f t="shared" si="11"/>
        <v>1.9890574126513863E-2</v>
      </c>
    </row>
    <row r="99" spans="1:5" s="506" customFormat="1" x14ac:dyDescent="0.2">
      <c r="A99" s="512">
        <v>5</v>
      </c>
      <c r="B99" s="511" t="s">
        <v>731</v>
      </c>
      <c r="C99" s="523">
        <f t="shared" si="10"/>
        <v>0</v>
      </c>
      <c r="D99" s="523">
        <f t="shared" si="10"/>
        <v>0</v>
      </c>
      <c r="E99" s="523">
        <f t="shared" si="11"/>
        <v>0</v>
      </c>
    </row>
    <row r="100" spans="1:5" s="506" customFormat="1" x14ac:dyDescent="0.2">
      <c r="A100" s="512">
        <v>6</v>
      </c>
      <c r="B100" s="511" t="s">
        <v>430</v>
      </c>
      <c r="C100" s="523">
        <f t="shared" si="10"/>
        <v>8.548244341088486E-4</v>
      </c>
      <c r="D100" s="523">
        <f t="shared" si="10"/>
        <v>1.0116722659953906E-3</v>
      </c>
      <c r="E100" s="523">
        <f t="shared" si="11"/>
        <v>1.5684783188654196E-4</v>
      </c>
    </row>
    <row r="101" spans="1:5" s="506" customFormat="1" x14ac:dyDescent="0.2">
      <c r="A101" s="512">
        <v>7</v>
      </c>
      <c r="B101" s="511" t="s">
        <v>746</v>
      </c>
      <c r="C101" s="523">
        <f t="shared" si="10"/>
        <v>1.6930432521609053E-2</v>
      </c>
      <c r="D101" s="523">
        <f t="shared" si="10"/>
        <v>1.8707785291134631E-2</v>
      </c>
      <c r="E101" s="523">
        <f t="shared" si="11"/>
        <v>1.7773527695255781E-3</v>
      </c>
    </row>
    <row r="102" spans="1:5" s="506" customFormat="1" x14ac:dyDescent="0.2">
      <c r="A102" s="512"/>
      <c r="B102" s="516" t="s">
        <v>786</v>
      </c>
      <c r="C102" s="524">
        <f>SUM(C96+C97+C100)</f>
        <v>0.2667142060641492</v>
      </c>
      <c r="D102" s="524">
        <f>SUM(D96+D97+D100)</f>
        <v>0.30657079135597859</v>
      </c>
      <c r="E102" s="525">
        <f t="shared" si="11"/>
        <v>3.9856585291829394E-2</v>
      </c>
    </row>
    <row r="103" spans="1:5" s="506" customFormat="1" x14ac:dyDescent="0.2">
      <c r="A103" s="512"/>
      <c r="B103" s="516" t="s">
        <v>787</v>
      </c>
      <c r="C103" s="524">
        <f>SUM(C95+C102)</f>
        <v>0.47344438905583108</v>
      </c>
      <c r="D103" s="524">
        <f>SUM(D95+D102)</f>
        <v>0.52195404913803833</v>
      </c>
      <c r="E103" s="525">
        <f t="shared" si="11"/>
        <v>4.8509660082207251E-2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788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789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639</v>
      </c>
      <c r="C109" s="523">
        <f t="shared" ref="C109:D115" si="12">IF(C$77=0,0,C47/C$77)</f>
        <v>0.18555144716367789</v>
      </c>
      <c r="D109" s="523">
        <f t="shared" si="12"/>
        <v>0.1787087520132094</v>
      </c>
      <c r="E109" s="523">
        <f t="shared" ref="E109:E117" si="13">D109-C109</f>
        <v>-6.8426951504684808E-3</v>
      </c>
    </row>
    <row r="110" spans="1:5" s="506" customFormat="1" x14ac:dyDescent="0.2">
      <c r="A110" s="512">
        <v>2</v>
      </c>
      <c r="B110" s="511" t="s">
        <v>618</v>
      </c>
      <c r="C110" s="523">
        <f t="shared" si="12"/>
        <v>0.27954907835080517</v>
      </c>
      <c r="D110" s="523">
        <f t="shared" si="12"/>
        <v>0.27545022857075024</v>
      </c>
      <c r="E110" s="523">
        <f t="shared" si="13"/>
        <v>-4.0988497800549251E-3</v>
      </c>
    </row>
    <row r="111" spans="1:5" s="506" customFormat="1" x14ac:dyDescent="0.2">
      <c r="A111" s="512">
        <v>3</v>
      </c>
      <c r="B111" s="511" t="s">
        <v>764</v>
      </c>
      <c r="C111" s="523">
        <f t="shared" si="12"/>
        <v>7.0395071343990145E-2</v>
      </c>
      <c r="D111" s="523">
        <f t="shared" si="12"/>
        <v>6.1741253263067085E-2</v>
      </c>
      <c r="E111" s="523">
        <f t="shared" si="13"/>
        <v>-8.6538180809230605E-3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7.0395071343990145E-2</v>
      </c>
      <c r="D112" s="523">
        <f t="shared" si="12"/>
        <v>6.1741253263067085E-2</v>
      </c>
      <c r="E112" s="523">
        <f t="shared" si="13"/>
        <v>-8.6538180809230605E-3</v>
      </c>
    </row>
    <row r="113" spans="1:5" s="506" customFormat="1" x14ac:dyDescent="0.2">
      <c r="A113" s="512">
        <v>5</v>
      </c>
      <c r="B113" s="511" t="s">
        <v>731</v>
      </c>
      <c r="C113" s="523">
        <f t="shared" si="12"/>
        <v>0</v>
      </c>
      <c r="D113" s="523">
        <f t="shared" si="12"/>
        <v>0</v>
      </c>
      <c r="E113" s="523">
        <f t="shared" si="13"/>
        <v>0</v>
      </c>
    </row>
    <row r="114" spans="1:5" s="506" customFormat="1" x14ac:dyDescent="0.2">
      <c r="A114" s="512">
        <v>6</v>
      </c>
      <c r="B114" s="511" t="s">
        <v>430</v>
      </c>
      <c r="C114" s="523">
        <f t="shared" si="12"/>
        <v>7.1707508873649825E-4</v>
      </c>
      <c r="D114" s="523">
        <f t="shared" si="12"/>
        <v>6.745157685760743E-4</v>
      </c>
      <c r="E114" s="523">
        <f t="shared" si="13"/>
        <v>-4.2559320160423953E-5</v>
      </c>
    </row>
    <row r="115" spans="1:5" s="506" customFormat="1" x14ac:dyDescent="0.2">
      <c r="A115" s="512">
        <v>7</v>
      </c>
      <c r="B115" s="511" t="s">
        <v>746</v>
      </c>
      <c r="C115" s="523">
        <f t="shared" si="12"/>
        <v>1.3880145157759405E-3</v>
      </c>
      <c r="D115" s="523">
        <f t="shared" si="12"/>
        <v>6.4258871076582494E-3</v>
      </c>
      <c r="E115" s="523">
        <f t="shared" si="13"/>
        <v>5.0378725918823093E-3</v>
      </c>
    </row>
    <row r="116" spans="1:5" s="506" customFormat="1" x14ac:dyDescent="0.2">
      <c r="A116" s="512"/>
      <c r="B116" s="516" t="s">
        <v>783</v>
      </c>
      <c r="C116" s="524">
        <f>SUM(C110+C111+C114)</f>
        <v>0.35066122478353179</v>
      </c>
      <c r="D116" s="524">
        <f>SUM(D110+D111+D114)</f>
        <v>0.33786599760239339</v>
      </c>
      <c r="E116" s="525">
        <f t="shared" si="13"/>
        <v>-1.2795227181138402E-2</v>
      </c>
    </row>
    <row r="117" spans="1:5" s="506" customFormat="1" x14ac:dyDescent="0.2">
      <c r="A117" s="512"/>
      <c r="B117" s="516" t="s">
        <v>784</v>
      </c>
      <c r="C117" s="524">
        <f>SUM(C109+C116)</f>
        <v>0.53621267194720967</v>
      </c>
      <c r="D117" s="524">
        <f>SUM(D109+D116)</f>
        <v>0.51657474961560279</v>
      </c>
      <c r="E117" s="525">
        <f t="shared" si="13"/>
        <v>-1.9637922331606883E-2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333</v>
      </c>
      <c r="B119" s="522" t="s">
        <v>790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639</v>
      </c>
      <c r="C121" s="523">
        <f t="shared" ref="C121:D127" si="14">IF(C$77=0,0,C58/C$77)</f>
        <v>0.28385387044058402</v>
      </c>
      <c r="D121" s="523">
        <f t="shared" si="14"/>
        <v>0.28155354879640226</v>
      </c>
      <c r="E121" s="523">
        <f t="shared" ref="E121:E129" si="15">D121-C121</f>
        <v>-2.3003216441817576E-3</v>
      </c>
    </row>
    <row r="122" spans="1:5" s="506" customFormat="1" x14ac:dyDescent="0.2">
      <c r="A122" s="512">
        <v>2</v>
      </c>
      <c r="B122" s="511" t="s">
        <v>618</v>
      </c>
      <c r="C122" s="523">
        <f t="shared" si="14"/>
        <v>9.0345902667341299E-2</v>
      </c>
      <c r="D122" s="523">
        <f t="shared" si="14"/>
        <v>0.10968656300371302</v>
      </c>
      <c r="E122" s="523">
        <f t="shared" si="15"/>
        <v>1.9340660336371718E-2</v>
      </c>
    </row>
    <row r="123" spans="1:5" s="506" customFormat="1" x14ac:dyDescent="0.2">
      <c r="A123" s="512">
        <v>3</v>
      </c>
      <c r="B123" s="511" t="s">
        <v>764</v>
      </c>
      <c r="C123" s="523">
        <f t="shared" si="14"/>
        <v>8.9058655676205578E-2</v>
      </c>
      <c r="D123" s="523">
        <f t="shared" si="14"/>
        <v>9.145107032192383E-2</v>
      </c>
      <c r="E123" s="523">
        <f t="shared" si="15"/>
        <v>2.3924146457182521E-3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8.9058655676205578E-2</v>
      </c>
      <c r="D124" s="523">
        <f t="shared" si="14"/>
        <v>9.145107032192383E-2</v>
      </c>
      <c r="E124" s="523">
        <f t="shared" si="15"/>
        <v>2.3924146457182521E-3</v>
      </c>
    </row>
    <row r="125" spans="1:5" s="506" customFormat="1" x14ac:dyDescent="0.2">
      <c r="A125" s="512">
        <v>5</v>
      </c>
      <c r="B125" s="511" t="s">
        <v>731</v>
      </c>
      <c r="C125" s="523">
        <f t="shared" si="14"/>
        <v>0</v>
      </c>
      <c r="D125" s="523">
        <f t="shared" si="14"/>
        <v>0</v>
      </c>
      <c r="E125" s="523">
        <f t="shared" si="15"/>
        <v>0</v>
      </c>
    </row>
    <row r="126" spans="1:5" s="506" customFormat="1" x14ac:dyDescent="0.2">
      <c r="A126" s="512">
        <v>6</v>
      </c>
      <c r="B126" s="511" t="s">
        <v>430</v>
      </c>
      <c r="C126" s="523">
        <f t="shared" si="14"/>
        <v>5.2889926865940266E-4</v>
      </c>
      <c r="D126" s="523">
        <f t="shared" si="14"/>
        <v>7.3406826235810621E-4</v>
      </c>
      <c r="E126" s="523">
        <f t="shared" si="15"/>
        <v>2.0516899369870355E-4</v>
      </c>
    </row>
    <row r="127" spans="1:5" s="506" customFormat="1" x14ac:dyDescent="0.2">
      <c r="A127" s="512">
        <v>7</v>
      </c>
      <c r="B127" s="511" t="s">
        <v>746</v>
      </c>
      <c r="C127" s="523">
        <f t="shared" si="14"/>
        <v>8.0966085750542646E-3</v>
      </c>
      <c r="D127" s="523">
        <f t="shared" si="14"/>
        <v>6.0218078866775835E-3</v>
      </c>
      <c r="E127" s="523">
        <f t="shared" si="15"/>
        <v>-2.0748006883766811E-3</v>
      </c>
    </row>
    <row r="128" spans="1:5" s="506" customFormat="1" x14ac:dyDescent="0.2">
      <c r="A128" s="512"/>
      <c r="B128" s="516" t="s">
        <v>786</v>
      </c>
      <c r="C128" s="524">
        <f>SUM(C122+C123+C126)</f>
        <v>0.17993345761220628</v>
      </c>
      <c r="D128" s="524">
        <f>SUM(D122+D123+D126)</f>
        <v>0.20187170158799495</v>
      </c>
      <c r="E128" s="525">
        <f t="shared" si="15"/>
        <v>2.1938243975788668E-2</v>
      </c>
    </row>
    <row r="129" spans="1:5" s="506" customFormat="1" x14ac:dyDescent="0.2">
      <c r="A129" s="512"/>
      <c r="B129" s="516" t="s">
        <v>787</v>
      </c>
      <c r="C129" s="524">
        <f>SUM(C121+C128)</f>
        <v>0.46378732805279033</v>
      </c>
      <c r="D129" s="524">
        <f>SUM(D121+D128)</f>
        <v>0.48342525038439721</v>
      </c>
      <c r="E129" s="525">
        <f t="shared" si="15"/>
        <v>1.9637922331606883E-2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791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792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793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639</v>
      </c>
      <c r="C137" s="530">
        <v>6033</v>
      </c>
      <c r="D137" s="530">
        <v>5345</v>
      </c>
      <c r="E137" s="531">
        <f t="shared" ref="E137:E145" si="16">D137-C137</f>
        <v>-688</v>
      </c>
    </row>
    <row r="138" spans="1:5" s="506" customFormat="1" x14ac:dyDescent="0.2">
      <c r="A138" s="512">
        <v>2</v>
      </c>
      <c r="B138" s="511" t="s">
        <v>618</v>
      </c>
      <c r="C138" s="530">
        <v>9651</v>
      </c>
      <c r="D138" s="530">
        <v>8524</v>
      </c>
      <c r="E138" s="531">
        <f t="shared" si="16"/>
        <v>-1127</v>
      </c>
    </row>
    <row r="139" spans="1:5" s="506" customFormat="1" x14ac:dyDescent="0.2">
      <c r="A139" s="512">
        <v>3</v>
      </c>
      <c r="B139" s="511" t="s">
        <v>764</v>
      </c>
      <c r="C139" s="530">
        <f>C140+C141</f>
        <v>4816</v>
      </c>
      <c r="D139" s="530">
        <f>D140+D141</f>
        <v>4352</v>
      </c>
      <c r="E139" s="531">
        <f t="shared" si="16"/>
        <v>-464</v>
      </c>
    </row>
    <row r="140" spans="1:5" s="506" customFormat="1" x14ac:dyDescent="0.2">
      <c r="A140" s="512">
        <v>4</v>
      </c>
      <c r="B140" s="511" t="s">
        <v>114</v>
      </c>
      <c r="C140" s="530">
        <v>4816</v>
      </c>
      <c r="D140" s="530">
        <v>4352</v>
      </c>
      <c r="E140" s="531">
        <f t="shared" si="16"/>
        <v>-464</v>
      </c>
    </row>
    <row r="141" spans="1:5" s="506" customFormat="1" x14ac:dyDescent="0.2">
      <c r="A141" s="512">
        <v>5</v>
      </c>
      <c r="B141" s="511" t="s">
        <v>731</v>
      </c>
      <c r="C141" s="530">
        <v>0</v>
      </c>
      <c r="D141" s="530">
        <v>0</v>
      </c>
      <c r="E141" s="531">
        <f t="shared" si="16"/>
        <v>0</v>
      </c>
    </row>
    <row r="142" spans="1:5" s="506" customFormat="1" x14ac:dyDescent="0.2">
      <c r="A142" s="512">
        <v>6</v>
      </c>
      <c r="B142" s="511" t="s">
        <v>430</v>
      </c>
      <c r="C142" s="530">
        <v>46</v>
      </c>
      <c r="D142" s="530">
        <v>31</v>
      </c>
      <c r="E142" s="531">
        <f t="shared" si="16"/>
        <v>-15</v>
      </c>
    </row>
    <row r="143" spans="1:5" s="506" customFormat="1" x14ac:dyDescent="0.2">
      <c r="A143" s="512">
        <v>7</v>
      </c>
      <c r="B143" s="511" t="s">
        <v>746</v>
      </c>
      <c r="C143" s="530">
        <v>187</v>
      </c>
      <c r="D143" s="530">
        <v>200</v>
      </c>
      <c r="E143" s="531">
        <f t="shared" si="16"/>
        <v>13</v>
      </c>
    </row>
    <row r="144" spans="1:5" s="506" customFormat="1" x14ac:dyDescent="0.2">
      <c r="A144" s="512"/>
      <c r="B144" s="516" t="s">
        <v>794</v>
      </c>
      <c r="C144" s="532">
        <f>SUM(C138+C139+C142)</f>
        <v>14513</v>
      </c>
      <c r="D144" s="532">
        <f>SUM(D138+D139+D142)</f>
        <v>12907</v>
      </c>
      <c r="E144" s="533">
        <f t="shared" si="16"/>
        <v>-1606</v>
      </c>
    </row>
    <row r="145" spans="1:5" s="506" customFormat="1" x14ac:dyDescent="0.2">
      <c r="A145" s="512"/>
      <c r="B145" s="516" t="s">
        <v>708</v>
      </c>
      <c r="C145" s="532">
        <f>SUM(C137+C144)</f>
        <v>20546</v>
      </c>
      <c r="D145" s="532">
        <f>SUM(D137+D144)</f>
        <v>18252</v>
      </c>
      <c r="E145" s="533">
        <f t="shared" si="16"/>
        <v>-2294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639</v>
      </c>
      <c r="C149" s="534">
        <v>19639</v>
      </c>
      <c r="D149" s="534">
        <v>17310</v>
      </c>
      <c r="E149" s="531">
        <f t="shared" ref="E149:E157" si="17">D149-C149</f>
        <v>-2329</v>
      </c>
    </row>
    <row r="150" spans="1:5" s="506" customFormat="1" x14ac:dyDescent="0.2">
      <c r="A150" s="512">
        <v>2</v>
      </c>
      <c r="B150" s="511" t="s">
        <v>618</v>
      </c>
      <c r="C150" s="534">
        <v>45378</v>
      </c>
      <c r="D150" s="534">
        <v>41020</v>
      </c>
      <c r="E150" s="531">
        <f t="shared" si="17"/>
        <v>-4358</v>
      </c>
    </row>
    <row r="151" spans="1:5" s="506" customFormat="1" x14ac:dyDescent="0.2">
      <c r="A151" s="512">
        <v>3</v>
      </c>
      <c r="B151" s="511" t="s">
        <v>764</v>
      </c>
      <c r="C151" s="534">
        <f>C152+C153</f>
        <v>17991</v>
      </c>
      <c r="D151" s="534">
        <f>D152+D153</f>
        <v>18355</v>
      </c>
      <c r="E151" s="531">
        <f t="shared" si="17"/>
        <v>364</v>
      </c>
    </row>
    <row r="152" spans="1:5" s="506" customFormat="1" x14ac:dyDescent="0.2">
      <c r="A152" s="512">
        <v>4</v>
      </c>
      <c r="B152" s="511" t="s">
        <v>114</v>
      </c>
      <c r="C152" s="534">
        <v>17991</v>
      </c>
      <c r="D152" s="534">
        <v>18355</v>
      </c>
      <c r="E152" s="531">
        <f t="shared" si="17"/>
        <v>364</v>
      </c>
    </row>
    <row r="153" spans="1:5" s="506" customFormat="1" x14ac:dyDescent="0.2">
      <c r="A153" s="512">
        <v>5</v>
      </c>
      <c r="B153" s="511" t="s">
        <v>731</v>
      </c>
      <c r="C153" s="535">
        <v>0</v>
      </c>
      <c r="D153" s="534">
        <v>0</v>
      </c>
      <c r="E153" s="531">
        <f t="shared" si="17"/>
        <v>0</v>
      </c>
    </row>
    <row r="154" spans="1:5" s="506" customFormat="1" x14ac:dyDescent="0.2">
      <c r="A154" s="512">
        <v>6</v>
      </c>
      <c r="B154" s="511" t="s">
        <v>430</v>
      </c>
      <c r="C154" s="534">
        <v>129</v>
      </c>
      <c r="D154" s="534">
        <v>86</v>
      </c>
      <c r="E154" s="531">
        <f t="shared" si="17"/>
        <v>-43</v>
      </c>
    </row>
    <row r="155" spans="1:5" s="506" customFormat="1" x14ac:dyDescent="0.2">
      <c r="A155" s="512">
        <v>7</v>
      </c>
      <c r="B155" s="511" t="s">
        <v>746</v>
      </c>
      <c r="C155" s="534">
        <v>548</v>
      </c>
      <c r="D155" s="534">
        <v>747</v>
      </c>
      <c r="E155" s="531">
        <f t="shared" si="17"/>
        <v>199</v>
      </c>
    </row>
    <row r="156" spans="1:5" s="506" customFormat="1" x14ac:dyDescent="0.2">
      <c r="A156" s="512"/>
      <c r="B156" s="516" t="s">
        <v>795</v>
      </c>
      <c r="C156" s="532">
        <f>SUM(C150+C151+C154)</f>
        <v>63498</v>
      </c>
      <c r="D156" s="532">
        <f>SUM(D150+D151+D154)</f>
        <v>59461</v>
      </c>
      <c r="E156" s="533">
        <f t="shared" si="17"/>
        <v>-4037</v>
      </c>
    </row>
    <row r="157" spans="1:5" s="506" customFormat="1" x14ac:dyDescent="0.2">
      <c r="A157" s="512"/>
      <c r="B157" s="516" t="s">
        <v>796</v>
      </c>
      <c r="C157" s="532">
        <f>SUM(C149+C156)</f>
        <v>83137</v>
      </c>
      <c r="D157" s="532">
        <f>SUM(D149+D156)</f>
        <v>76771</v>
      </c>
      <c r="E157" s="533">
        <f t="shared" si="17"/>
        <v>-6366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797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639</v>
      </c>
      <c r="C161" s="536">
        <f t="shared" ref="C161:D169" si="18">IF(C137=0,0,C149/C137)</f>
        <v>3.2552627216973313</v>
      </c>
      <c r="D161" s="536">
        <f t="shared" si="18"/>
        <v>3.2385406922357345</v>
      </c>
      <c r="E161" s="537">
        <f t="shared" ref="E161:E169" si="19">D161-C161</f>
        <v>-1.6722029461596843E-2</v>
      </c>
    </row>
    <row r="162" spans="1:5" s="506" customFormat="1" x14ac:dyDescent="0.2">
      <c r="A162" s="512">
        <v>2</v>
      </c>
      <c r="B162" s="511" t="s">
        <v>618</v>
      </c>
      <c r="C162" s="536">
        <f t="shared" si="18"/>
        <v>4.7018961765620144</v>
      </c>
      <c r="D162" s="536">
        <f t="shared" si="18"/>
        <v>4.8122946973251999</v>
      </c>
      <c r="E162" s="537">
        <f t="shared" si="19"/>
        <v>0.11039852076318546</v>
      </c>
    </row>
    <row r="163" spans="1:5" s="506" customFormat="1" x14ac:dyDescent="0.2">
      <c r="A163" s="512">
        <v>3</v>
      </c>
      <c r="B163" s="511" t="s">
        <v>764</v>
      </c>
      <c r="C163" s="536">
        <f t="shared" si="18"/>
        <v>3.7356727574750832</v>
      </c>
      <c r="D163" s="536">
        <f t="shared" si="18"/>
        <v>4.2176011029411766</v>
      </c>
      <c r="E163" s="537">
        <f t="shared" si="19"/>
        <v>0.48192834546609342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3.7356727574750832</v>
      </c>
      <c r="D164" s="536">
        <f t="shared" si="18"/>
        <v>4.2176011029411766</v>
      </c>
      <c r="E164" s="537">
        <f t="shared" si="19"/>
        <v>0.48192834546609342</v>
      </c>
    </row>
    <row r="165" spans="1:5" s="506" customFormat="1" x14ac:dyDescent="0.2">
      <c r="A165" s="512">
        <v>5</v>
      </c>
      <c r="B165" s="511" t="s">
        <v>731</v>
      </c>
      <c r="C165" s="536">
        <f t="shared" si="18"/>
        <v>0</v>
      </c>
      <c r="D165" s="536">
        <f t="shared" si="18"/>
        <v>0</v>
      </c>
      <c r="E165" s="537">
        <f t="shared" si="19"/>
        <v>0</v>
      </c>
    </row>
    <row r="166" spans="1:5" s="506" customFormat="1" x14ac:dyDescent="0.2">
      <c r="A166" s="512">
        <v>6</v>
      </c>
      <c r="B166" s="511" t="s">
        <v>430</v>
      </c>
      <c r="C166" s="536">
        <f t="shared" si="18"/>
        <v>2.8043478260869565</v>
      </c>
      <c r="D166" s="536">
        <f t="shared" si="18"/>
        <v>2.774193548387097</v>
      </c>
      <c r="E166" s="537">
        <f t="shared" si="19"/>
        <v>-3.0154277699859566E-2</v>
      </c>
    </row>
    <row r="167" spans="1:5" s="506" customFormat="1" x14ac:dyDescent="0.2">
      <c r="A167" s="512">
        <v>7</v>
      </c>
      <c r="B167" s="511" t="s">
        <v>746</v>
      </c>
      <c r="C167" s="536">
        <f t="shared" si="18"/>
        <v>2.9304812834224601</v>
      </c>
      <c r="D167" s="536">
        <f t="shared" si="18"/>
        <v>3.7349999999999999</v>
      </c>
      <c r="E167" s="537">
        <f t="shared" si="19"/>
        <v>0.80451871657753982</v>
      </c>
    </row>
    <row r="168" spans="1:5" s="506" customFormat="1" x14ac:dyDescent="0.2">
      <c r="A168" s="512"/>
      <c r="B168" s="516" t="s">
        <v>798</v>
      </c>
      <c r="C168" s="538">
        <f t="shared" si="18"/>
        <v>4.3752497760628399</v>
      </c>
      <c r="D168" s="538">
        <f t="shared" si="18"/>
        <v>4.6068799876036257</v>
      </c>
      <c r="E168" s="539">
        <f t="shared" si="19"/>
        <v>0.23163021154078578</v>
      </c>
    </row>
    <row r="169" spans="1:5" s="506" customFormat="1" x14ac:dyDescent="0.2">
      <c r="A169" s="512"/>
      <c r="B169" s="516" t="s">
        <v>732</v>
      </c>
      <c r="C169" s="538">
        <f t="shared" si="18"/>
        <v>4.0463837243259029</v>
      </c>
      <c r="D169" s="538">
        <f t="shared" si="18"/>
        <v>4.2061691869384177</v>
      </c>
      <c r="E169" s="539">
        <f t="shared" si="19"/>
        <v>0.15978546261251481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333</v>
      </c>
      <c r="B171" s="509" t="s">
        <v>799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639</v>
      </c>
      <c r="C173" s="541">
        <f t="shared" ref="C173:D181" si="20">IF(C137=0,0,C203/C137)</f>
        <v>1.09074</v>
      </c>
      <c r="D173" s="541">
        <f t="shared" si="20"/>
        <v>1.0782</v>
      </c>
      <c r="E173" s="542">
        <f t="shared" ref="E173:E181" si="21">D173-C173</f>
        <v>-1.2539999999999996E-2</v>
      </c>
    </row>
    <row r="174" spans="1:5" s="506" customFormat="1" x14ac:dyDescent="0.2">
      <c r="A174" s="512">
        <v>2</v>
      </c>
      <c r="B174" s="511" t="s">
        <v>618</v>
      </c>
      <c r="C174" s="541">
        <f t="shared" si="20"/>
        <v>1.3198799999999999</v>
      </c>
      <c r="D174" s="541">
        <f t="shared" si="20"/>
        <v>1.3797999999999999</v>
      </c>
      <c r="E174" s="542">
        <f t="shared" si="21"/>
        <v>5.9919999999999973E-2</v>
      </c>
    </row>
    <row r="175" spans="1:5" s="506" customFormat="1" x14ac:dyDescent="0.2">
      <c r="A175" s="512">
        <v>0</v>
      </c>
      <c r="B175" s="511" t="s">
        <v>764</v>
      </c>
      <c r="C175" s="541">
        <f t="shared" si="20"/>
        <v>0.97273999999999994</v>
      </c>
      <c r="D175" s="541">
        <f t="shared" si="20"/>
        <v>0.99860000000000015</v>
      </c>
      <c r="E175" s="542">
        <f t="shared" si="21"/>
        <v>2.5860000000000216E-2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0.97273999999999994</v>
      </c>
      <c r="D176" s="541">
        <f t="shared" si="20"/>
        <v>0.99860000000000015</v>
      </c>
      <c r="E176" s="542">
        <f t="shared" si="21"/>
        <v>2.5860000000000216E-2</v>
      </c>
    </row>
    <row r="177" spans="1:5" s="506" customFormat="1" x14ac:dyDescent="0.2">
      <c r="A177" s="512">
        <v>5</v>
      </c>
      <c r="B177" s="511" t="s">
        <v>731</v>
      </c>
      <c r="C177" s="541">
        <f t="shared" si="20"/>
        <v>0</v>
      </c>
      <c r="D177" s="541">
        <f t="shared" si="20"/>
        <v>0</v>
      </c>
      <c r="E177" s="542">
        <f t="shared" si="21"/>
        <v>0</v>
      </c>
    </row>
    <row r="178" spans="1:5" s="506" customFormat="1" x14ac:dyDescent="0.2">
      <c r="A178" s="512">
        <v>6</v>
      </c>
      <c r="B178" s="511" t="s">
        <v>430</v>
      </c>
      <c r="C178" s="541">
        <f t="shared" si="20"/>
        <v>0.76080999999999999</v>
      </c>
      <c r="D178" s="541">
        <f t="shared" si="20"/>
        <v>1.1358999999999999</v>
      </c>
      <c r="E178" s="542">
        <f t="shared" si="21"/>
        <v>0.37508999999999992</v>
      </c>
    </row>
    <row r="179" spans="1:5" s="506" customFormat="1" x14ac:dyDescent="0.2">
      <c r="A179" s="512">
        <v>7</v>
      </c>
      <c r="B179" s="511" t="s">
        <v>746</v>
      </c>
      <c r="C179" s="541">
        <f t="shared" si="20"/>
        <v>1.0122800000000001</v>
      </c>
      <c r="D179" s="541">
        <f t="shared" si="20"/>
        <v>0.99860000000000004</v>
      </c>
      <c r="E179" s="542">
        <f t="shared" si="21"/>
        <v>-1.3680000000000025E-2</v>
      </c>
    </row>
    <row r="180" spans="1:5" s="506" customFormat="1" x14ac:dyDescent="0.2">
      <c r="A180" s="512"/>
      <c r="B180" s="516" t="s">
        <v>800</v>
      </c>
      <c r="C180" s="543">
        <f t="shared" si="20"/>
        <v>1.2029129042927031</v>
      </c>
      <c r="D180" s="543">
        <f t="shared" si="20"/>
        <v>1.2506806616564656</v>
      </c>
      <c r="E180" s="544">
        <f t="shared" si="21"/>
        <v>4.7767757363762486E-2</v>
      </c>
    </row>
    <row r="181" spans="1:5" s="506" customFormat="1" x14ac:dyDescent="0.2">
      <c r="A181" s="512"/>
      <c r="B181" s="516" t="s">
        <v>709</v>
      </c>
      <c r="C181" s="543">
        <f t="shared" si="20"/>
        <v>1.1699751484473864</v>
      </c>
      <c r="D181" s="543">
        <f t="shared" si="20"/>
        <v>1.2001706278763973</v>
      </c>
      <c r="E181" s="544">
        <f t="shared" si="21"/>
        <v>3.0195479429010907E-2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354</v>
      </c>
      <c r="B183" s="509" t="s">
        <v>801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802</v>
      </c>
      <c r="C185" s="513">
        <v>276564149</v>
      </c>
      <c r="D185" s="513">
        <v>277830167</v>
      </c>
      <c r="E185" s="514">
        <f>D185-C185</f>
        <v>1266018</v>
      </c>
    </row>
    <row r="186" spans="1:5" s="506" customFormat="1" ht="25.5" x14ac:dyDescent="0.2">
      <c r="A186" s="512">
        <v>2</v>
      </c>
      <c r="B186" s="511" t="s">
        <v>803</v>
      </c>
      <c r="C186" s="513">
        <v>168142403</v>
      </c>
      <c r="D186" s="513">
        <v>159661043</v>
      </c>
      <c r="E186" s="514">
        <f>D186-C186</f>
        <v>-8481360</v>
      </c>
    </row>
    <row r="187" spans="1:5" s="506" customFormat="1" x14ac:dyDescent="0.2">
      <c r="A187" s="512"/>
      <c r="B187" s="511" t="s">
        <v>651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735</v>
      </c>
      <c r="C188" s="546">
        <f>+C185-C186</f>
        <v>108421746</v>
      </c>
      <c r="D188" s="546">
        <f>+D185-D186</f>
        <v>118169124</v>
      </c>
      <c r="E188" s="514">
        <f t="shared" ref="E188:E197" si="22">D188-C188</f>
        <v>9747378</v>
      </c>
    </row>
    <row r="189" spans="1:5" s="506" customFormat="1" x14ac:dyDescent="0.2">
      <c r="A189" s="512">
        <v>4</v>
      </c>
      <c r="B189" s="511" t="s">
        <v>653</v>
      </c>
      <c r="C189" s="547">
        <f>IF(C185=0,0,+C188/C185)</f>
        <v>0.3920310943845437</v>
      </c>
      <c r="D189" s="547">
        <f>IF(D185=0,0,+D188/D185)</f>
        <v>0.42532862891019318</v>
      </c>
      <c r="E189" s="523">
        <f t="shared" si="22"/>
        <v>3.3297534525649486E-2</v>
      </c>
    </row>
    <row r="190" spans="1:5" s="506" customFormat="1" x14ac:dyDescent="0.2">
      <c r="A190" s="512">
        <v>5</v>
      </c>
      <c r="B190" s="511" t="s">
        <v>750</v>
      </c>
      <c r="C190" s="513">
        <v>0</v>
      </c>
      <c r="D190" s="513">
        <v>7320406</v>
      </c>
      <c r="E190" s="546">
        <f t="shared" si="22"/>
        <v>7320406</v>
      </c>
    </row>
    <row r="191" spans="1:5" s="506" customFormat="1" x14ac:dyDescent="0.2">
      <c r="A191" s="512">
        <v>6</v>
      </c>
      <c r="B191" s="511" t="s">
        <v>736</v>
      </c>
      <c r="C191" s="513">
        <v>0</v>
      </c>
      <c r="D191" s="513">
        <v>7320406</v>
      </c>
      <c r="E191" s="546">
        <f t="shared" si="22"/>
        <v>7320406</v>
      </c>
    </row>
    <row r="192" spans="1:5" ht="29.25" x14ac:dyDescent="0.2">
      <c r="A192" s="512">
        <v>7</v>
      </c>
      <c r="B192" s="548" t="s">
        <v>804</v>
      </c>
      <c r="C192" s="513">
        <v>0</v>
      </c>
      <c r="D192" s="513">
        <v>0</v>
      </c>
      <c r="E192" s="546">
        <f t="shared" si="22"/>
        <v>0</v>
      </c>
    </row>
    <row r="193" spans="1:5" s="506" customFormat="1" x14ac:dyDescent="0.2">
      <c r="A193" s="512">
        <v>8</v>
      </c>
      <c r="B193" s="511" t="s">
        <v>805</v>
      </c>
      <c r="C193" s="513">
        <v>17262086</v>
      </c>
      <c r="D193" s="513">
        <v>6791581</v>
      </c>
      <c r="E193" s="546">
        <f t="shared" si="22"/>
        <v>-10470505</v>
      </c>
    </row>
    <row r="194" spans="1:5" s="506" customFormat="1" x14ac:dyDescent="0.2">
      <c r="A194" s="512">
        <v>9</v>
      </c>
      <c r="B194" s="511" t="s">
        <v>806</v>
      </c>
      <c r="C194" s="513">
        <v>1140529</v>
      </c>
      <c r="D194" s="513">
        <v>17293190</v>
      </c>
      <c r="E194" s="546">
        <f t="shared" si="22"/>
        <v>16152661</v>
      </c>
    </row>
    <row r="195" spans="1:5" s="506" customFormat="1" x14ac:dyDescent="0.2">
      <c r="A195" s="512">
        <v>10</v>
      </c>
      <c r="B195" s="511" t="s">
        <v>807</v>
      </c>
      <c r="C195" s="513">
        <f>+C193+C194</f>
        <v>18402615</v>
      </c>
      <c r="D195" s="513">
        <f>+D193+D194</f>
        <v>24084771</v>
      </c>
      <c r="E195" s="549">
        <f t="shared" si="22"/>
        <v>5682156</v>
      </c>
    </row>
    <row r="196" spans="1:5" s="506" customFormat="1" x14ac:dyDescent="0.2">
      <c r="A196" s="512">
        <v>11</v>
      </c>
      <c r="B196" s="511" t="s">
        <v>808</v>
      </c>
      <c r="C196" s="513">
        <v>276564149</v>
      </c>
      <c r="D196" s="513">
        <v>277830167</v>
      </c>
      <c r="E196" s="546">
        <f t="shared" si="22"/>
        <v>1266018</v>
      </c>
    </row>
    <row r="197" spans="1:5" s="506" customFormat="1" x14ac:dyDescent="0.2">
      <c r="A197" s="512">
        <v>12</v>
      </c>
      <c r="B197" s="511" t="s">
        <v>693</v>
      </c>
      <c r="C197" s="513">
        <v>368573386</v>
      </c>
      <c r="D197" s="513">
        <v>389521494</v>
      </c>
      <c r="E197" s="546">
        <f t="shared" si="22"/>
        <v>20948108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809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810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639</v>
      </c>
      <c r="C203" s="553">
        <v>6580.4344200000005</v>
      </c>
      <c r="D203" s="553">
        <v>5762.9790000000003</v>
      </c>
      <c r="E203" s="554">
        <f t="shared" ref="E203:E211" si="23">D203-C203</f>
        <v>-817.45542000000023</v>
      </c>
    </row>
    <row r="204" spans="1:5" s="506" customFormat="1" x14ac:dyDescent="0.2">
      <c r="A204" s="512">
        <v>2</v>
      </c>
      <c r="B204" s="511" t="s">
        <v>618</v>
      </c>
      <c r="C204" s="553">
        <v>12738.16188</v>
      </c>
      <c r="D204" s="553">
        <v>11761.415199999999</v>
      </c>
      <c r="E204" s="554">
        <f t="shared" si="23"/>
        <v>-976.7466800000002</v>
      </c>
    </row>
    <row r="205" spans="1:5" s="506" customFormat="1" x14ac:dyDescent="0.2">
      <c r="A205" s="512">
        <v>3</v>
      </c>
      <c r="B205" s="511" t="s">
        <v>764</v>
      </c>
      <c r="C205" s="553">
        <f>C206+C207</f>
        <v>4684.7158399999998</v>
      </c>
      <c r="D205" s="553">
        <f>D206+D207</f>
        <v>4345.9072000000006</v>
      </c>
      <c r="E205" s="554">
        <f t="shared" si="23"/>
        <v>-338.80863999999929</v>
      </c>
    </row>
    <row r="206" spans="1:5" s="506" customFormat="1" x14ac:dyDescent="0.2">
      <c r="A206" s="512">
        <v>4</v>
      </c>
      <c r="B206" s="511" t="s">
        <v>114</v>
      </c>
      <c r="C206" s="553">
        <v>4684.7158399999998</v>
      </c>
      <c r="D206" s="553">
        <v>4345.9072000000006</v>
      </c>
      <c r="E206" s="554">
        <f t="shared" si="23"/>
        <v>-338.80863999999929</v>
      </c>
    </row>
    <row r="207" spans="1:5" s="506" customFormat="1" x14ac:dyDescent="0.2">
      <c r="A207" s="512">
        <v>5</v>
      </c>
      <c r="B207" s="511" t="s">
        <v>731</v>
      </c>
      <c r="C207" s="553">
        <v>0</v>
      </c>
      <c r="D207" s="553">
        <v>0</v>
      </c>
      <c r="E207" s="554">
        <f t="shared" si="23"/>
        <v>0</v>
      </c>
    </row>
    <row r="208" spans="1:5" s="506" customFormat="1" x14ac:dyDescent="0.2">
      <c r="A208" s="512">
        <v>6</v>
      </c>
      <c r="B208" s="511" t="s">
        <v>430</v>
      </c>
      <c r="C208" s="553">
        <v>34.997259999999997</v>
      </c>
      <c r="D208" s="553">
        <v>35.212899999999998</v>
      </c>
      <c r="E208" s="554">
        <f t="shared" si="23"/>
        <v>0.2156400000000005</v>
      </c>
    </row>
    <row r="209" spans="1:5" s="506" customFormat="1" x14ac:dyDescent="0.2">
      <c r="A209" s="512">
        <v>7</v>
      </c>
      <c r="B209" s="511" t="s">
        <v>746</v>
      </c>
      <c r="C209" s="553">
        <v>189.29636000000002</v>
      </c>
      <c r="D209" s="553">
        <v>199.72</v>
      </c>
      <c r="E209" s="554">
        <f t="shared" si="23"/>
        <v>10.423639999999978</v>
      </c>
    </row>
    <row r="210" spans="1:5" s="506" customFormat="1" x14ac:dyDescent="0.2">
      <c r="A210" s="512"/>
      <c r="B210" s="516" t="s">
        <v>811</v>
      </c>
      <c r="C210" s="555">
        <f>C204+C205+C208</f>
        <v>17457.874980000001</v>
      </c>
      <c r="D210" s="555">
        <f>D204+D205+D208</f>
        <v>16142.535300000001</v>
      </c>
      <c r="E210" s="556">
        <f t="shared" si="23"/>
        <v>-1315.3396799999991</v>
      </c>
    </row>
    <row r="211" spans="1:5" s="506" customFormat="1" x14ac:dyDescent="0.2">
      <c r="A211" s="512"/>
      <c r="B211" s="516" t="s">
        <v>710</v>
      </c>
      <c r="C211" s="555">
        <f>C210+C203</f>
        <v>24038.309400000002</v>
      </c>
      <c r="D211" s="555">
        <f>D210+D203</f>
        <v>21905.514300000003</v>
      </c>
      <c r="E211" s="556">
        <f t="shared" si="23"/>
        <v>-2132.7950999999994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812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639</v>
      </c>
      <c r="C215" s="557">
        <f>IF(C14*C137=0,0,C25/C14*C137)</f>
        <v>9615.5231354512161</v>
      </c>
      <c r="D215" s="557">
        <f>IF(D14*D137=0,0,D25/D14*D137)</f>
        <v>9964.2797467741802</v>
      </c>
      <c r="E215" s="557">
        <f t="shared" ref="E215:E223" si="24">D215-C215</f>
        <v>348.75661132296409</v>
      </c>
    </row>
    <row r="216" spans="1:5" s="506" customFormat="1" x14ac:dyDescent="0.2">
      <c r="A216" s="512">
        <v>2</v>
      </c>
      <c r="B216" s="511" t="s">
        <v>618</v>
      </c>
      <c r="C216" s="557">
        <f>IF(C15*C138=0,0,C26/C15*C138)</f>
        <v>4939.3312824060995</v>
      </c>
      <c r="D216" s="557">
        <f>IF(D15*D138=0,0,D26/D15*D138)</f>
        <v>5434.2163188030509</v>
      </c>
      <c r="E216" s="557">
        <f t="shared" si="24"/>
        <v>494.88503639695136</v>
      </c>
    </row>
    <row r="217" spans="1:5" s="506" customFormat="1" x14ac:dyDescent="0.2">
      <c r="A217" s="512">
        <v>3</v>
      </c>
      <c r="B217" s="511" t="s">
        <v>764</v>
      </c>
      <c r="C217" s="557">
        <f>C218+C219</f>
        <v>5710.2449044283421</v>
      </c>
      <c r="D217" s="557">
        <f>D218+D219</f>
        <v>6480.3569307409052</v>
      </c>
      <c r="E217" s="557">
        <f t="shared" si="24"/>
        <v>770.1120263125631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5710.2449044283421</v>
      </c>
      <c r="D218" s="557">
        <f t="shared" si="25"/>
        <v>6480.3569307409052</v>
      </c>
      <c r="E218" s="557">
        <f t="shared" si="24"/>
        <v>770.1120263125631</v>
      </c>
    </row>
    <row r="219" spans="1:5" s="506" customFormat="1" x14ac:dyDescent="0.2">
      <c r="A219" s="512">
        <v>5</v>
      </c>
      <c r="B219" s="511" t="s">
        <v>731</v>
      </c>
      <c r="C219" s="557">
        <f t="shared" si="25"/>
        <v>0</v>
      </c>
      <c r="D219" s="557">
        <f t="shared" si="25"/>
        <v>0</v>
      </c>
      <c r="E219" s="557">
        <f t="shared" si="24"/>
        <v>0</v>
      </c>
    </row>
    <row r="220" spans="1:5" s="506" customFormat="1" x14ac:dyDescent="0.2">
      <c r="A220" s="512">
        <v>6</v>
      </c>
      <c r="B220" s="511" t="s">
        <v>430</v>
      </c>
      <c r="C220" s="557">
        <f t="shared" si="25"/>
        <v>64.519978872155093</v>
      </c>
      <c r="D220" s="557">
        <f t="shared" si="25"/>
        <v>52.754517757370976</v>
      </c>
      <c r="E220" s="557">
        <f t="shared" si="24"/>
        <v>-11.765461114784117</v>
      </c>
    </row>
    <row r="221" spans="1:5" s="506" customFormat="1" x14ac:dyDescent="0.2">
      <c r="A221" s="512">
        <v>7</v>
      </c>
      <c r="B221" s="511" t="s">
        <v>746</v>
      </c>
      <c r="C221" s="557">
        <f t="shared" si="25"/>
        <v>803.1935699484925</v>
      </c>
      <c r="D221" s="557">
        <f t="shared" si="25"/>
        <v>462.53539348362074</v>
      </c>
      <c r="E221" s="557">
        <f t="shared" si="24"/>
        <v>-340.65817646487176</v>
      </c>
    </row>
    <row r="222" spans="1:5" s="506" customFormat="1" x14ac:dyDescent="0.2">
      <c r="A222" s="512"/>
      <c r="B222" s="516" t="s">
        <v>813</v>
      </c>
      <c r="C222" s="558">
        <f>C216+C218+C219+C220</f>
        <v>10714.096165706596</v>
      </c>
      <c r="D222" s="558">
        <f>D216+D218+D219+D220</f>
        <v>11967.327767301325</v>
      </c>
      <c r="E222" s="558">
        <f t="shared" si="24"/>
        <v>1253.231601594729</v>
      </c>
    </row>
    <row r="223" spans="1:5" s="506" customFormat="1" x14ac:dyDescent="0.2">
      <c r="A223" s="512"/>
      <c r="B223" s="516" t="s">
        <v>814</v>
      </c>
      <c r="C223" s="558">
        <f>C215+C222</f>
        <v>20329.619301157814</v>
      </c>
      <c r="D223" s="558">
        <f>D215+D222</f>
        <v>21931.607514075506</v>
      </c>
      <c r="E223" s="558">
        <f t="shared" si="24"/>
        <v>1601.9882129176913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815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639</v>
      </c>
      <c r="C227" s="560">
        <f t="shared" ref="C227:D235" si="26">IF(C203=0,0,C47/C203)</f>
        <v>10500.777697895513</v>
      </c>
      <c r="D227" s="560">
        <f t="shared" si="26"/>
        <v>11326.559926732338</v>
      </c>
      <c r="E227" s="560">
        <f t="shared" ref="E227:E235" si="27">D227-C227</f>
        <v>825.78222883682429</v>
      </c>
    </row>
    <row r="228" spans="1:5" s="506" customFormat="1" x14ac:dyDescent="0.2">
      <c r="A228" s="512">
        <v>2</v>
      </c>
      <c r="B228" s="511" t="s">
        <v>618</v>
      </c>
      <c r="C228" s="560">
        <f t="shared" si="26"/>
        <v>8172.6515945328847</v>
      </c>
      <c r="D228" s="560">
        <f t="shared" si="26"/>
        <v>8554.2669218921892</v>
      </c>
      <c r="E228" s="560">
        <f t="shared" si="27"/>
        <v>381.6153273593045</v>
      </c>
    </row>
    <row r="229" spans="1:5" s="506" customFormat="1" x14ac:dyDescent="0.2">
      <c r="A229" s="512">
        <v>3</v>
      </c>
      <c r="B229" s="511" t="s">
        <v>764</v>
      </c>
      <c r="C229" s="560">
        <f t="shared" si="26"/>
        <v>5595.9095269266109</v>
      </c>
      <c r="D229" s="560">
        <f t="shared" si="26"/>
        <v>5189.1262197223168</v>
      </c>
      <c r="E229" s="560">
        <f t="shared" si="27"/>
        <v>-406.78330720429403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5595.9095269266109</v>
      </c>
      <c r="D230" s="560">
        <f t="shared" si="26"/>
        <v>5189.1262197223168</v>
      </c>
      <c r="E230" s="560">
        <f t="shared" si="27"/>
        <v>-406.78330720429403</v>
      </c>
    </row>
    <row r="231" spans="1:5" s="506" customFormat="1" x14ac:dyDescent="0.2">
      <c r="A231" s="512">
        <v>5</v>
      </c>
      <c r="B231" s="511" t="s">
        <v>731</v>
      </c>
      <c r="C231" s="560">
        <f t="shared" si="26"/>
        <v>0</v>
      </c>
      <c r="D231" s="560">
        <f t="shared" si="26"/>
        <v>0</v>
      </c>
      <c r="E231" s="560">
        <f t="shared" si="27"/>
        <v>0</v>
      </c>
    </row>
    <row r="232" spans="1:5" s="506" customFormat="1" x14ac:dyDescent="0.2">
      <c r="A232" s="512">
        <v>6</v>
      </c>
      <c r="B232" s="511" t="s">
        <v>430</v>
      </c>
      <c r="C232" s="560">
        <f t="shared" si="26"/>
        <v>7630.3116301104719</v>
      </c>
      <c r="D232" s="560">
        <f t="shared" si="26"/>
        <v>6996.6404357493993</v>
      </c>
      <c r="E232" s="560">
        <f t="shared" si="27"/>
        <v>-633.67119436107259</v>
      </c>
    </row>
    <row r="233" spans="1:5" s="506" customFormat="1" x14ac:dyDescent="0.2">
      <c r="A233" s="512">
        <v>7</v>
      </c>
      <c r="B233" s="511" t="s">
        <v>746</v>
      </c>
      <c r="C233" s="560">
        <f t="shared" si="26"/>
        <v>2730.6335948562346</v>
      </c>
      <c r="D233" s="560">
        <f t="shared" si="26"/>
        <v>11751.972761866613</v>
      </c>
      <c r="E233" s="560">
        <f t="shared" si="27"/>
        <v>9021.3391670103774</v>
      </c>
    </row>
    <row r="234" spans="1:5" x14ac:dyDescent="0.2">
      <c r="A234" s="512"/>
      <c r="B234" s="516" t="s">
        <v>816</v>
      </c>
      <c r="C234" s="561">
        <f t="shared" si="26"/>
        <v>7480.1111332050559</v>
      </c>
      <c r="D234" s="561">
        <f t="shared" si="26"/>
        <v>7644.903090284708</v>
      </c>
      <c r="E234" s="561">
        <f t="shared" si="27"/>
        <v>164.79195707965209</v>
      </c>
    </row>
    <row r="235" spans="1:5" s="506" customFormat="1" x14ac:dyDescent="0.2">
      <c r="A235" s="512"/>
      <c r="B235" s="516" t="s">
        <v>817</v>
      </c>
      <c r="C235" s="561">
        <f t="shared" si="26"/>
        <v>8307.0119731464965</v>
      </c>
      <c r="D235" s="561">
        <f t="shared" si="26"/>
        <v>8613.4861942045336</v>
      </c>
      <c r="E235" s="561">
        <f t="shared" si="27"/>
        <v>306.47422105803707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333</v>
      </c>
      <c r="B237" s="509" t="s">
        <v>818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639</v>
      </c>
      <c r="C239" s="560">
        <f t="shared" ref="C239:D247" si="28">IF(C215=0,0,C58/C215)</f>
        <v>10993.439411556215</v>
      </c>
      <c r="D239" s="560">
        <f t="shared" si="28"/>
        <v>10320.823141611727</v>
      </c>
      <c r="E239" s="562">
        <f t="shared" ref="E239:E247" si="29">D239-C239</f>
        <v>-672.61626994448852</v>
      </c>
    </row>
    <row r="240" spans="1:5" s="506" customFormat="1" x14ac:dyDescent="0.2">
      <c r="A240" s="512">
        <v>2</v>
      </c>
      <c r="B240" s="511" t="s">
        <v>618</v>
      </c>
      <c r="C240" s="560">
        <f t="shared" si="28"/>
        <v>6811.6447503416912</v>
      </c>
      <c r="D240" s="560">
        <f t="shared" si="28"/>
        <v>7372.5164126010586</v>
      </c>
      <c r="E240" s="562">
        <f t="shared" si="29"/>
        <v>560.87166225936744</v>
      </c>
    </row>
    <row r="241" spans="1:5" x14ac:dyDescent="0.2">
      <c r="A241" s="512">
        <v>3</v>
      </c>
      <c r="B241" s="511" t="s">
        <v>764</v>
      </c>
      <c r="C241" s="560">
        <f t="shared" si="28"/>
        <v>5808.0866153883881</v>
      </c>
      <c r="D241" s="560">
        <f t="shared" si="28"/>
        <v>5154.5304304991396</v>
      </c>
      <c r="E241" s="562">
        <f t="shared" si="29"/>
        <v>-653.55618488924847</v>
      </c>
    </row>
    <row r="242" spans="1:5" x14ac:dyDescent="0.2">
      <c r="A242" s="512">
        <v>4</v>
      </c>
      <c r="B242" s="511" t="s">
        <v>114</v>
      </c>
      <c r="C242" s="560">
        <f t="shared" si="28"/>
        <v>5808.0866153883881</v>
      </c>
      <c r="D242" s="560">
        <f t="shared" si="28"/>
        <v>5154.5304304991396</v>
      </c>
      <c r="E242" s="562">
        <f t="shared" si="29"/>
        <v>-653.55618488924847</v>
      </c>
    </row>
    <row r="243" spans="1:5" x14ac:dyDescent="0.2">
      <c r="A243" s="512">
        <v>5</v>
      </c>
      <c r="B243" s="511" t="s">
        <v>731</v>
      </c>
      <c r="C243" s="560">
        <f t="shared" si="28"/>
        <v>0</v>
      </c>
      <c r="D243" s="560">
        <f t="shared" si="28"/>
        <v>0</v>
      </c>
      <c r="E243" s="562">
        <f t="shared" si="29"/>
        <v>0</v>
      </c>
    </row>
    <row r="244" spans="1:5" x14ac:dyDescent="0.2">
      <c r="A244" s="512">
        <v>6</v>
      </c>
      <c r="B244" s="511" t="s">
        <v>430</v>
      </c>
      <c r="C244" s="560">
        <f t="shared" si="28"/>
        <v>3052.7443350574836</v>
      </c>
      <c r="D244" s="560">
        <f t="shared" si="28"/>
        <v>5082.4841435032758</v>
      </c>
      <c r="E244" s="562">
        <f t="shared" si="29"/>
        <v>2029.7398084457923</v>
      </c>
    </row>
    <row r="245" spans="1:5" x14ac:dyDescent="0.2">
      <c r="A245" s="512">
        <v>7</v>
      </c>
      <c r="B245" s="511" t="s">
        <v>746</v>
      </c>
      <c r="C245" s="560">
        <f t="shared" si="28"/>
        <v>3754.0029113945216</v>
      </c>
      <c r="D245" s="560">
        <f t="shared" si="28"/>
        <v>4755.3355505061236</v>
      </c>
      <c r="E245" s="562">
        <f t="shared" si="29"/>
        <v>1001.332639111602</v>
      </c>
    </row>
    <row r="246" spans="1:5" ht="25.5" x14ac:dyDescent="0.2">
      <c r="A246" s="512"/>
      <c r="B246" s="516" t="s">
        <v>819</v>
      </c>
      <c r="C246" s="561">
        <f t="shared" si="28"/>
        <v>6254.1467766992773</v>
      </c>
      <c r="D246" s="561">
        <f t="shared" si="28"/>
        <v>6161.3729843239298</v>
      </c>
      <c r="E246" s="563">
        <f t="shared" si="29"/>
        <v>-92.773792375347512</v>
      </c>
    </row>
    <row r="247" spans="1:5" x14ac:dyDescent="0.2">
      <c r="A247" s="512"/>
      <c r="B247" s="516" t="s">
        <v>820</v>
      </c>
      <c r="C247" s="561">
        <f t="shared" si="28"/>
        <v>8495.7420225849237</v>
      </c>
      <c r="D247" s="561">
        <f t="shared" si="28"/>
        <v>8051.1535183490741</v>
      </c>
      <c r="E247" s="563">
        <f t="shared" si="29"/>
        <v>-444.58850423584954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748</v>
      </c>
      <c r="B249" s="550" t="s">
        <v>745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5730562.7264147094</v>
      </c>
      <c r="D251" s="546">
        <f>((IF((IF(D15=0,0,D26/D15)*D138)=0,0,D59/(IF(D15=0,0,D26/D15)*D138)))-(IF((IF(D17=0,0,D28/D17)*D140)=0,0,D61/(IF(D17=0,0,D28/D17)*D140))))*(IF(D17=0,0,D28/D17)*D140)</f>
        <v>14373340.831400344</v>
      </c>
      <c r="E251" s="546">
        <f>D251-C251</f>
        <v>8642778.1049856357</v>
      </c>
    </row>
    <row r="252" spans="1:5" x14ac:dyDescent="0.2">
      <c r="A252" s="512">
        <v>2</v>
      </c>
      <c r="B252" s="511" t="s">
        <v>731</v>
      </c>
      <c r="C252" s="546">
        <f>IF(C231=0,0,(C228-C231)*C207)+IF(C243=0,0,(C240-C243)*C219)</f>
        <v>0</v>
      </c>
      <c r="D252" s="546">
        <f>IF(D231=0,0,(D228-D231)*D207)+IF(D243=0,0,(D240-D243)*D219)</f>
        <v>0</v>
      </c>
      <c r="E252" s="546">
        <f>D252-C252</f>
        <v>0</v>
      </c>
    </row>
    <row r="253" spans="1:5" x14ac:dyDescent="0.2">
      <c r="A253" s="512">
        <v>3</v>
      </c>
      <c r="B253" s="511" t="s">
        <v>746</v>
      </c>
      <c r="C253" s="546">
        <f>IF(C233=0,0,(C228-C233)*C209+IF(C221=0,0,(C240-C245)*C221))</f>
        <v>3486032.4626411218</v>
      </c>
      <c r="D253" s="546">
        <f>IF(D233=0,0,(D228-D233)*D209+IF(D221=0,0,(D240-D245)*D221))</f>
        <v>571892.96950719075</v>
      </c>
      <c r="E253" s="546">
        <f>D253-C253</f>
        <v>-2914139.493133931</v>
      </c>
    </row>
    <row r="254" spans="1:5" ht="15" customHeight="1" x14ac:dyDescent="0.2">
      <c r="A254" s="512"/>
      <c r="B254" s="516" t="s">
        <v>747</v>
      </c>
      <c r="C254" s="564">
        <f>+C251+C252+C253</f>
        <v>9216595.1890558302</v>
      </c>
      <c r="D254" s="564">
        <f>+D251+D252+D253</f>
        <v>14945233.800907535</v>
      </c>
      <c r="E254" s="564">
        <f>D254-C254</f>
        <v>5728638.6118517052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821</v>
      </c>
      <c r="B256" s="550" t="s">
        <v>822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713</v>
      </c>
      <c r="C258" s="546">
        <f>+C44</f>
        <v>841847719</v>
      </c>
      <c r="D258" s="549">
        <f>+D44</f>
        <v>860748119</v>
      </c>
      <c r="E258" s="546">
        <f t="shared" ref="E258:E271" si="30">D258-C258</f>
        <v>18900400</v>
      </c>
    </row>
    <row r="259" spans="1:5" x14ac:dyDescent="0.2">
      <c r="A259" s="512">
        <v>2</v>
      </c>
      <c r="B259" s="511" t="s">
        <v>730</v>
      </c>
      <c r="C259" s="546">
        <f>+(C43-C76)</f>
        <v>361024247</v>
      </c>
      <c r="D259" s="549">
        <f>+(D43-D76)</f>
        <v>378767524</v>
      </c>
      <c r="E259" s="546">
        <f t="shared" si="30"/>
        <v>17743277</v>
      </c>
    </row>
    <row r="260" spans="1:5" x14ac:dyDescent="0.2">
      <c r="A260" s="512">
        <v>3</v>
      </c>
      <c r="B260" s="511" t="s">
        <v>734</v>
      </c>
      <c r="C260" s="546">
        <f>C195</f>
        <v>18402615</v>
      </c>
      <c r="D260" s="546">
        <f>D195</f>
        <v>24084771</v>
      </c>
      <c r="E260" s="546">
        <f t="shared" si="30"/>
        <v>5682156</v>
      </c>
    </row>
    <row r="261" spans="1:5" x14ac:dyDescent="0.2">
      <c r="A261" s="512">
        <v>4</v>
      </c>
      <c r="B261" s="511" t="s">
        <v>735</v>
      </c>
      <c r="C261" s="546">
        <f>C188</f>
        <v>108421746</v>
      </c>
      <c r="D261" s="546">
        <f>D188</f>
        <v>118169124</v>
      </c>
      <c r="E261" s="546">
        <f t="shared" si="30"/>
        <v>9747378</v>
      </c>
    </row>
    <row r="262" spans="1:5" x14ac:dyDescent="0.2">
      <c r="A262" s="512">
        <v>5</v>
      </c>
      <c r="B262" s="511" t="s">
        <v>736</v>
      </c>
      <c r="C262" s="546">
        <f>C191</f>
        <v>0</v>
      </c>
      <c r="D262" s="546">
        <f>D191</f>
        <v>7320406</v>
      </c>
      <c r="E262" s="546">
        <f t="shared" si="30"/>
        <v>7320406</v>
      </c>
    </row>
    <row r="263" spans="1:5" x14ac:dyDescent="0.2">
      <c r="A263" s="512">
        <v>6</v>
      </c>
      <c r="B263" s="511" t="s">
        <v>737</v>
      </c>
      <c r="C263" s="546">
        <f>+C259+C260+C261+C262</f>
        <v>487848608</v>
      </c>
      <c r="D263" s="546">
        <f>+D259+D260+D261+D262</f>
        <v>528341825</v>
      </c>
      <c r="E263" s="546">
        <f t="shared" si="30"/>
        <v>40493217</v>
      </c>
    </row>
    <row r="264" spans="1:5" x14ac:dyDescent="0.2">
      <c r="A264" s="512">
        <v>7</v>
      </c>
      <c r="B264" s="511" t="s">
        <v>637</v>
      </c>
      <c r="C264" s="546">
        <f>+C258-C263</f>
        <v>353999111</v>
      </c>
      <c r="D264" s="546">
        <f>+D258-D263</f>
        <v>332406294</v>
      </c>
      <c r="E264" s="546">
        <f t="shared" si="30"/>
        <v>-21592817</v>
      </c>
    </row>
    <row r="265" spans="1:5" x14ac:dyDescent="0.2">
      <c r="A265" s="512">
        <v>8</v>
      </c>
      <c r="B265" s="511" t="s">
        <v>823</v>
      </c>
      <c r="C265" s="565">
        <f>C192</f>
        <v>0</v>
      </c>
      <c r="D265" s="565">
        <f>D192</f>
        <v>0</v>
      </c>
      <c r="E265" s="546">
        <f t="shared" si="30"/>
        <v>0</v>
      </c>
    </row>
    <row r="266" spans="1:5" x14ac:dyDescent="0.2">
      <c r="A266" s="512">
        <v>9</v>
      </c>
      <c r="B266" s="511" t="s">
        <v>824</v>
      </c>
      <c r="C266" s="546">
        <f>+C264+C265</f>
        <v>353999111</v>
      </c>
      <c r="D266" s="546">
        <f>+D264+D265</f>
        <v>332406294</v>
      </c>
      <c r="E266" s="565">
        <f t="shared" si="30"/>
        <v>-21592817</v>
      </c>
    </row>
    <row r="267" spans="1:5" x14ac:dyDescent="0.2">
      <c r="A267" s="512">
        <v>10</v>
      </c>
      <c r="B267" s="511" t="s">
        <v>825</v>
      </c>
      <c r="C267" s="566">
        <f>IF(C258=0,0,C266/C258)</f>
        <v>0.42050254815740612</v>
      </c>
      <c r="D267" s="566">
        <f>IF(D258=0,0,D266/D258)</f>
        <v>0.38618300367148406</v>
      </c>
      <c r="E267" s="567">
        <f t="shared" si="30"/>
        <v>-3.431954448592206E-2</v>
      </c>
    </row>
    <row r="268" spans="1:5" x14ac:dyDescent="0.2">
      <c r="A268" s="512">
        <v>11</v>
      </c>
      <c r="B268" s="511" t="s">
        <v>699</v>
      </c>
      <c r="C268" s="546">
        <f>+C260*C267</f>
        <v>7738346.500259704</v>
      </c>
      <c r="D268" s="568">
        <f>+D260*D267</f>
        <v>9301129.2075198535</v>
      </c>
      <c r="E268" s="546">
        <f t="shared" si="30"/>
        <v>1562782.7072601495</v>
      </c>
    </row>
    <row r="269" spans="1:5" x14ac:dyDescent="0.2">
      <c r="A269" s="512">
        <v>12</v>
      </c>
      <c r="B269" s="511" t="s">
        <v>826</v>
      </c>
      <c r="C269" s="546">
        <f>((C17+C18+C28+C29)*C267)-(C50+C51+C61+C62)</f>
        <v>13029374.528758541</v>
      </c>
      <c r="D269" s="568">
        <f>((D17+D18+D28+D29)*D267)-(D50+D51+D61+D62)</f>
        <v>16752890.805733621</v>
      </c>
      <c r="E269" s="546">
        <f t="shared" si="30"/>
        <v>3723516.2769750804</v>
      </c>
    </row>
    <row r="270" spans="1:5" s="569" customFormat="1" x14ac:dyDescent="0.2">
      <c r="A270" s="570">
        <v>13</v>
      </c>
      <c r="B270" s="571" t="s">
        <v>827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828</v>
      </c>
      <c r="C271" s="546">
        <f>+C268+C269+C270</f>
        <v>20767721.029018246</v>
      </c>
      <c r="D271" s="546">
        <f>+D268+D269+D270</f>
        <v>26054020.013253473</v>
      </c>
      <c r="E271" s="549">
        <f t="shared" si="30"/>
        <v>5286298.9842352271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829</v>
      </c>
      <c r="B273" s="550" t="s">
        <v>830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831</v>
      </c>
      <c r="C275" s="340"/>
      <c r="D275" s="340"/>
      <c r="E275" s="520"/>
    </row>
    <row r="276" spans="1:5" x14ac:dyDescent="0.2">
      <c r="A276" s="512">
        <v>1</v>
      </c>
      <c r="B276" s="511" t="s">
        <v>639</v>
      </c>
      <c r="C276" s="547">
        <f t="shared" ref="C276:D284" si="31">IF(C14=0,0,+C47/C14)</f>
        <v>0.63281708101938861</v>
      </c>
      <c r="D276" s="547">
        <f t="shared" si="31"/>
        <v>0.65637985333089355</v>
      </c>
      <c r="E276" s="574">
        <f t="shared" ref="E276:E284" si="32">D276-C276</f>
        <v>2.3562772311504943E-2</v>
      </c>
    </row>
    <row r="277" spans="1:5" x14ac:dyDescent="0.2">
      <c r="A277" s="512">
        <v>2</v>
      </c>
      <c r="B277" s="511" t="s">
        <v>618</v>
      </c>
      <c r="C277" s="547">
        <f t="shared" si="31"/>
        <v>0.40859337219769226</v>
      </c>
      <c r="D277" s="547">
        <f t="shared" si="31"/>
        <v>0.42653391501411492</v>
      </c>
      <c r="E277" s="574">
        <f t="shared" si="32"/>
        <v>1.7940542816422655E-2</v>
      </c>
    </row>
    <row r="278" spans="1:5" x14ac:dyDescent="0.2">
      <c r="A278" s="512">
        <v>3</v>
      </c>
      <c r="B278" s="511" t="s">
        <v>764</v>
      </c>
      <c r="C278" s="547">
        <f t="shared" si="31"/>
        <v>0.33274359849019725</v>
      </c>
      <c r="D278" s="547">
        <f t="shared" si="31"/>
        <v>0.29814148523883438</v>
      </c>
      <c r="E278" s="574">
        <f t="shared" si="32"/>
        <v>-3.4602113251362865E-2</v>
      </c>
    </row>
    <row r="279" spans="1:5" x14ac:dyDescent="0.2">
      <c r="A279" s="512">
        <v>4</v>
      </c>
      <c r="B279" s="511" t="s">
        <v>114</v>
      </c>
      <c r="C279" s="547">
        <f t="shared" si="31"/>
        <v>0.33274359849019725</v>
      </c>
      <c r="D279" s="547">
        <f t="shared" si="31"/>
        <v>0.29814148523883438</v>
      </c>
      <c r="E279" s="574">
        <f t="shared" si="32"/>
        <v>-3.4602113251362865E-2</v>
      </c>
    </row>
    <row r="280" spans="1:5" x14ac:dyDescent="0.2">
      <c r="A280" s="512">
        <v>5</v>
      </c>
      <c r="B280" s="511" t="s">
        <v>731</v>
      </c>
      <c r="C280" s="547">
        <f t="shared" si="31"/>
        <v>0</v>
      </c>
      <c r="D280" s="547">
        <f t="shared" si="31"/>
        <v>0</v>
      </c>
      <c r="E280" s="574">
        <f t="shared" si="32"/>
        <v>0</v>
      </c>
    </row>
    <row r="281" spans="1:5" x14ac:dyDescent="0.2">
      <c r="A281" s="512">
        <v>6</v>
      </c>
      <c r="B281" s="511" t="s">
        <v>430</v>
      </c>
      <c r="C281" s="547">
        <f t="shared" si="31"/>
        <v>0.52047783232989064</v>
      </c>
      <c r="D281" s="547">
        <f t="shared" si="31"/>
        <v>0.48147460538632764</v>
      </c>
      <c r="E281" s="574">
        <f t="shared" si="32"/>
        <v>-3.9003226943563007E-2</v>
      </c>
    </row>
    <row r="282" spans="1:5" x14ac:dyDescent="0.2">
      <c r="A282" s="512">
        <v>7</v>
      </c>
      <c r="B282" s="511" t="s">
        <v>746</v>
      </c>
      <c r="C282" s="547">
        <f t="shared" si="31"/>
        <v>0.15576960398462372</v>
      </c>
      <c r="D282" s="547">
        <f t="shared" si="31"/>
        <v>0.33709231338630918</v>
      </c>
      <c r="E282" s="574">
        <f t="shared" si="32"/>
        <v>0.18132270940168546</v>
      </c>
    </row>
    <row r="283" spans="1:5" ht="29.25" customHeight="1" x14ac:dyDescent="0.2">
      <c r="A283" s="512"/>
      <c r="B283" s="516" t="s">
        <v>832</v>
      </c>
      <c r="C283" s="575">
        <f t="shared" si="31"/>
        <v>0.39087807770718208</v>
      </c>
      <c r="D283" s="575">
        <f t="shared" si="31"/>
        <v>0.3955000756656607</v>
      </c>
      <c r="E283" s="576">
        <f t="shared" si="32"/>
        <v>4.6219979584786186E-3</v>
      </c>
    </row>
    <row r="284" spans="1:5" x14ac:dyDescent="0.2">
      <c r="A284" s="512"/>
      <c r="B284" s="516" t="s">
        <v>833</v>
      </c>
      <c r="C284" s="575">
        <f t="shared" si="31"/>
        <v>0.45047528914253765</v>
      </c>
      <c r="D284" s="575">
        <f t="shared" si="31"/>
        <v>0.45854999147425324</v>
      </c>
      <c r="E284" s="576">
        <f t="shared" si="32"/>
        <v>8.0747023317155886E-3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834</v>
      </c>
      <c r="C286" s="520"/>
      <c r="D286" s="520"/>
      <c r="E286" s="520"/>
    </row>
    <row r="287" spans="1:5" x14ac:dyDescent="0.2">
      <c r="A287" s="512">
        <v>1</v>
      </c>
      <c r="B287" s="511" t="s">
        <v>639</v>
      </c>
      <c r="C287" s="547">
        <f t="shared" ref="C287:D295" si="33">IF(C25=0,0,+C58/C25)</f>
        <v>0.6073920115980127</v>
      </c>
      <c r="D287" s="547">
        <f t="shared" si="33"/>
        <v>0.55471795586072814</v>
      </c>
      <c r="E287" s="574">
        <f t="shared" ref="E287:E295" si="34">D287-C287</f>
        <v>-5.2674055737284564E-2</v>
      </c>
    </row>
    <row r="288" spans="1:5" x14ac:dyDescent="0.2">
      <c r="A288" s="512">
        <v>2</v>
      </c>
      <c r="B288" s="511" t="s">
        <v>618</v>
      </c>
      <c r="C288" s="547">
        <f t="shared" si="33"/>
        <v>0.2580155463305191</v>
      </c>
      <c r="D288" s="547">
        <f t="shared" si="33"/>
        <v>0.26642218074625262</v>
      </c>
      <c r="E288" s="574">
        <f t="shared" si="34"/>
        <v>8.4066344157335271E-3</v>
      </c>
    </row>
    <row r="289" spans="1:5" x14ac:dyDescent="0.2">
      <c r="A289" s="512">
        <v>3</v>
      </c>
      <c r="B289" s="511" t="s">
        <v>764</v>
      </c>
      <c r="C289" s="547">
        <f t="shared" si="33"/>
        <v>0.35503840527904829</v>
      </c>
      <c r="D289" s="547">
        <f t="shared" si="33"/>
        <v>0.29656897915118968</v>
      </c>
      <c r="E289" s="574">
        <f t="shared" si="34"/>
        <v>-5.8469426127858604E-2</v>
      </c>
    </row>
    <row r="290" spans="1:5" x14ac:dyDescent="0.2">
      <c r="A290" s="512">
        <v>4</v>
      </c>
      <c r="B290" s="511" t="s">
        <v>114</v>
      </c>
      <c r="C290" s="547">
        <f t="shared" si="33"/>
        <v>0.35503840527904829</v>
      </c>
      <c r="D290" s="547">
        <f t="shared" si="33"/>
        <v>0.29656897915118968</v>
      </c>
      <c r="E290" s="574">
        <f t="shared" si="34"/>
        <v>-5.8469426127858604E-2</v>
      </c>
    </row>
    <row r="291" spans="1:5" x14ac:dyDescent="0.2">
      <c r="A291" s="512">
        <v>5</v>
      </c>
      <c r="B291" s="511" t="s">
        <v>731</v>
      </c>
      <c r="C291" s="547">
        <f t="shared" si="33"/>
        <v>0</v>
      </c>
      <c r="D291" s="547">
        <f t="shared" si="33"/>
        <v>0</v>
      </c>
      <c r="E291" s="574">
        <f t="shared" si="34"/>
        <v>0</v>
      </c>
    </row>
    <row r="292" spans="1:5" x14ac:dyDescent="0.2">
      <c r="A292" s="512">
        <v>6</v>
      </c>
      <c r="B292" s="511" t="s">
        <v>430</v>
      </c>
      <c r="C292" s="547">
        <f t="shared" si="33"/>
        <v>0.27369961313560265</v>
      </c>
      <c r="D292" s="547">
        <f t="shared" si="33"/>
        <v>0.30790714232396832</v>
      </c>
      <c r="E292" s="574">
        <f t="shared" si="34"/>
        <v>3.4207529188365671E-2</v>
      </c>
    </row>
    <row r="293" spans="1:5" x14ac:dyDescent="0.2">
      <c r="A293" s="512">
        <v>7</v>
      </c>
      <c r="B293" s="511" t="s">
        <v>746</v>
      </c>
      <c r="C293" s="547">
        <f t="shared" si="33"/>
        <v>0.21155010023962934</v>
      </c>
      <c r="D293" s="547">
        <f t="shared" si="33"/>
        <v>0.13659275955801425</v>
      </c>
      <c r="E293" s="574">
        <f t="shared" si="34"/>
        <v>-7.4957340681615081E-2</v>
      </c>
    </row>
    <row r="294" spans="1:5" ht="29.25" customHeight="1" x14ac:dyDescent="0.2">
      <c r="A294" s="512"/>
      <c r="B294" s="516" t="s">
        <v>835</v>
      </c>
      <c r="C294" s="575">
        <f t="shared" si="33"/>
        <v>0.29843099144211244</v>
      </c>
      <c r="D294" s="575">
        <f t="shared" si="33"/>
        <v>0.27942665292184526</v>
      </c>
      <c r="E294" s="576">
        <f t="shared" si="34"/>
        <v>-1.9004338520267172E-2</v>
      </c>
    </row>
    <row r="295" spans="1:5" x14ac:dyDescent="0.2">
      <c r="A295" s="512"/>
      <c r="B295" s="516" t="s">
        <v>836</v>
      </c>
      <c r="C295" s="575">
        <f t="shared" si="33"/>
        <v>0.43333927150749069</v>
      </c>
      <c r="D295" s="575">
        <f t="shared" si="33"/>
        <v>0.39302503914753306</v>
      </c>
      <c r="E295" s="576">
        <f t="shared" si="34"/>
        <v>-4.0314232359957625E-2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837</v>
      </c>
      <c r="B297" s="501" t="s">
        <v>838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839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637</v>
      </c>
      <c r="C301" s="514">
        <f>+C48+C47+C50+C51+C52+C59+C58+C61+C62+C63</f>
        <v>372401725</v>
      </c>
      <c r="D301" s="514">
        <f>+D48+D47+D50+D51+D52+D59+D58+D61+D62+D63</f>
        <v>365257584</v>
      </c>
      <c r="E301" s="514">
        <f>D301-C301</f>
        <v>-7144141</v>
      </c>
    </row>
    <row r="302" spans="1:5" ht="25.5" x14ac:dyDescent="0.2">
      <c r="A302" s="512">
        <v>2</v>
      </c>
      <c r="B302" s="511" t="s">
        <v>840</v>
      </c>
      <c r="C302" s="546">
        <f>C265</f>
        <v>0</v>
      </c>
      <c r="D302" s="546">
        <f>D265</f>
        <v>0</v>
      </c>
      <c r="E302" s="514">
        <f>D302-C302</f>
        <v>0</v>
      </c>
    </row>
    <row r="303" spans="1:5" x14ac:dyDescent="0.2">
      <c r="A303" s="512"/>
      <c r="B303" s="516" t="s">
        <v>841</v>
      </c>
      <c r="C303" s="517">
        <f>+C301+C302</f>
        <v>372401725</v>
      </c>
      <c r="D303" s="517">
        <f>+D301+D302</f>
        <v>365257584</v>
      </c>
      <c r="E303" s="517">
        <f>D303-C303</f>
        <v>-7144141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842</v>
      </c>
      <c r="C305" s="513">
        <v>10914736</v>
      </c>
      <c r="D305" s="578">
        <v>28271399</v>
      </c>
      <c r="E305" s="579">
        <f>D305-C305</f>
        <v>17356663</v>
      </c>
    </row>
    <row r="306" spans="1:5" x14ac:dyDescent="0.2">
      <c r="A306" s="512">
        <v>4</v>
      </c>
      <c r="B306" s="516" t="s">
        <v>843</v>
      </c>
      <c r="C306" s="580">
        <f>+C303+C305</f>
        <v>383316461</v>
      </c>
      <c r="D306" s="580">
        <f>+D303+D305</f>
        <v>393528983</v>
      </c>
      <c r="E306" s="580">
        <f>D306-C306</f>
        <v>10212522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844</v>
      </c>
      <c r="C308" s="513">
        <v>383316464</v>
      </c>
      <c r="D308" s="513">
        <v>393528986</v>
      </c>
      <c r="E308" s="514">
        <f>D308-C308</f>
        <v>10212522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845</v>
      </c>
      <c r="C310" s="581">
        <f>C306-C308</f>
        <v>-3</v>
      </c>
      <c r="D310" s="582">
        <f>D306-D308</f>
        <v>-3</v>
      </c>
      <c r="E310" s="580">
        <f>D310-C310</f>
        <v>0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846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847</v>
      </c>
      <c r="C314" s="514">
        <f>+C14+C15+C16+C19+C25+C26+C27+C30</f>
        <v>841847719</v>
      </c>
      <c r="D314" s="514">
        <f>+D14+D15+D16+D19+D25+D26+D27+D30</f>
        <v>860748119</v>
      </c>
      <c r="E314" s="514">
        <f>D314-C314</f>
        <v>18900400</v>
      </c>
    </row>
    <row r="315" spans="1:5" x14ac:dyDescent="0.2">
      <c r="A315" s="512">
        <v>2</v>
      </c>
      <c r="B315" s="583" t="s">
        <v>848</v>
      </c>
      <c r="C315" s="513">
        <v>8748112</v>
      </c>
      <c r="D315" s="513">
        <v>9669512</v>
      </c>
      <c r="E315" s="514">
        <f>D315-C315</f>
        <v>921400</v>
      </c>
    </row>
    <row r="316" spans="1:5" x14ac:dyDescent="0.2">
      <c r="A316" s="512"/>
      <c r="B316" s="516" t="s">
        <v>849</v>
      </c>
      <c r="C316" s="581">
        <f>C314+C315</f>
        <v>850595831</v>
      </c>
      <c r="D316" s="581">
        <f>D314+D315</f>
        <v>870417631</v>
      </c>
      <c r="E316" s="517">
        <f>D316-C316</f>
        <v>19821800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850</v>
      </c>
      <c r="C318" s="513">
        <v>850595831</v>
      </c>
      <c r="D318" s="513">
        <v>870417634</v>
      </c>
      <c r="E318" s="514">
        <f>D318-C318</f>
        <v>19821803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845</v>
      </c>
      <c r="C320" s="581">
        <f>C316-C318</f>
        <v>0</v>
      </c>
      <c r="D320" s="581">
        <f>D316-D318</f>
        <v>-3</v>
      </c>
      <c r="E320" s="517">
        <f>D320-C320</f>
        <v>-3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851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852</v>
      </c>
      <c r="C324" s="513">
        <f>+C193+C194</f>
        <v>18402615</v>
      </c>
      <c r="D324" s="513">
        <f>+D193+D194</f>
        <v>24084771</v>
      </c>
      <c r="E324" s="514">
        <f>D324-C324</f>
        <v>5682156</v>
      </c>
    </row>
    <row r="325" spans="1:5" x14ac:dyDescent="0.2">
      <c r="A325" s="512">
        <v>2</v>
      </c>
      <c r="B325" s="511" t="s">
        <v>853</v>
      </c>
      <c r="C325" s="513">
        <v>1248893</v>
      </c>
      <c r="D325" s="513">
        <v>0</v>
      </c>
      <c r="E325" s="514">
        <f>D325-C325</f>
        <v>-1248893</v>
      </c>
    </row>
    <row r="326" spans="1:5" x14ac:dyDescent="0.2">
      <c r="A326" s="512"/>
      <c r="B326" s="516" t="s">
        <v>854</v>
      </c>
      <c r="C326" s="581">
        <f>C324+C325</f>
        <v>19651508</v>
      </c>
      <c r="D326" s="581">
        <f>D324+D325</f>
        <v>24084771</v>
      </c>
      <c r="E326" s="517">
        <f>D326-C326</f>
        <v>4433263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855</v>
      </c>
      <c r="C328" s="513">
        <v>19651508</v>
      </c>
      <c r="D328" s="513">
        <v>24084771</v>
      </c>
      <c r="E328" s="514">
        <f>D328-C328</f>
        <v>4433263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856</v>
      </c>
      <c r="C330" s="581">
        <f>C326-C328</f>
        <v>0</v>
      </c>
      <c r="D330" s="581">
        <f>D326-D328</f>
        <v>0</v>
      </c>
      <c r="E330" s="517">
        <f>D330-C330</f>
        <v>0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horizontalDpi="1200" verticalDpi="1200"/>
  <headerFooter>
    <oddHeader>&amp;LOFFICE OF HEALTH CARE ACCESS&amp;CTWELVE MONTHS ACTUAL FILING&amp;RTHE HOSPITAL OF CENTRAL CONNECTICUT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SheetLayoutView="75" workbookViewId="0"/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609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857</v>
      </c>
      <c r="B5" s="696"/>
      <c r="C5" s="697"/>
      <c r="D5" s="585"/>
    </row>
    <row r="6" spans="1:58" s="338" customFormat="1" ht="15.75" customHeight="1" x14ac:dyDescent="0.25">
      <c r="A6" s="695" t="s">
        <v>858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859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860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763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639</v>
      </c>
      <c r="C14" s="513">
        <v>99446573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618</v>
      </c>
      <c r="C15" s="515">
        <v>235878746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764</v>
      </c>
      <c r="C16" s="515">
        <v>75640131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75640131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731</v>
      </c>
      <c r="C18" s="515">
        <v>0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430</v>
      </c>
      <c r="C19" s="515">
        <v>511703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746</v>
      </c>
      <c r="C20" s="515">
        <v>6962793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765</v>
      </c>
      <c r="C21" s="517">
        <f>SUM(C15+C16+C19)</f>
        <v>312030580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705</v>
      </c>
      <c r="C22" s="517">
        <f>SUM(C14+C21)</f>
        <v>411477153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766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639</v>
      </c>
      <c r="C25" s="513">
        <v>185390734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618</v>
      </c>
      <c r="C26" s="515">
        <v>150377303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764</v>
      </c>
      <c r="C27" s="515">
        <v>112632134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112632134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731</v>
      </c>
      <c r="C29" s="515">
        <v>0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430</v>
      </c>
      <c r="C30" s="515">
        <v>870795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746</v>
      </c>
      <c r="C31" s="518">
        <v>16102691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767</v>
      </c>
      <c r="C32" s="517">
        <f>SUM(C26+C27+C30)</f>
        <v>263880232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711</v>
      </c>
      <c r="C33" s="517">
        <f>SUM(C25+C32)</f>
        <v>449270966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636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861</v>
      </c>
      <c r="C36" s="514">
        <f>SUM(C14+C25)</f>
        <v>284837307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862</v>
      </c>
      <c r="C37" s="518">
        <f>SUM(C21+C32)</f>
        <v>575910812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636</v>
      </c>
      <c r="C38" s="517">
        <f>SUM(+C36+C37)</f>
        <v>860748119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333</v>
      </c>
      <c r="B40" s="509" t="s">
        <v>776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639</v>
      </c>
      <c r="C41" s="513">
        <v>65274727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618</v>
      </c>
      <c r="C42" s="515">
        <v>100610285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764</v>
      </c>
      <c r="C43" s="515">
        <v>22551461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22551461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731</v>
      </c>
      <c r="C45" s="515">
        <v>0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430</v>
      </c>
      <c r="C46" s="515">
        <v>246372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746</v>
      </c>
      <c r="C47" s="515">
        <v>2347104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777</v>
      </c>
      <c r="C48" s="517">
        <f>SUM(C42+C43+C46)</f>
        <v>123408118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706</v>
      </c>
      <c r="C49" s="517">
        <f>SUM(C41+C48)</f>
        <v>188682845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354</v>
      </c>
      <c r="B51" s="509" t="s">
        <v>778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639</v>
      </c>
      <c r="C52" s="513">
        <v>102839569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618</v>
      </c>
      <c r="C53" s="515">
        <v>40063849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764</v>
      </c>
      <c r="C54" s="515">
        <v>33403197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33403197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731</v>
      </c>
      <c r="C56" s="515">
        <v>0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430</v>
      </c>
      <c r="C57" s="515">
        <v>268124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746</v>
      </c>
      <c r="C58" s="515">
        <v>2199511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779</v>
      </c>
      <c r="C59" s="517">
        <f>SUM(C53+C54+C57)</f>
        <v>73735170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712</v>
      </c>
      <c r="C60" s="517">
        <f>SUM(C52+C59)</f>
        <v>176574739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366</v>
      </c>
      <c r="B62" s="521" t="s">
        <v>637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863</v>
      </c>
      <c r="C63" s="514">
        <f>SUM(C41+C52)</f>
        <v>168114296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864</v>
      </c>
      <c r="C64" s="518">
        <f>SUM(C48+C59)</f>
        <v>197143288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637</v>
      </c>
      <c r="C65" s="517">
        <f>SUM(+C63+C64)</f>
        <v>365257584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865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866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639</v>
      </c>
      <c r="C70" s="530">
        <v>5345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618</v>
      </c>
      <c r="C71" s="530">
        <v>8524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764</v>
      </c>
      <c r="C72" s="530">
        <v>4352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4352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731</v>
      </c>
      <c r="C74" s="530">
        <v>0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430</v>
      </c>
      <c r="C75" s="545">
        <v>31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746</v>
      </c>
      <c r="C76" s="545">
        <v>200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794</v>
      </c>
      <c r="C77" s="532">
        <f>SUM(C71+C72+C75)</f>
        <v>12907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708</v>
      </c>
      <c r="C78" s="596">
        <f>SUM(C70+C77)</f>
        <v>18252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799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639</v>
      </c>
      <c r="C81" s="541">
        <v>1.0782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618</v>
      </c>
      <c r="C82" s="541">
        <v>1.3797999999999999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764</v>
      </c>
      <c r="C83" s="541">
        <f>((C73*C84)+(C74*C85))/(C73+C74)</f>
        <v>0.99860000000000015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0.99860000000000004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731</v>
      </c>
      <c r="C85" s="541">
        <v>0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430</v>
      </c>
      <c r="C86" s="541">
        <v>1.1358999999999999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746</v>
      </c>
      <c r="C87" s="541">
        <v>0.99860000000000004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800</v>
      </c>
      <c r="C88" s="543">
        <f>((C71*C82)+(C73*C84)+(C74*C85)+(C75*C86))/(C71+C73+C74+C75)</f>
        <v>1.2506806616564656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709</v>
      </c>
      <c r="C89" s="543">
        <f>((C70*C81)+(C71*C82)+(C73*C84)+(C74*C85)+(C75*C86))/(C70+C71+C73+C74+C75)</f>
        <v>1.2001706278763971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801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802</v>
      </c>
      <c r="C92" s="513">
        <v>277830167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803</v>
      </c>
      <c r="C93" s="546">
        <v>159661043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651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735</v>
      </c>
      <c r="C95" s="513">
        <f>+C92-C93</f>
        <v>118169124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653</v>
      </c>
      <c r="C96" s="597">
        <f>(+C92-C93)/C92</f>
        <v>0.42532862891019318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750</v>
      </c>
      <c r="C98" s="513">
        <v>7320406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736</v>
      </c>
      <c r="C99" s="513">
        <v>7320406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867</v>
      </c>
      <c r="C101" s="513">
        <v>0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805</v>
      </c>
      <c r="C103" s="513">
        <v>6791581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806</v>
      </c>
      <c r="C104" s="513">
        <v>17293190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807</v>
      </c>
      <c r="C105" s="578">
        <f>+C103+C104</f>
        <v>24084771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808</v>
      </c>
      <c r="C107" s="513">
        <v>28114619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693</v>
      </c>
      <c r="C108" s="513">
        <v>389521494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838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839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637</v>
      </c>
      <c r="C114" s="514">
        <f>+C65</f>
        <v>365257584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840</v>
      </c>
      <c r="C115" s="546">
        <f>+C101</f>
        <v>0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841</v>
      </c>
      <c r="C116" s="517">
        <f>+C114+C115</f>
        <v>365257584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842</v>
      </c>
      <c r="C118" s="578">
        <v>28271399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843</v>
      </c>
      <c r="C119" s="580">
        <f>+C116+C118</f>
        <v>393528983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844</v>
      </c>
      <c r="C121" s="513">
        <v>393528986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845</v>
      </c>
      <c r="C123" s="582">
        <f>C119-C121</f>
        <v>-3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846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847</v>
      </c>
      <c r="C127" s="514">
        <f>+C38</f>
        <v>860748119</v>
      </c>
      <c r="D127" s="588"/>
      <c r="AR127" s="507"/>
    </row>
    <row r="128" spans="1:58" s="506" customFormat="1" x14ac:dyDescent="0.2">
      <c r="A128" s="512">
        <v>2</v>
      </c>
      <c r="B128" s="583" t="s">
        <v>848</v>
      </c>
      <c r="C128" s="513">
        <v>9669512</v>
      </c>
      <c r="D128" s="588"/>
      <c r="AR128" s="507"/>
    </row>
    <row r="129" spans="1:44" s="506" customFormat="1" x14ac:dyDescent="0.2">
      <c r="A129" s="512"/>
      <c r="B129" s="516" t="s">
        <v>849</v>
      </c>
      <c r="C129" s="581">
        <f>C127+C128</f>
        <v>870417631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850</v>
      </c>
      <c r="C131" s="513">
        <v>870417634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845</v>
      </c>
      <c r="C133" s="581">
        <f>C129-C131</f>
        <v>-3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851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852</v>
      </c>
      <c r="C137" s="513">
        <f>C105</f>
        <v>24084771</v>
      </c>
      <c r="D137" s="588"/>
      <c r="AR137" s="507"/>
    </row>
    <row r="138" spans="1:44" s="506" customFormat="1" x14ac:dyDescent="0.2">
      <c r="A138" s="512">
        <v>2</v>
      </c>
      <c r="B138" s="511" t="s">
        <v>868</v>
      </c>
      <c r="C138" s="513">
        <v>0</v>
      </c>
      <c r="D138" s="588"/>
      <c r="AR138" s="507"/>
    </row>
    <row r="139" spans="1:44" s="506" customFormat="1" x14ac:dyDescent="0.2">
      <c r="A139" s="512"/>
      <c r="B139" s="516" t="s">
        <v>854</v>
      </c>
      <c r="C139" s="581">
        <f>C137+C138</f>
        <v>24084771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869</v>
      </c>
      <c r="C141" s="513">
        <v>24084771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856</v>
      </c>
      <c r="C143" s="581">
        <f>C139-C141</f>
        <v>0</v>
      </c>
      <c r="D143" s="588"/>
      <c r="AR143" s="507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orientation="portrait" horizontalDpi="1200" verticalDpi="1200"/>
  <headerFooter>
    <oddHeader>&amp;LOFFICE OF HEALTH CARE ACCESS&amp;CTWELVE MONTHS ACTUAL FILING&amp;RTHE HOSPITAL OF CENTRAL CONNECTICUT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609</v>
      </c>
      <c r="B3" s="712"/>
      <c r="C3" s="712"/>
      <c r="D3" s="712"/>
      <c r="E3" s="712"/>
      <c r="F3" s="713"/>
    </row>
    <row r="4" spans="1:14" ht="15.75" customHeight="1" x14ac:dyDescent="0.25">
      <c r="A4" s="711" t="s">
        <v>610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870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613</v>
      </c>
      <c r="D8" s="35" t="s">
        <v>613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615</v>
      </c>
      <c r="D9" s="607" t="s">
        <v>616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871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872</v>
      </c>
      <c r="C12" s="49">
        <v>1747</v>
      </c>
      <c r="D12" s="49">
        <v>990</v>
      </c>
      <c r="E12" s="49">
        <f>+D12-C12</f>
        <v>-757</v>
      </c>
      <c r="F12" s="70">
        <f>IF(C12=0,0,+E12/C12)</f>
        <v>-0.43331425300515169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873</v>
      </c>
      <c r="C13" s="49">
        <v>933</v>
      </c>
      <c r="D13" s="49">
        <v>501</v>
      </c>
      <c r="E13" s="49">
        <f>+D13-C13</f>
        <v>-432</v>
      </c>
      <c r="F13" s="70">
        <f>IF(C13=0,0,+E13/C13)</f>
        <v>-0.46302250803858519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874</v>
      </c>
      <c r="C15" s="51">
        <v>17262086</v>
      </c>
      <c r="D15" s="51">
        <v>6791581</v>
      </c>
      <c r="E15" s="51">
        <f>+D15-C15</f>
        <v>-10470505</v>
      </c>
      <c r="F15" s="70">
        <f>IF(C15=0,0,+E15/C15)</f>
        <v>-0.60656081773662818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875</v>
      </c>
      <c r="C16" s="27">
        <f>IF(C13=0,0,+C15/+C13)</f>
        <v>18501.699892818862</v>
      </c>
      <c r="D16" s="27">
        <f>IF(D13=0,0,+D15/+D13)</f>
        <v>13556.049900199601</v>
      </c>
      <c r="E16" s="27">
        <f>+D16-C16</f>
        <v>-4945.649992619261</v>
      </c>
      <c r="F16" s="28">
        <f>IF(C16=0,0,+E16/C16)</f>
        <v>-0.26730787015623553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876</v>
      </c>
      <c r="C18" s="210">
        <v>0.46288200000000002</v>
      </c>
      <c r="D18" s="210">
        <v>0.42702099999999998</v>
      </c>
      <c r="E18" s="210">
        <f>+D18-C18</f>
        <v>-3.5861000000000032E-2</v>
      </c>
      <c r="F18" s="70">
        <f>IF(C18=0,0,+E18/C18)</f>
        <v>-7.7473308532196181E-2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877</v>
      </c>
      <c r="C19" s="27">
        <f>+C15*C18</f>
        <v>7990308.8918520007</v>
      </c>
      <c r="D19" s="27">
        <f>+D15*D18</f>
        <v>2900147.7102009999</v>
      </c>
      <c r="E19" s="27">
        <f>+D19-C19</f>
        <v>-5090161.1816510009</v>
      </c>
      <c r="F19" s="28">
        <f>IF(C19=0,0,+E19/C19)</f>
        <v>-0.63704185289277337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878</v>
      </c>
      <c r="C20" s="27">
        <f>IF(C13=0,0,+C19/C13)</f>
        <v>8564.1038497877817</v>
      </c>
      <c r="D20" s="27">
        <f>IF(D13=0,0,+D19/D13)</f>
        <v>5788.7179844331331</v>
      </c>
      <c r="E20" s="27">
        <f>+D20-C20</f>
        <v>-2775.3858653546486</v>
      </c>
      <c r="F20" s="28">
        <f>IF(C20=0,0,+E20/C20)</f>
        <v>-0.32407195359073354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879</v>
      </c>
      <c r="C22" s="51">
        <v>4669888</v>
      </c>
      <c r="D22" s="51">
        <v>1545993</v>
      </c>
      <c r="E22" s="51">
        <f>+D22-C22</f>
        <v>-3123895</v>
      </c>
      <c r="F22" s="70">
        <f>IF(C22=0,0,+E22/C22)</f>
        <v>-0.66894430872860333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880</v>
      </c>
      <c r="C23" s="49">
        <v>9203021</v>
      </c>
      <c r="D23" s="49">
        <v>3768729</v>
      </c>
      <c r="E23" s="49">
        <f>+D23-C23</f>
        <v>-5434292</v>
      </c>
      <c r="F23" s="70">
        <f>IF(C23=0,0,+E23/C23)</f>
        <v>-0.59049001409428492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881</v>
      </c>
      <c r="C24" s="49">
        <v>3389177</v>
      </c>
      <c r="D24" s="49">
        <v>1476859</v>
      </c>
      <c r="E24" s="49">
        <f>+D24-C24</f>
        <v>-1912318</v>
      </c>
      <c r="F24" s="70">
        <f>IF(C24=0,0,+E24/C24)</f>
        <v>-0.56424258750723255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874</v>
      </c>
      <c r="C25" s="27">
        <f>+C22+C23+C24</f>
        <v>17262086</v>
      </c>
      <c r="D25" s="27">
        <f>+D22+D23+D24</f>
        <v>6791581</v>
      </c>
      <c r="E25" s="27">
        <f>+E22+E23+E24</f>
        <v>-10470505</v>
      </c>
      <c r="F25" s="28">
        <f>IF(C25=0,0,+E25/C25)</f>
        <v>-0.60656081773662818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882</v>
      </c>
      <c r="C27" s="49">
        <v>9495</v>
      </c>
      <c r="D27" s="49">
        <v>3167</v>
      </c>
      <c r="E27" s="49">
        <f>+D27-C27</f>
        <v>-6328</v>
      </c>
      <c r="F27" s="70">
        <f>IF(C27=0,0,+E27/C27)</f>
        <v>-0.66645602948920479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883</v>
      </c>
      <c r="C28" s="49">
        <v>1896</v>
      </c>
      <c r="D28" s="49">
        <v>568</v>
      </c>
      <c r="E28" s="49">
        <f>+D28-C28</f>
        <v>-1328</v>
      </c>
      <c r="F28" s="70">
        <f>IF(C28=0,0,+E28/C28)</f>
        <v>-0.70042194092827004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884</v>
      </c>
      <c r="C29" s="49">
        <v>13685</v>
      </c>
      <c r="D29" s="49">
        <v>4217</v>
      </c>
      <c r="E29" s="49">
        <f>+D29-C29</f>
        <v>-9468</v>
      </c>
      <c r="F29" s="70">
        <f>IF(C29=0,0,+E29/C29)</f>
        <v>-0.69185239313116553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885</v>
      </c>
      <c r="C30" s="49">
        <v>9709</v>
      </c>
      <c r="D30" s="49">
        <v>2587</v>
      </c>
      <c r="E30" s="49">
        <f>+D30-C30</f>
        <v>-7122</v>
      </c>
      <c r="F30" s="70">
        <f>IF(C30=0,0,+E30/C30)</f>
        <v>-0.73354619425275513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886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887</v>
      </c>
      <c r="C33" s="51">
        <v>503663</v>
      </c>
      <c r="D33" s="51">
        <v>3743976</v>
      </c>
      <c r="E33" s="51">
        <f>+D33-C33</f>
        <v>3240313</v>
      </c>
      <c r="F33" s="70">
        <f>IF(C33=0,0,+E33/C33)</f>
        <v>6.4334942213345032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888</v>
      </c>
      <c r="C34" s="49">
        <v>443241</v>
      </c>
      <c r="D34" s="49">
        <v>6862858</v>
      </c>
      <c r="E34" s="49">
        <f>+D34-C34</f>
        <v>6419617</v>
      </c>
      <c r="F34" s="70">
        <f>IF(C34=0,0,+E34/C34)</f>
        <v>14.483355556006778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889</v>
      </c>
      <c r="C35" s="49">
        <v>193625</v>
      </c>
      <c r="D35" s="49">
        <v>6686356</v>
      </c>
      <c r="E35" s="49">
        <f>+D35-C35</f>
        <v>6492731</v>
      </c>
      <c r="F35" s="70">
        <f>IF(C35=0,0,+E35/C35)</f>
        <v>33.532503550677859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890</v>
      </c>
      <c r="C36" s="27">
        <f>+C33+C34+C35</f>
        <v>1140529</v>
      </c>
      <c r="D36" s="27">
        <f>+D33+D34+D35</f>
        <v>17293190</v>
      </c>
      <c r="E36" s="27">
        <f>+E33+E34+E35</f>
        <v>16152661</v>
      </c>
      <c r="F36" s="28">
        <f>IF(C36=0,0,+E36/C36)</f>
        <v>14.162429013203523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891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892</v>
      </c>
      <c r="C39" s="51">
        <f>+C25</f>
        <v>17262086</v>
      </c>
      <c r="D39" s="51">
        <f>+D25</f>
        <v>6791581</v>
      </c>
      <c r="E39" s="51">
        <f>+D39-C39</f>
        <v>-10470505</v>
      </c>
      <c r="F39" s="70">
        <f>IF(C39=0,0,+E39/C39)</f>
        <v>-0.60656081773662818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893</v>
      </c>
      <c r="C40" s="49">
        <f>+C36</f>
        <v>1140529</v>
      </c>
      <c r="D40" s="49">
        <f>+D36</f>
        <v>17293190</v>
      </c>
      <c r="E40" s="49">
        <f>+D40-C40</f>
        <v>16152661</v>
      </c>
      <c r="F40" s="70">
        <f>IF(C40=0,0,+E40/C40)</f>
        <v>14.162429013203523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894</v>
      </c>
      <c r="C41" s="27">
        <f>+C39+C40</f>
        <v>18402615</v>
      </c>
      <c r="D41" s="27">
        <f>+D39+D40</f>
        <v>24084771</v>
      </c>
      <c r="E41" s="27">
        <f>+E39+E40</f>
        <v>5682156</v>
      </c>
      <c r="F41" s="28">
        <f>IF(C41=0,0,+E41/C41)</f>
        <v>0.3087689439788856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895</v>
      </c>
      <c r="C43" s="51">
        <f t="shared" ref="C43:D45" si="0">+C22+C33</f>
        <v>5173551</v>
      </c>
      <c r="D43" s="51">
        <f t="shared" si="0"/>
        <v>5289969</v>
      </c>
      <c r="E43" s="51">
        <f>+D43-C43</f>
        <v>116418</v>
      </c>
      <c r="F43" s="70">
        <f>IF(C43=0,0,+E43/C43)</f>
        <v>2.2502532593184063E-2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896</v>
      </c>
      <c r="C44" s="49">
        <f t="shared" si="0"/>
        <v>9646262</v>
      </c>
      <c r="D44" s="49">
        <f t="shared" si="0"/>
        <v>10631587</v>
      </c>
      <c r="E44" s="49">
        <f>+D44-C44</f>
        <v>985325</v>
      </c>
      <c r="F44" s="70">
        <f>IF(C44=0,0,+E44/C44)</f>
        <v>0.10214578455364368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897</v>
      </c>
      <c r="C45" s="49">
        <f t="shared" si="0"/>
        <v>3582802</v>
      </c>
      <c r="D45" s="49">
        <f t="shared" si="0"/>
        <v>8163215</v>
      </c>
      <c r="E45" s="49">
        <f>+D45-C45</f>
        <v>4580413</v>
      </c>
      <c r="F45" s="70">
        <f>IF(C45=0,0,+E45/C45)</f>
        <v>1.2784443572377151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894</v>
      </c>
      <c r="C46" s="27">
        <f>+C43+C44+C45</f>
        <v>18402615</v>
      </c>
      <c r="D46" s="27">
        <f>+D43+D44+D45</f>
        <v>24084771</v>
      </c>
      <c r="E46" s="27">
        <f>+E43+E44+E45</f>
        <v>5682156</v>
      </c>
      <c r="F46" s="28">
        <f>IF(C46=0,0,+E46/C46)</f>
        <v>0.3087689439788856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898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70" orientation="portrait" horizontalDpi="1200" verticalDpi="1200"/>
  <headerFooter>
    <oddHeader>&amp;LOFFICE OF HEALTH CARE ACCESS&amp;CTWELVE MONTHS ACTUAL FILING&amp;RTHE HOSPITAL OF CENTRAL CONNECTICUT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609</v>
      </c>
      <c r="B3" s="712"/>
      <c r="C3" s="712"/>
      <c r="D3" s="712"/>
      <c r="E3" s="712"/>
      <c r="F3" s="713"/>
    </row>
    <row r="4" spans="1:14" ht="15.75" customHeight="1" x14ac:dyDescent="0.25">
      <c r="A4" s="711" t="s">
        <v>610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899</v>
      </c>
      <c r="B5" s="712"/>
      <c r="C5" s="712"/>
      <c r="D5" s="712"/>
      <c r="E5" s="712"/>
      <c r="F5" s="713"/>
    </row>
    <row r="6" spans="1:14" ht="15.75" customHeight="1" x14ac:dyDescent="0.25">
      <c r="A6" s="711" t="s">
        <v>900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615</v>
      </c>
      <c r="D9" s="35" t="s">
        <v>616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901</v>
      </c>
      <c r="D10" s="35" t="s">
        <v>901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902</v>
      </c>
      <c r="D11" s="605" t="s">
        <v>902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903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337</v>
      </c>
      <c r="C15" s="51">
        <v>276564149</v>
      </c>
      <c r="D15" s="51">
        <v>277830167</v>
      </c>
      <c r="E15" s="51">
        <f>+D15-C15</f>
        <v>1266018</v>
      </c>
      <c r="F15" s="70">
        <f>+E15/C15</f>
        <v>4.5776649091274664E-3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519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904</v>
      </c>
      <c r="C17" s="51">
        <v>108421746</v>
      </c>
      <c r="D17" s="51">
        <v>118169124</v>
      </c>
      <c r="E17" s="51">
        <f>+D17-C17</f>
        <v>9747378</v>
      </c>
      <c r="F17" s="70">
        <f>+E17/C17</f>
        <v>8.9902426031766722E-2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905</v>
      </c>
      <c r="C19" s="27">
        <f>+C15-C17</f>
        <v>168142403</v>
      </c>
      <c r="D19" s="27">
        <f>+D15-D17</f>
        <v>159661043</v>
      </c>
      <c r="E19" s="27">
        <f>+D19-C19</f>
        <v>-8481360</v>
      </c>
      <c r="F19" s="28">
        <f>+E19/C19</f>
        <v>-5.0441529612253726E-2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906</v>
      </c>
      <c r="C21" s="628">
        <f>+C17/C15</f>
        <v>0.3920310943845437</v>
      </c>
      <c r="D21" s="628">
        <f>+D17/D15</f>
        <v>0.42532862891019318</v>
      </c>
      <c r="E21" s="628">
        <f>+D21-C21</f>
        <v>3.3297534525649486E-2</v>
      </c>
      <c r="F21" s="28">
        <f>+E21/C21</f>
        <v>8.4935952792019861E-2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519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519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519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519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907</v>
      </c>
      <c r="B26" s="715"/>
      <c r="C26" s="715"/>
      <c r="D26" s="715"/>
      <c r="E26" s="715"/>
      <c r="F26" s="716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90" orientation="landscape" horizontalDpi="1200" verticalDpi="1200"/>
  <headerFooter>
    <oddHeader>&amp;L&amp;12OFFICE OF HEALTH CARE ACCESS&amp;C&amp;12TWELVE MONTHS ACTUAL FILING&amp;R&amp;12THE HOSPITAL OF CENTRAL CONNECTICUT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workbookViewId="0">
      <selection sqref="A1:E1"/>
    </sheetView>
  </sheetViews>
  <sheetFormatPr defaultRowHeight="12.75" x14ac:dyDescent="0.2"/>
  <cols>
    <col min="1" max="1" width="9.42578125" customWidth="1"/>
    <col min="2" max="2" width="83.5703125" customWidth="1"/>
    <col min="3" max="5" width="18.28515625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908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909</v>
      </c>
      <c r="B6" s="632" t="s">
        <v>910</v>
      </c>
      <c r="C6" s="632" t="s">
        <v>911</v>
      </c>
      <c r="D6" s="632" t="s">
        <v>912</v>
      </c>
      <c r="E6" s="632" t="s">
        <v>913</v>
      </c>
    </row>
    <row r="7" spans="1:6" ht="37.5" customHeight="1" x14ac:dyDescent="0.25">
      <c r="A7" s="633" t="s">
        <v>8</v>
      </c>
      <c r="B7" s="634" t="s">
        <v>914</v>
      </c>
      <c r="C7" s="631" t="s">
        <v>915</v>
      </c>
      <c r="D7" s="631" t="s">
        <v>916</v>
      </c>
      <c r="E7" s="631" t="s">
        <v>917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918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919</v>
      </c>
      <c r="C10" s="641">
        <v>416962565</v>
      </c>
      <c r="D10" s="641">
        <v>443279640</v>
      </c>
      <c r="E10" s="641">
        <v>411477153</v>
      </c>
    </row>
    <row r="11" spans="1:6" ht="26.1" customHeight="1" x14ac:dyDescent="0.25">
      <c r="A11" s="639">
        <v>2</v>
      </c>
      <c r="B11" s="640" t="s">
        <v>920</v>
      </c>
      <c r="C11" s="641">
        <v>383777484</v>
      </c>
      <c r="D11" s="641">
        <v>398568079</v>
      </c>
      <c r="E11" s="641">
        <v>449270966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800740049</v>
      </c>
      <c r="D12" s="641">
        <f>+D11+D10</f>
        <v>841847719</v>
      </c>
      <c r="E12" s="641">
        <f>+E11+E10</f>
        <v>860748119</v>
      </c>
    </row>
    <row r="13" spans="1:6" ht="26.1" customHeight="1" x14ac:dyDescent="0.25">
      <c r="A13" s="639">
        <v>4</v>
      </c>
      <c r="B13" s="640" t="s">
        <v>496</v>
      </c>
      <c r="C13" s="641">
        <v>364911931</v>
      </c>
      <c r="D13" s="641">
        <v>383316464</v>
      </c>
      <c r="E13" s="641">
        <v>393528986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336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921</v>
      </c>
      <c r="C16" s="641">
        <v>381476536</v>
      </c>
      <c r="D16" s="641">
        <v>368573386</v>
      </c>
      <c r="E16" s="641">
        <v>389521494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922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384</v>
      </c>
      <c r="C19" s="644">
        <v>81872</v>
      </c>
      <c r="D19" s="644">
        <v>83137</v>
      </c>
      <c r="E19" s="644">
        <v>76771</v>
      </c>
    </row>
    <row r="20" spans="1:5" ht="26.1" customHeight="1" x14ac:dyDescent="0.25">
      <c r="A20" s="639">
        <v>2</v>
      </c>
      <c r="B20" s="640" t="s">
        <v>385</v>
      </c>
      <c r="C20" s="645">
        <v>19517</v>
      </c>
      <c r="D20" s="645">
        <v>20546</v>
      </c>
      <c r="E20" s="645">
        <v>18252</v>
      </c>
    </row>
    <row r="21" spans="1:5" ht="26.1" customHeight="1" x14ac:dyDescent="0.25">
      <c r="A21" s="639">
        <v>3</v>
      </c>
      <c r="B21" s="640" t="s">
        <v>923</v>
      </c>
      <c r="C21" s="646">
        <f>IF(C20=0,0,+C19/C20)</f>
        <v>4.1949070041502283</v>
      </c>
      <c r="D21" s="646">
        <f>IF(D20=0,0,+D19/D20)</f>
        <v>4.0463837243259029</v>
      </c>
      <c r="E21" s="646">
        <f>IF(E20=0,0,+E19/E20)</f>
        <v>4.2061691869384177</v>
      </c>
    </row>
    <row r="22" spans="1:5" ht="26.1" customHeight="1" x14ac:dyDescent="0.25">
      <c r="A22" s="639">
        <v>4</v>
      </c>
      <c r="B22" s="640" t="s">
        <v>924</v>
      </c>
      <c r="C22" s="645">
        <f>IF(C10=0,0,C19*(C12/C10))</f>
        <v>157227.99789407474</v>
      </c>
      <c r="D22" s="645">
        <f>IF(D10=0,0,D19*(D12/D10))</f>
        <v>157888.35646614179</v>
      </c>
      <c r="E22" s="645">
        <f>IF(E10=0,0,E19*(E12/E10))</f>
        <v>160593.34852972749</v>
      </c>
    </row>
    <row r="23" spans="1:5" ht="26.1" customHeight="1" x14ac:dyDescent="0.25">
      <c r="A23" s="639">
        <v>0</v>
      </c>
      <c r="B23" s="640" t="s">
        <v>925</v>
      </c>
      <c r="C23" s="645">
        <f>IF(C10=0,0,C20*(C12/C10))</f>
        <v>37480.687352191919</v>
      </c>
      <c r="D23" s="645">
        <f>IF(D10=0,0,D20*(D12/D10))</f>
        <v>39019.620288840699</v>
      </c>
      <c r="E23" s="645">
        <f>IF(E10=0,0,E20*(E12/E10))</f>
        <v>38180.430075999873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333</v>
      </c>
      <c r="B25" s="642" t="s">
        <v>926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434</v>
      </c>
      <c r="C26" s="647">
        <v>1.1864045498795921</v>
      </c>
      <c r="D26" s="647">
        <v>1.1699751484473864</v>
      </c>
      <c r="E26" s="647">
        <v>1.2001706278763971</v>
      </c>
    </row>
    <row r="27" spans="1:5" ht="26.1" customHeight="1" x14ac:dyDescent="0.25">
      <c r="A27" s="639">
        <v>2</v>
      </c>
      <c r="B27" s="640" t="s">
        <v>927</v>
      </c>
      <c r="C27" s="645">
        <f>C19*C26</f>
        <v>97133.313307741962</v>
      </c>
      <c r="D27" s="645">
        <f>D19*D26</f>
        <v>97268.223916470364</v>
      </c>
      <c r="E27" s="645">
        <f>E19*E26</f>
        <v>92138.299272698874</v>
      </c>
    </row>
    <row r="28" spans="1:5" ht="26.1" customHeight="1" x14ac:dyDescent="0.25">
      <c r="A28" s="639">
        <v>3</v>
      </c>
      <c r="B28" s="640" t="s">
        <v>928</v>
      </c>
      <c r="C28" s="645">
        <f>C20*C26</f>
        <v>23155.0576</v>
      </c>
      <c r="D28" s="645">
        <f>D20*D26</f>
        <v>24038.309400000002</v>
      </c>
      <c r="E28" s="645">
        <f>E20*E26</f>
        <v>21905.514299999999</v>
      </c>
    </row>
    <row r="29" spans="1:5" ht="26.1" customHeight="1" x14ac:dyDescent="0.25">
      <c r="A29" s="639">
        <v>4</v>
      </c>
      <c r="B29" s="640" t="s">
        <v>929</v>
      </c>
      <c r="C29" s="645">
        <f>C22*C26</f>
        <v>186536.0120699892</v>
      </c>
      <c r="D29" s="645">
        <f>D22*D26</f>
        <v>184725.45329458811</v>
      </c>
      <c r="E29" s="645">
        <f>E22*E26</f>
        <v>192739.4199376961</v>
      </c>
    </row>
    <row r="30" spans="1:5" ht="26.1" customHeight="1" x14ac:dyDescent="0.25">
      <c r="A30" s="639">
        <v>5</v>
      </c>
      <c r="B30" s="640" t="s">
        <v>930</v>
      </c>
      <c r="C30" s="645">
        <f>C23*C26</f>
        <v>44467.258007254975</v>
      </c>
      <c r="D30" s="645">
        <f>D23*D26</f>
        <v>45651.986039797048</v>
      </c>
      <c r="E30" s="645">
        <f>E23*E26</f>
        <v>45823.030736903645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354</v>
      </c>
      <c r="B32" s="634" t="s">
        <v>931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932</v>
      </c>
      <c r="C33" s="641">
        <f>IF(C19=0,0,C12/C19)</f>
        <v>9780.3894982411566</v>
      </c>
      <c r="D33" s="641">
        <f>IF(D19=0,0,D12/D19)</f>
        <v>10126.029553628348</v>
      </c>
      <c r="E33" s="641">
        <f>IF(E19=0,0,E12/E19)</f>
        <v>11211.891456409321</v>
      </c>
    </row>
    <row r="34" spans="1:5" ht="26.1" customHeight="1" x14ac:dyDescent="0.25">
      <c r="A34" s="639">
        <v>2</v>
      </c>
      <c r="B34" s="640" t="s">
        <v>933</v>
      </c>
      <c r="C34" s="641">
        <f>IF(C20=0,0,C12/C20)</f>
        <v>41027.824409489163</v>
      </c>
      <c r="D34" s="641">
        <f>IF(D20=0,0,D12/D20)</f>
        <v>40973.801177844834</v>
      </c>
      <c r="E34" s="641">
        <f>IF(E20=0,0,E12/E20)</f>
        <v>47159.112371246985</v>
      </c>
    </row>
    <row r="35" spans="1:5" ht="26.1" customHeight="1" x14ac:dyDescent="0.25">
      <c r="A35" s="639">
        <v>3</v>
      </c>
      <c r="B35" s="640" t="s">
        <v>934</v>
      </c>
      <c r="C35" s="641">
        <f>IF(C22=0,0,C12/C22)</f>
        <v>5092.8591581981627</v>
      </c>
      <c r="D35" s="641">
        <f>IF(D22=0,0,D12/D22)</f>
        <v>5331.9176780494845</v>
      </c>
      <c r="E35" s="641">
        <f>IF(E22=0,0,E12/E22)</f>
        <v>5359.7993122402986</v>
      </c>
    </row>
    <row r="36" spans="1:5" ht="26.1" customHeight="1" x14ac:dyDescent="0.25">
      <c r="A36" s="639">
        <v>4</v>
      </c>
      <c r="B36" s="640" t="s">
        <v>935</v>
      </c>
      <c r="C36" s="641">
        <f>IF(C23=0,0,C12/C23)</f>
        <v>21364.070553876107</v>
      </c>
      <c r="D36" s="641">
        <f>IF(D23=0,0,D12/D23)</f>
        <v>21574.984911904994</v>
      </c>
      <c r="E36" s="641">
        <f>IF(E23=0,0,E12/E23)</f>
        <v>22544.222715318869</v>
      </c>
    </row>
    <row r="37" spans="1:5" ht="26.1" customHeight="1" x14ac:dyDescent="0.25">
      <c r="A37" s="639">
        <v>5</v>
      </c>
      <c r="B37" s="640" t="s">
        <v>936</v>
      </c>
      <c r="C37" s="641">
        <f>IF(C29=0,0,C12/C29)</f>
        <v>4292.6834347651784</v>
      </c>
      <c r="D37" s="641">
        <f>IF(D29=0,0,D12/D29)</f>
        <v>4557.2913964242716</v>
      </c>
      <c r="E37" s="641">
        <f>IF(E29=0,0,E12/E29)</f>
        <v>4465.8644260641686</v>
      </c>
    </row>
    <row r="38" spans="1:5" ht="26.1" customHeight="1" x14ac:dyDescent="0.25">
      <c r="A38" s="639">
        <v>6</v>
      </c>
      <c r="B38" s="640" t="s">
        <v>937</v>
      </c>
      <c r="C38" s="641">
        <f>IF(C30=0,0,C12/C30)</f>
        <v>18007.407807096104</v>
      </c>
      <c r="D38" s="641">
        <f>IF(D30=0,0,D12/D30)</f>
        <v>18440.549733501641</v>
      </c>
      <c r="E38" s="641">
        <f>IF(E30=0,0,E12/E30)</f>
        <v>18784.181341955526</v>
      </c>
    </row>
    <row r="39" spans="1:5" ht="26.1" customHeight="1" x14ac:dyDescent="0.25">
      <c r="A39" s="639">
        <v>7</v>
      </c>
      <c r="B39" s="640" t="s">
        <v>938</v>
      </c>
      <c r="C39" s="641">
        <f>IF(C22=0,0,C10/C22)</f>
        <v>2651.9612956014976</v>
      </c>
      <c r="D39" s="641">
        <f>IF(D22=0,0,D10/D22)</f>
        <v>2807.5511704693604</v>
      </c>
      <c r="E39" s="641">
        <f>IF(E22=0,0,E10/E22)</f>
        <v>2562.2303586492021</v>
      </c>
    </row>
    <row r="40" spans="1:5" ht="26.1" customHeight="1" x14ac:dyDescent="0.25">
      <c r="A40" s="639">
        <v>8</v>
      </c>
      <c r="B40" s="640" t="s">
        <v>939</v>
      </c>
      <c r="C40" s="641">
        <f>IF(C23=0,0,C10/C23)</f>
        <v>11124.731013654036</v>
      </c>
      <c r="D40" s="641">
        <f>IF(D23=0,0,D10/D23)</f>
        <v>11360.42936139936</v>
      </c>
      <c r="E40" s="641">
        <f>IF(E23=0,0,E10/E23)</f>
        <v>10777.174384388445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366</v>
      </c>
      <c r="B42" s="634" t="s">
        <v>940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941</v>
      </c>
      <c r="C43" s="641">
        <f>IF(C19=0,0,C13/C19)</f>
        <v>4457.1029289622829</v>
      </c>
      <c r="D43" s="641">
        <f>IF(D19=0,0,D13/D19)</f>
        <v>4610.6602836282282</v>
      </c>
      <c r="E43" s="641">
        <f>IF(E19=0,0,E13/E19)</f>
        <v>5126.0109416316054</v>
      </c>
    </row>
    <row r="44" spans="1:5" ht="26.1" customHeight="1" x14ac:dyDescent="0.25">
      <c r="A44" s="639">
        <v>2</v>
      </c>
      <c r="B44" s="640" t="s">
        <v>942</v>
      </c>
      <c r="C44" s="641">
        <f>IF(C20=0,0,C13/C20)</f>
        <v>18697.132294922376</v>
      </c>
      <c r="D44" s="641">
        <f>IF(D20=0,0,D13/D20)</f>
        <v>18656.500730069114</v>
      </c>
      <c r="E44" s="641">
        <f>IF(E20=0,0,E13/E20)</f>
        <v>21560.869274600045</v>
      </c>
    </row>
    <row r="45" spans="1:5" ht="26.1" customHeight="1" x14ac:dyDescent="0.25">
      <c r="A45" s="639">
        <v>3</v>
      </c>
      <c r="B45" s="640" t="s">
        <v>943</v>
      </c>
      <c r="C45" s="641">
        <f>IF(C22=0,0,C13/C22)</f>
        <v>2320.9093538533953</v>
      </c>
      <c r="D45" s="641">
        <f>IF(D22=0,0,D13/D22)</f>
        <v>2427.7690425018764</v>
      </c>
      <c r="E45" s="641">
        <f>IF(E22=0,0,E13/E22)</f>
        <v>2450.4687747211005</v>
      </c>
    </row>
    <row r="46" spans="1:5" ht="26.1" customHeight="1" x14ac:dyDescent="0.25">
      <c r="A46" s="639">
        <v>4</v>
      </c>
      <c r="B46" s="640" t="s">
        <v>944</v>
      </c>
      <c r="C46" s="641">
        <f>IF(C23=0,0,C13/C23)</f>
        <v>9735.9989044773884</v>
      </c>
      <c r="D46" s="641">
        <f>IF(D23=0,0,D13/D23)</f>
        <v>9823.6851400018732</v>
      </c>
      <c r="E46" s="641">
        <f>IF(E23=0,0,E13/E23)</f>
        <v>10307.086253786632</v>
      </c>
    </row>
    <row r="47" spans="1:5" ht="26.1" customHeight="1" x14ac:dyDescent="0.25">
      <c r="A47" s="639">
        <v>5</v>
      </c>
      <c r="B47" s="640" t="s">
        <v>945</v>
      </c>
      <c r="C47" s="641">
        <f>IF(C29=0,0,C13/C29)</f>
        <v>1956.2545963676082</v>
      </c>
      <c r="D47" s="641">
        <f>IF(D29=0,0,D13/D29)</f>
        <v>2075.0603512592925</v>
      </c>
      <c r="E47" s="641">
        <f>IF(E29=0,0,E13/E29)</f>
        <v>2041.7669936290667</v>
      </c>
    </row>
    <row r="48" spans="1:5" ht="26.1" customHeight="1" x14ac:dyDescent="0.25">
      <c r="A48" s="639">
        <v>6</v>
      </c>
      <c r="B48" s="640" t="s">
        <v>946</v>
      </c>
      <c r="C48" s="641">
        <f>IF(C30=0,0,C13/C30)</f>
        <v>8206.3061082035565</v>
      </c>
      <c r="D48" s="641">
        <f>IF(D30=0,0,D13/D30)</f>
        <v>8396.4904323295923</v>
      </c>
      <c r="E48" s="641">
        <f>IF(E30=0,0,E13/E30)</f>
        <v>8588.0174155104687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378</v>
      </c>
      <c r="B50" s="634" t="s">
        <v>947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948</v>
      </c>
      <c r="C51" s="641">
        <f>IF(C19=0,0,C16/C19)</f>
        <v>4659.4261285909715</v>
      </c>
      <c r="D51" s="641">
        <f>IF(D19=0,0,D16/D19)</f>
        <v>4433.3255469887054</v>
      </c>
      <c r="E51" s="641">
        <f>IF(E19=0,0,E16/E19)</f>
        <v>5073.8103450521685</v>
      </c>
    </row>
    <row r="52" spans="1:6" ht="26.1" customHeight="1" x14ac:dyDescent="0.25">
      <c r="A52" s="639">
        <v>2</v>
      </c>
      <c r="B52" s="640" t="s">
        <v>949</v>
      </c>
      <c r="C52" s="641">
        <f>IF(C20=0,0,C16/C20)</f>
        <v>19545.859302146848</v>
      </c>
      <c r="D52" s="641">
        <f>IF(D20=0,0,D16/D20)</f>
        <v>17938.93633797333</v>
      </c>
      <c r="E52" s="641">
        <f>IF(E20=0,0,E16/E20)</f>
        <v>21341.304733727811</v>
      </c>
    </row>
    <row r="53" spans="1:6" ht="26.1" customHeight="1" x14ac:dyDescent="0.25">
      <c r="A53" s="639">
        <v>3</v>
      </c>
      <c r="B53" s="640" t="s">
        <v>950</v>
      </c>
      <c r="C53" s="641">
        <f>IF(C22=0,0,C16/C22)</f>
        <v>2426.2633952573929</v>
      </c>
      <c r="D53" s="641">
        <f>IF(D22=0,0,D16/D22)</f>
        <v>2334.392441909029</v>
      </c>
      <c r="E53" s="641">
        <f>IF(E22=0,0,E16/E22)</f>
        <v>2425.5144908937218</v>
      </c>
    </row>
    <row r="54" spans="1:6" ht="26.1" customHeight="1" x14ac:dyDescent="0.25">
      <c r="A54" s="639">
        <v>4</v>
      </c>
      <c r="B54" s="640" t="s">
        <v>951</v>
      </c>
      <c r="C54" s="641">
        <f>IF(C23=0,0,C16/C23)</f>
        <v>10177.94931067855</v>
      </c>
      <c r="D54" s="641">
        <f>IF(D23=0,0,D16/D23)</f>
        <v>9445.8475831300966</v>
      </c>
      <c r="E54" s="641">
        <f>IF(E23=0,0,E16/E23)</f>
        <v>10202.124314069795</v>
      </c>
    </row>
    <row r="55" spans="1:6" ht="26.1" customHeight="1" x14ac:dyDescent="0.25">
      <c r="A55" s="639">
        <v>5</v>
      </c>
      <c r="B55" s="640" t="s">
        <v>952</v>
      </c>
      <c r="C55" s="641">
        <f>IF(C29=0,0,C16/C29)</f>
        <v>2045.0557067600876</v>
      </c>
      <c r="D55" s="641">
        <f>IF(D29=0,0,D16/D29)</f>
        <v>1995.2495956917383</v>
      </c>
      <c r="E55" s="641">
        <f>IF(E29=0,0,E16/E29)</f>
        <v>2020.9747135584128</v>
      </c>
    </row>
    <row r="56" spans="1:6" ht="26.1" customHeight="1" x14ac:dyDescent="0.25">
      <c r="A56" s="639">
        <v>6</v>
      </c>
      <c r="B56" s="640" t="s">
        <v>953</v>
      </c>
      <c r="C56" s="641">
        <f>IF(C30=0,0,C16/C30)</f>
        <v>8578.8185081652864</v>
      </c>
      <c r="D56" s="641">
        <f>IF(D30=0,0,D16/D30)</f>
        <v>8073.5454899748884</v>
      </c>
      <c r="E56" s="641">
        <f>IF(E30=0,0,E16/E30)</f>
        <v>8500.5615677510887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382</v>
      </c>
      <c r="B58" s="642" t="s">
        <v>954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955</v>
      </c>
      <c r="C59" s="649">
        <v>50879413</v>
      </c>
      <c r="D59" s="649">
        <v>51622907</v>
      </c>
      <c r="E59" s="649">
        <v>60308808</v>
      </c>
    </row>
    <row r="60" spans="1:6" ht="26.1" customHeight="1" x14ac:dyDescent="0.25">
      <c r="A60" s="639">
        <v>2</v>
      </c>
      <c r="B60" s="640" t="s">
        <v>956</v>
      </c>
      <c r="C60" s="649">
        <v>18188771</v>
      </c>
      <c r="D60" s="649">
        <v>17765212</v>
      </c>
      <c r="E60" s="649">
        <v>15653134</v>
      </c>
    </row>
    <row r="61" spans="1:6" ht="26.1" customHeight="1" x14ac:dyDescent="0.25">
      <c r="A61" s="650">
        <v>3</v>
      </c>
      <c r="B61" s="651" t="s">
        <v>957</v>
      </c>
      <c r="C61" s="652">
        <f>C59+C60</f>
        <v>69068184</v>
      </c>
      <c r="D61" s="652">
        <f>D59+D60</f>
        <v>69388119</v>
      </c>
      <c r="E61" s="652">
        <f>E59+E60</f>
        <v>75961942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958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959</v>
      </c>
      <c r="C64" s="641">
        <v>22602893</v>
      </c>
      <c r="D64" s="641">
        <v>22878615</v>
      </c>
      <c r="E64" s="649">
        <v>27064007</v>
      </c>
      <c r="F64" s="653"/>
    </row>
    <row r="65" spans="1:6" ht="26.1" customHeight="1" x14ac:dyDescent="0.25">
      <c r="A65" s="639">
        <v>2</v>
      </c>
      <c r="B65" s="640" t="s">
        <v>960</v>
      </c>
      <c r="C65" s="649">
        <v>8080259</v>
      </c>
      <c r="D65" s="649">
        <v>7724018</v>
      </c>
      <c r="E65" s="649">
        <v>7024455</v>
      </c>
      <c r="F65" s="653"/>
    </row>
    <row r="66" spans="1:6" ht="26.1" customHeight="1" x14ac:dyDescent="0.25">
      <c r="A66" s="650">
        <v>3</v>
      </c>
      <c r="B66" s="651" t="s">
        <v>961</v>
      </c>
      <c r="C66" s="654">
        <f>C64+C65</f>
        <v>30683152</v>
      </c>
      <c r="D66" s="654">
        <f>D64+D65</f>
        <v>30602633</v>
      </c>
      <c r="E66" s="654">
        <f>E64+E65</f>
        <v>34088462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408</v>
      </c>
      <c r="B68" s="642" t="s">
        <v>962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963</v>
      </c>
      <c r="C69" s="649">
        <v>71923201</v>
      </c>
      <c r="D69" s="649">
        <v>78660567</v>
      </c>
      <c r="E69" s="649">
        <v>77920320</v>
      </c>
    </row>
    <row r="70" spans="1:6" ht="26.1" customHeight="1" x14ac:dyDescent="0.25">
      <c r="A70" s="639">
        <v>2</v>
      </c>
      <c r="B70" s="640" t="s">
        <v>964</v>
      </c>
      <c r="C70" s="649">
        <v>25711669</v>
      </c>
      <c r="D70" s="649">
        <v>26670431</v>
      </c>
      <c r="E70" s="649">
        <v>20224197</v>
      </c>
    </row>
    <row r="71" spans="1:6" ht="26.1" customHeight="1" x14ac:dyDescent="0.25">
      <c r="A71" s="650">
        <v>3</v>
      </c>
      <c r="B71" s="651" t="s">
        <v>965</v>
      </c>
      <c r="C71" s="652">
        <f>C69+C70</f>
        <v>97634870</v>
      </c>
      <c r="D71" s="652">
        <f>D69+D70</f>
        <v>105330998</v>
      </c>
      <c r="E71" s="652">
        <f>E69+E70</f>
        <v>98144517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424</v>
      </c>
      <c r="B74" s="642" t="s">
        <v>966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967</v>
      </c>
      <c r="C75" s="641">
        <f t="shared" ref="C75:E76" si="0">+C59+C64+C69</f>
        <v>145405507</v>
      </c>
      <c r="D75" s="641">
        <f t="shared" si="0"/>
        <v>153162089</v>
      </c>
      <c r="E75" s="641">
        <f t="shared" si="0"/>
        <v>165293135</v>
      </c>
    </row>
    <row r="76" spans="1:6" ht="26.1" customHeight="1" x14ac:dyDescent="0.25">
      <c r="A76" s="639">
        <v>2</v>
      </c>
      <c r="B76" s="640" t="s">
        <v>968</v>
      </c>
      <c r="C76" s="641">
        <f t="shared" si="0"/>
        <v>51980699</v>
      </c>
      <c r="D76" s="641">
        <f t="shared" si="0"/>
        <v>52159661</v>
      </c>
      <c r="E76" s="641">
        <f t="shared" si="0"/>
        <v>42901786</v>
      </c>
    </row>
    <row r="77" spans="1:6" ht="26.1" customHeight="1" x14ac:dyDescent="0.25">
      <c r="A77" s="650">
        <v>3</v>
      </c>
      <c r="B77" s="651" t="s">
        <v>966</v>
      </c>
      <c r="C77" s="654">
        <f>C75+C76</f>
        <v>197386206</v>
      </c>
      <c r="D77" s="654">
        <f>D75+D76</f>
        <v>205321750</v>
      </c>
      <c r="E77" s="654">
        <f>E75+E76</f>
        <v>208194921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433</v>
      </c>
      <c r="B79" s="642" t="s">
        <v>969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596</v>
      </c>
      <c r="C80" s="646">
        <v>634.29999999999995</v>
      </c>
      <c r="D80" s="646">
        <v>627.5</v>
      </c>
      <c r="E80" s="646">
        <v>617.4</v>
      </c>
    </row>
    <row r="81" spans="1:5" ht="26.1" customHeight="1" x14ac:dyDescent="0.25">
      <c r="A81" s="639">
        <v>2</v>
      </c>
      <c r="B81" s="640" t="s">
        <v>597</v>
      </c>
      <c r="C81" s="646">
        <v>111</v>
      </c>
      <c r="D81" s="646">
        <v>109.6</v>
      </c>
      <c r="E81" s="646">
        <v>122.2</v>
      </c>
    </row>
    <row r="82" spans="1:5" ht="26.1" customHeight="1" x14ac:dyDescent="0.25">
      <c r="A82" s="639">
        <v>3</v>
      </c>
      <c r="B82" s="640" t="s">
        <v>970</v>
      </c>
      <c r="C82" s="646">
        <v>1420.8</v>
      </c>
      <c r="D82" s="646">
        <v>1434.9</v>
      </c>
      <c r="E82" s="646">
        <v>1559.9</v>
      </c>
    </row>
    <row r="83" spans="1:5" ht="26.1" customHeight="1" x14ac:dyDescent="0.25">
      <c r="A83" s="650">
        <v>4</v>
      </c>
      <c r="B83" s="651" t="s">
        <v>969</v>
      </c>
      <c r="C83" s="656">
        <f>C80+C81+C82</f>
        <v>2166.1</v>
      </c>
      <c r="D83" s="656">
        <f>D80+D81+D82</f>
        <v>2172</v>
      </c>
      <c r="E83" s="656">
        <f>E80+E81+E82</f>
        <v>2299.5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436</v>
      </c>
      <c r="B85" s="642" t="s">
        <v>971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972</v>
      </c>
      <c r="C86" s="649">
        <f>IF(C80=0,0,C59/C80)</f>
        <v>80213.484155762257</v>
      </c>
      <c r="D86" s="649">
        <f>IF(D80=0,0,D59/D80)</f>
        <v>82267.58087649403</v>
      </c>
      <c r="E86" s="649">
        <f>IF(E80=0,0,E59/E80)</f>
        <v>97681.904761904763</v>
      </c>
    </row>
    <row r="87" spans="1:5" ht="26.1" customHeight="1" x14ac:dyDescent="0.25">
      <c r="A87" s="639">
        <v>2</v>
      </c>
      <c r="B87" s="640" t="s">
        <v>973</v>
      </c>
      <c r="C87" s="649">
        <f>IF(C80=0,0,C60/C80)</f>
        <v>28675.344474223555</v>
      </c>
      <c r="D87" s="649">
        <f>IF(D80=0,0,D60/D80)</f>
        <v>28311.094820717131</v>
      </c>
      <c r="E87" s="649">
        <f>IF(E80=0,0,E60/E80)</f>
        <v>25353.310657596372</v>
      </c>
    </row>
    <row r="88" spans="1:5" ht="26.1" customHeight="1" x14ac:dyDescent="0.25">
      <c r="A88" s="650">
        <v>3</v>
      </c>
      <c r="B88" s="651" t="s">
        <v>974</v>
      </c>
      <c r="C88" s="652">
        <f>+C86+C87</f>
        <v>108888.82862998582</v>
      </c>
      <c r="D88" s="652">
        <f>+D86+D87</f>
        <v>110578.67569721116</v>
      </c>
      <c r="E88" s="652">
        <f>+E86+E87</f>
        <v>123035.21541950114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594</v>
      </c>
      <c r="B90" s="642" t="s">
        <v>975</v>
      </c>
    </row>
    <row r="91" spans="1:5" ht="26.1" customHeight="1" x14ac:dyDescent="0.25">
      <c r="A91" s="639">
        <v>1</v>
      </c>
      <c r="B91" s="640" t="s">
        <v>976</v>
      </c>
      <c r="C91" s="641">
        <f>IF(C81=0,0,C64/C81)</f>
        <v>203629.66666666666</v>
      </c>
      <c r="D91" s="641">
        <f>IF(D81=0,0,D64/D81)</f>
        <v>208746.48722627739</v>
      </c>
      <c r="E91" s="641">
        <f>IF(E81=0,0,E64/E81)</f>
        <v>221473.05237315875</v>
      </c>
    </row>
    <row r="92" spans="1:5" ht="26.1" customHeight="1" x14ac:dyDescent="0.25">
      <c r="A92" s="639">
        <v>2</v>
      </c>
      <c r="B92" s="640" t="s">
        <v>977</v>
      </c>
      <c r="C92" s="641">
        <f>IF(C81=0,0,C65/C81)</f>
        <v>72795.126126126124</v>
      </c>
      <c r="D92" s="641">
        <f>IF(D81=0,0,D65/D81)</f>
        <v>70474.616788321175</v>
      </c>
      <c r="E92" s="641">
        <f>IF(E81=0,0,E65/E81)</f>
        <v>57483.2651391162</v>
      </c>
    </row>
    <row r="93" spans="1:5" ht="26.1" customHeight="1" x14ac:dyDescent="0.25">
      <c r="A93" s="650">
        <v>3</v>
      </c>
      <c r="B93" s="651" t="s">
        <v>978</v>
      </c>
      <c r="C93" s="654">
        <f>+C91+C92</f>
        <v>276424.79279279278</v>
      </c>
      <c r="D93" s="654">
        <f>+D91+D92</f>
        <v>279221.10401459853</v>
      </c>
      <c r="E93" s="654">
        <f>+E91+E92</f>
        <v>278956.31751227495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979</v>
      </c>
      <c r="B95" s="642" t="s">
        <v>980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981</v>
      </c>
      <c r="C96" s="649">
        <f>IF(C82=0,0,C69/C82)</f>
        <v>50621.622325450451</v>
      </c>
      <c r="D96" s="649">
        <f>IF(D82=0,0,D69/D82)</f>
        <v>54819.54630984737</v>
      </c>
      <c r="E96" s="649">
        <f>IF(E82=0,0,E69/E82)</f>
        <v>49952.125136226678</v>
      </c>
    </row>
    <row r="97" spans="1:5" ht="26.1" customHeight="1" x14ac:dyDescent="0.25">
      <c r="A97" s="639">
        <v>2</v>
      </c>
      <c r="B97" s="640" t="s">
        <v>982</v>
      </c>
      <c r="C97" s="649">
        <f>IF(C82=0,0,C70/C82)</f>
        <v>18096.613879504504</v>
      </c>
      <c r="D97" s="649">
        <f>IF(D82=0,0,D70/D82)</f>
        <v>18586.96146072897</v>
      </c>
      <c r="E97" s="649">
        <f>IF(E82=0,0,E70/E82)</f>
        <v>12965.059939739725</v>
      </c>
    </row>
    <row r="98" spans="1:5" ht="26.1" customHeight="1" x14ac:dyDescent="0.25">
      <c r="A98" s="650">
        <v>3</v>
      </c>
      <c r="B98" s="651" t="s">
        <v>983</v>
      </c>
      <c r="C98" s="654">
        <f>+C96+C97</f>
        <v>68718.236204954956</v>
      </c>
      <c r="D98" s="654">
        <f>+D96+D97</f>
        <v>73406.50777057634</v>
      </c>
      <c r="E98" s="654">
        <f>+E96+E97</f>
        <v>62917.185075966401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984</v>
      </c>
      <c r="B100" s="642" t="s">
        <v>985</v>
      </c>
    </row>
    <row r="101" spans="1:5" ht="26.1" customHeight="1" x14ac:dyDescent="0.25">
      <c r="A101" s="639">
        <v>1</v>
      </c>
      <c r="B101" s="640" t="s">
        <v>986</v>
      </c>
      <c r="C101" s="641">
        <f>IF(C83=0,0,C75/C83)</f>
        <v>67127.790499053604</v>
      </c>
      <c r="D101" s="641">
        <f>IF(D83=0,0,D75/D83)</f>
        <v>70516.615561694285</v>
      </c>
      <c r="E101" s="641">
        <f>IF(E83=0,0,E75/E83)</f>
        <v>71882.207001522067</v>
      </c>
    </row>
    <row r="102" spans="1:5" ht="26.1" customHeight="1" x14ac:dyDescent="0.25">
      <c r="A102" s="639">
        <v>2</v>
      </c>
      <c r="B102" s="640" t="s">
        <v>987</v>
      </c>
      <c r="C102" s="658">
        <f>IF(C83=0,0,C76/C83)</f>
        <v>23997.368080882694</v>
      </c>
      <c r="D102" s="658">
        <f>IF(D83=0,0,D76/D83)</f>
        <v>24014.57688766114</v>
      </c>
      <c r="E102" s="658">
        <f>IF(E83=0,0,E76/E83)</f>
        <v>18657.006305718634</v>
      </c>
    </row>
    <row r="103" spans="1:5" ht="26.1" customHeight="1" x14ac:dyDescent="0.25">
      <c r="A103" s="650">
        <v>3</v>
      </c>
      <c r="B103" s="651" t="s">
        <v>985</v>
      </c>
      <c r="C103" s="654">
        <f>+C101+C102</f>
        <v>91125.158579936295</v>
      </c>
      <c r="D103" s="654">
        <f>+D101+D102</f>
        <v>94531.192449355425</v>
      </c>
      <c r="E103" s="654">
        <f>+E101+E102</f>
        <v>90539.213307240701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988</v>
      </c>
      <c r="B107" s="634" t="s">
        <v>989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990</v>
      </c>
      <c r="C108" s="641">
        <f>IF(C19=0,0,C77/C19)</f>
        <v>2410.9122288450262</v>
      </c>
      <c r="D108" s="641">
        <f>IF(D19=0,0,D77/D19)</f>
        <v>2469.6795650552704</v>
      </c>
      <c r="E108" s="641">
        <f>IF(E19=0,0,E77/E19)</f>
        <v>2711.8953901863983</v>
      </c>
    </row>
    <row r="109" spans="1:5" ht="26.1" customHeight="1" x14ac:dyDescent="0.25">
      <c r="A109" s="639">
        <v>2</v>
      </c>
      <c r="B109" s="640" t="s">
        <v>991</v>
      </c>
      <c r="C109" s="641">
        <f>IF(C20=0,0,C77/C20)</f>
        <v>10113.552595173438</v>
      </c>
      <c r="D109" s="641">
        <f>IF(D20=0,0,D77/D20)</f>
        <v>9993.2711963399197</v>
      </c>
      <c r="E109" s="641">
        <f>IF(E20=0,0,E77/E20)</f>
        <v>11406.690828402367</v>
      </c>
    </row>
    <row r="110" spans="1:5" ht="26.1" customHeight="1" x14ac:dyDescent="0.25">
      <c r="A110" s="639">
        <v>3</v>
      </c>
      <c r="B110" s="640" t="s">
        <v>992</v>
      </c>
      <c r="C110" s="641">
        <f>IF(C22=0,0,C77/C22)</f>
        <v>1255.413848956978</v>
      </c>
      <c r="D110" s="641">
        <f>IF(D22=0,0,D77/D22)</f>
        <v>1300.4236322140071</v>
      </c>
      <c r="E110" s="641">
        <f>IF(E22=0,0,E77/E22)</f>
        <v>1296.4106104398277</v>
      </c>
    </row>
    <row r="111" spans="1:5" ht="26.1" customHeight="1" x14ac:dyDescent="0.25">
      <c r="A111" s="639">
        <v>4</v>
      </c>
      <c r="B111" s="640" t="s">
        <v>993</v>
      </c>
      <c r="C111" s="641">
        <f>IF(C23=0,0,C77/C23)</f>
        <v>5266.3443480968235</v>
      </c>
      <c r="D111" s="641">
        <f>IF(D23=0,0,D77/D23)</f>
        <v>5262.0130201195316</v>
      </c>
      <c r="E111" s="641">
        <f>IF(E23=0,0,E77/E23)</f>
        <v>5452.922363252027</v>
      </c>
    </row>
    <row r="112" spans="1:5" ht="26.1" customHeight="1" x14ac:dyDescent="0.25">
      <c r="A112" s="639">
        <v>5</v>
      </c>
      <c r="B112" s="640" t="s">
        <v>994</v>
      </c>
      <c r="C112" s="641">
        <f>IF(C29=0,0,C77/C29)</f>
        <v>1058.166751875985</v>
      </c>
      <c r="D112" s="641">
        <f>IF(D29=0,0,D77/D29)</f>
        <v>1111.4967988334897</v>
      </c>
      <c r="E112" s="641">
        <f>IF(E29=0,0,E77/E29)</f>
        <v>1080.1885834631025</v>
      </c>
    </row>
    <row r="113" spans="1:7" ht="25.5" customHeight="1" x14ac:dyDescent="0.25">
      <c r="A113" s="639">
        <v>6</v>
      </c>
      <c r="B113" s="640" t="s">
        <v>995</v>
      </c>
      <c r="C113" s="641">
        <f>IF(C30=0,0,C77/C30)</f>
        <v>4438.9111190034655</v>
      </c>
      <c r="D113" s="641">
        <f>IF(D30=0,0,D77/D30)</f>
        <v>4497.5425564401748</v>
      </c>
      <c r="E113" s="641">
        <f>IF(E30=0,0,E77/E30)</f>
        <v>4543.4559358451579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/>
  <headerFooter>
    <oddHeader>&amp;L&amp;12OFFICE OF HEALTH CARE ACCESS&amp;C&amp;12TWELVE MONTHS ACTUAL FILING&amp;R&amp;12THE HOSPITAL OF CENTRAL CONNECTICUT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/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850595830</v>
      </c>
      <c r="D12" s="51">
        <v>870417634</v>
      </c>
      <c r="E12" s="51">
        <f t="shared" ref="E12:E19" si="0">D12-C12</f>
        <v>19821804</v>
      </c>
      <c r="F12" s="70">
        <f t="shared" ref="F12:F19" si="1">IF(C12=0,0,E12/C12)</f>
        <v>2.3303434252669685E-2</v>
      </c>
    </row>
    <row r="13" spans="1:8" ht="23.1" customHeight="1" x14ac:dyDescent="0.2">
      <c r="A13" s="25">
        <v>2</v>
      </c>
      <c r="B13" s="48" t="s">
        <v>72</v>
      </c>
      <c r="C13" s="51">
        <v>453266693</v>
      </c>
      <c r="D13" s="51">
        <v>473120887</v>
      </c>
      <c r="E13" s="51">
        <f t="shared" si="0"/>
        <v>19854194</v>
      </c>
      <c r="F13" s="70">
        <f t="shared" si="1"/>
        <v>4.3802455169588209E-2</v>
      </c>
    </row>
    <row r="14" spans="1:8" ht="23.1" customHeight="1" x14ac:dyDescent="0.2">
      <c r="A14" s="25">
        <v>3</v>
      </c>
      <c r="B14" s="48" t="s">
        <v>73</v>
      </c>
      <c r="C14" s="51">
        <v>17262086</v>
      </c>
      <c r="D14" s="51">
        <v>6791581</v>
      </c>
      <c r="E14" s="51">
        <f t="shared" si="0"/>
        <v>-10470505</v>
      </c>
      <c r="F14" s="70">
        <f t="shared" si="1"/>
        <v>-0.60656081773662818</v>
      </c>
    </row>
    <row r="15" spans="1:8" ht="23.1" customHeight="1" x14ac:dyDescent="0.2">
      <c r="A15" s="25">
        <v>4</v>
      </c>
      <c r="B15" s="48" t="s">
        <v>74</v>
      </c>
      <c r="C15" s="51">
        <v>-3249413</v>
      </c>
      <c r="D15" s="51">
        <v>-3023820</v>
      </c>
      <c r="E15" s="51">
        <f t="shared" si="0"/>
        <v>225593</v>
      </c>
      <c r="F15" s="70">
        <f t="shared" si="1"/>
        <v>-6.9425770131405273E-2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383316464</v>
      </c>
      <c r="D16" s="27">
        <f>D12-D13-D14-D15</f>
        <v>393528986</v>
      </c>
      <c r="E16" s="27">
        <f t="shared" si="0"/>
        <v>10212522</v>
      </c>
      <c r="F16" s="28">
        <f t="shared" si="1"/>
        <v>2.6642534195974427E-2</v>
      </c>
    </row>
    <row r="17" spans="1:7" ht="23.1" customHeight="1" x14ac:dyDescent="0.2">
      <c r="A17" s="25">
        <v>5</v>
      </c>
      <c r="B17" s="48" t="s">
        <v>76</v>
      </c>
      <c r="C17" s="51">
        <v>8533251</v>
      </c>
      <c r="D17" s="51">
        <v>13861784</v>
      </c>
      <c r="E17" s="51">
        <f t="shared" si="0"/>
        <v>5328533</v>
      </c>
      <c r="F17" s="70">
        <f t="shared" si="1"/>
        <v>0.62444348584144538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747896</v>
      </c>
      <c r="D18" s="51">
        <v>1559503</v>
      </c>
      <c r="E18" s="51">
        <f t="shared" si="0"/>
        <v>811607</v>
      </c>
      <c r="F18" s="70">
        <f t="shared" si="1"/>
        <v>1.0851869778685808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392597611</v>
      </c>
      <c r="D19" s="27">
        <f>SUM(D16:D18)</f>
        <v>408950273</v>
      </c>
      <c r="E19" s="27">
        <f t="shared" si="0"/>
        <v>16352662</v>
      </c>
      <c r="F19" s="28">
        <f t="shared" si="1"/>
        <v>4.1652474548552462E-2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153162089</v>
      </c>
      <c r="D22" s="51">
        <v>165293135</v>
      </c>
      <c r="E22" s="51">
        <f t="shared" ref="E22:E31" si="2">D22-C22</f>
        <v>12131046</v>
      </c>
      <c r="F22" s="70">
        <f t="shared" ref="F22:F31" si="3">IF(C22=0,0,E22/C22)</f>
        <v>7.9203973249542189E-2</v>
      </c>
    </row>
    <row r="23" spans="1:7" ht="23.1" customHeight="1" x14ac:dyDescent="0.2">
      <c r="A23" s="25">
        <v>2</v>
      </c>
      <c r="B23" s="48" t="s">
        <v>81</v>
      </c>
      <c r="C23" s="51">
        <v>52159661</v>
      </c>
      <c r="D23" s="51">
        <v>42901786</v>
      </c>
      <c r="E23" s="51">
        <f t="shared" si="2"/>
        <v>-9257875</v>
      </c>
      <c r="F23" s="70">
        <f t="shared" si="3"/>
        <v>-0.17749108837191255</v>
      </c>
    </row>
    <row r="24" spans="1:7" ht="23.1" customHeight="1" x14ac:dyDescent="0.2">
      <c r="A24" s="25">
        <v>3</v>
      </c>
      <c r="B24" s="48" t="s">
        <v>82</v>
      </c>
      <c r="C24" s="51">
        <v>11127118</v>
      </c>
      <c r="D24" s="51">
        <v>11822724</v>
      </c>
      <c r="E24" s="51">
        <f t="shared" si="2"/>
        <v>695606</v>
      </c>
      <c r="F24" s="70">
        <f t="shared" si="3"/>
        <v>6.251448038926162E-2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52279921</v>
      </c>
      <c r="D25" s="51">
        <v>49535456</v>
      </c>
      <c r="E25" s="51">
        <f t="shared" si="2"/>
        <v>-2744465</v>
      </c>
      <c r="F25" s="70">
        <f t="shared" si="3"/>
        <v>-5.2495584298989283E-2</v>
      </c>
    </row>
    <row r="26" spans="1:7" ht="23.1" customHeight="1" x14ac:dyDescent="0.2">
      <c r="A26" s="25">
        <v>5</v>
      </c>
      <c r="B26" s="48" t="s">
        <v>84</v>
      </c>
      <c r="C26" s="51">
        <v>18679687</v>
      </c>
      <c r="D26" s="51">
        <v>19353058</v>
      </c>
      <c r="E26" s="51">
        <f t="shared" si="2"/>
        <v>673371</v>
      </c>
      <c r="F26" s="70">
        <f t="shared" si="3"/>
        <v>3.6048302094141088E-2</v>
      </c>
    </row>
    <row r="27" spans="1:7" ht="23.1" customHeight="1" x14ac:dyDescent="0.2">
      <c r="A27" s="25">
        <v>6</v>
      </c>
      <c r="B27" s="48" t="s">
        <v>85</v>
      </c>
      <c r="C27" s="51">
        <v>1140529</v>
      </c>
      <c r="D27" s="51">
        <v>17293190</v>
      </c>
      <c r="E27" s="51">
        <f t="shared" si="2"/>
        <v>16152661</v>
      </c>
      <c r="F27" s="70">
        <f t="shared" si="3"/>
        <v>14.162429013203523</v>
      </c>
    </row>
    <row r="28" spans="1:7" ht="23.1" customHeight="1" x14ac:dyDescent="0.2">
      <c r="A28" s="25">
        <v>7</v>
      </c>
      <c r="B28" s="48" t="s">
        <v>86</v>
      </c>
      <c r="C28" s="51">
        <v>837138</v>
      </c>
      <c r="D28" s="51">
        <v>1957216</v>
      </c>
      <c r="E28" s="51">
        <f t="shared" si="2"/>
        <v>1120078</v>
      </c>
      <c r="F28" s="70">
        <f t="shared" si="3"/>
        <v>1.3379848961581007</v>
      </c>
    </row>
    <row r="29" spans="1:7" ht="23.1" customHeight="1" x14ac:dyDescent="0.2">
      <c r="A29" s="25">
        <v>8</v>
      </c>
      <c r="B29" s="48" t="s">
        <v>87</v>
      </c>
      <c r="C29" s="51">
        <v>6815328</v>
      </c>
      <c r="D29" s="51">
        <v>5136177</v>
      </c>
      <c r="E29" s="51">
        <f t="shared" si="2"/>
        <v>-1679151</v>
      </c>
      <c r="F29" s="70">
        <f t="shared" si="3"/>
        <v>-0.24637860422858593</v>
      </c>
    </row>
    <row r="30" spans="1:7" ht="23.1" customHeight="1" x14ac:dyDescent="0.2">
      <c r="A30" s="25">
        <v>9</v>
      </c>
      <c r="B30" s="48" t="s">
        <v>88</v>
      </c>
      <c r="C30" s="51">
        <v>72371915</v>
      </c>
      <c r="D30" s="51">
        <v>76228752</v>
      </c>
      <c r="E30" s="51">
        <f t="shared" si="2"/>
        <v>3856837</v>
      </c>
      <c r="F30" s="70">
        <f t="shared" si="3"/>
        <v>5.3291901976063503E-2</v>
      </c>
    </row>
    <row r="31" spans="1:7" ht="23.1" customHeight="1" x14ac:dyDescent="0.25">
      <c r="A31" s="29"/>
      <c r="B31" s="71" t="s">
        <v>89</v>
      </c>
      <c r="C31" s="27">
        <f>SUM(C22:C30)</f>
        <v>368573386</v>
      </c>
      <c r="D31" s="27">
        <f>SUM(D22:D30)</f>
        <v>389521494</v>
      </c>
      <c r="E31" s="27">
        <f t="shared" si="2"/>
        <v>20948108</v>
      </c>
      <c r="F31" s="28">
        <f t="shared" si="3"/>
        <v>5.6835650092217999E-2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24024225</v>
      </c>
      <c r="D33" s="27">
        <f>+D19-D31</f>
        <v>19428779</v>
      </c>
      <c r="E33" s="27">
        <f>D33-C33</f>
        <v>-4595446</v>
      </c>
      <c r="F33" s="28">
        <f>IF(C33=0,0,E33/C33)</f>
        <v>-0.19128383954112985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1563435</v>
      </c>
      <c r="D36" s="51">
        <v>2379526</v>
      </c>
      <c r="E36" s="51">
        <f>D36-C36</f>
        <v>816091</v>
      </c>
      <c r="F36" s="70">
        <f>IF(C36=0,0,E36/C36)</f>
        <v>0.52198588364722553</v>
      </c>
    </row>
    <row r="37" spans="1:6" ht="23.1" customHeight="1" x14ac:dyDescent="0.2">
      <c r="A37" s="44">
        <v>2</v>
      </c>
      <c r="B37" s="48" t="s">
        <v>93</v>
      </c>
      <c r="C37" s="51">
        <v>204893</v>
      </c>
      <c r="D37" s="51">
        <v>123070</v>
      </c>
      <c r="E37" s="51">
        <f>D37-C37</f>
        <v>-81823</v>
      </c>
      <c r="F37" s="70">
        <f>IF(C37=0,0,E37/C37)</f>
        <v>-0.39934502398813038</v>
      </c>
    </row>
    <row r="38" spans="1:6" ht="23.1" customHeight="1" x14ac:dyDescent="0.2">
      <c r="A38" s="44">
        <v>3</v>
      </c>
      <c r="B38" s="48" t="s">
        <v>94</v>
      </c>
      <c r="C38" s="51">
        <v>-1742303</v>
      </c>
      <c r="D38" s="51">
        <v>7462766</v>
      </c>
      <c r="E38" s="51">
        <f>D38-C38</f>
        <v>9205069</v>
      </c>
      <c r="F38" s="70">
        <f>IF(C38=0,0,E38/C38)</f>
        <v>-5.283276789398859</v>
      </c>
    </row>
    <row r="39" spans="1:6" ht="23.1" customHeight="1" x14ac:dyDescent="0.25">
      <c r="A39" s="20"/>
      <c r="B39" s="71" t="s">
        <v>95</v>
      </c>
      <c r="C39" s="27">
        <f>SUM(C36:C38)</f>
        <v>26025</v>
      </c>
      <c r="D39" s="27">
        <f>SUM(D36:D38)</f>
        <v>9965362</v>
      </c>
      <c r="E39" s="27">
        <f>D39-C39</f>
        <v>9939337</v>
      </c>
      <c r="F39" s="28">
        <f>IF(C39=0,0,E39/C39)</f>
        <v>381.91496637848223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24050250</v>
      </c>
      <c r="D41" s="27">
        <f>D33+D39</f>
        <v>29394141</v>
      </c>
      <c r="E41" s="27">
        <f>D41-C41</f>
        <v>5343891</v>
      </c>
      <c r="F41" s="28">
        <f>IF(C41=0,0,E41/C41)</f>
        <v>0.22219690024012223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24050250</v>
      </c>
      <c r="D48" s="27">
        <f>D41+D46</f>
        <v>29394141</v>
      </c>
      <c r="E48" s="27">
        <f>D48-C48</f>
        <v>5343891</v>
      </c>
      <c r="F48" s="28">
        <f>IF(C48=0,0,E48/C48)</f>
        <v>0.22219690024012223</v>
      </c>
    </row>
    <row r="49" spans="1:6" ht="23.1" customHeight="1" x14ac:dyDescent="0.2">
      <c r="A49" s="44"/>
      <c r="B49" s="48" t="s">
        <v>102</v>
      </c>
      <c r="C49" s="51">
        <v>3889577</v>
      </c>
      <c r="D49" s="51">
        <v>2745010</v>
      </c>
      <c r="E49" s="51">
        <f>D49-C49</f>
        <v>-1144567</v>
      </c>
      <c r="F49" s="70">
        <f>IF(C49=0,0,E49/C49)</f>
        <v>-0.29426516045318041</v>
      </c>
    </row>
  </sheetData>
  <printOptions gridLines="1"/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FILING&amp;RTHE HOSPITAL OF CENTRAL CONNECTICUT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workbookViewId="0"/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18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70" t="s">
        <v>0</v>
      </c>
      <c r="B2" s="670"/>
      <c r="C2" s="670"/>
      <c r="D2" s="670"/>
      <c r="E2" s="670"/>
      <c r="F2" s="670"/>
    </row>
    <row r="3" spans="1:6" ht="18" customHeight="1" x14ac:dyDescent="0.25">
      <c r="A3" s="670" t="s">
        <v>1</v>
      </c>
      <c r="B3" s="670"/>
      <c r="C3" s="670"/>
      <c r="D3" s="670"/>
      <c r="E3" s="670"/>
      <c r="F3" s="670"/>
    </row>
    <row r="4" spans="1:6" ht="18" customHeight="1" x14ac:dyDescent="0.25">
      <c r="A4" s="670" t="s">
        <v>2</v>
      </c>
      <c r="B4" s="670"/>
      <c r="C4" s="670"/>
      <c r="D4" s="670"/>
      <c r="E4" s="670"/>
      <c r="F4" s="670"/>
    </row>
    <row r="5" spans="1:6" ht="18" customHeight="1" x14ac:dyDescent="0.25">
      <c r="A5" s="670" t="s">
        <v>103</v>
      </c>
      <c r="B5" s="670"/>
      <c r="C5" s="670"/>
      <c r="D5" s="670"/>
      <c r="E5" s="670"/>
      <c r="F5" s="67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71"/>
      <c r="D9" s="672"/>
      <c r="E9" s="672"/>
      <c r="F9" s="673"/>
    </row>
    <row r="10" spans="1:6" ht="18" customHeight="1" x14ac:dyDescent="0.25">
      <c r="A10" s="660" t="s">
        <v>12</v>
      </c>
      <c r="B10" s="662" t="s">
        <v>109</v>
      </c>
      <c r="C10" s="664"/>
      <c r="D10" s="665"/>
      <c r="E10" s="665"/>
      <c r="F10" s="666"/>
    </row>
    <row r="11" spans="1:6" ht="18" customHeight="1" x14ac:dyDescent="0.25">
      <c r="A11" s="661"/>
      <c r="B11" s="663"/>
      <c r="C11" s="667"/>
      <c r="D11" s="668"/>
      <c r="E11" s="668"/>
      <c r="F11" s="669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203275677</v>
      </c>
      <c r="D14" s="97">
        <v>185301507</v>
      </c>
      <c r="E14" s="97">
        <f t="shared" ref="E14:E25" si="0">D14-C14</f>
        <v>-17974170</v>
      </c>
      <c r="F14" s="98">
        <f t="shared" ref="F14:F25" si="1">IF(C14=0,0,E14/C14)</f>
        <v>-8.8422630121162998E-2</v>
      </c>
    </row>
    <row r="15" spans="1:6" ht="18" customHeight="1" x14ac:dyDescent="0.25">
      <c r="A15" s="99">
        <v>2</v>
      </c>
      <c r="B15" s="100" t="s">
        <v>113</v>
      </c>
      <c r="C15" s="97">
        <v>51512007</v>
      </c>
      <c r="D15" s="97">
        <v>50577239</v>
      </c>
      <c r="E15" s="97">
        <f t="shared" si="0"/>
        <v>-934768</v>
      </c>
      <c r="F15" s="98">
        <f t="shared" si="1"/>
        <v>-1.8146604149980022E-2</v>
      </c>
    </row>
    <row r="16" spans="1:6" ht="18" customHeight="1" x14ac:dyDescent="0.25">
      <c r="A16" s="99">
        <v>3</v>
      </c>
      <c r="B16" s="100" t="s">
        <v>114</v>
      </c>
      <c r="C16" s="97">
        <v>51919038</v>
      </c>
      <c r="D16" s="97">
        <v>69315273</v>
      </c>
      <c r="E16" s="97">
        <f t="shared" si="0"/>
        <v>17396235</v>
      </c>
      <c r="F16" s="98">
        <f t="shared" si="1"/>
        <v>0.33506466356329639</v>
      </c>
    </row>
    <row r="17" spans="1:6" ht="18" customHeight="1" x14ac:dyDescent="0.25">
      <c r="A17" s="99">
        <v>4</v>
      </c>
      <c r="B17" s="100" t="s">
        <v>115</v>
      </c>
      <c r="C17" s="97">
        <v>26866087</v>
      </c>
      <c r="D17" s="97">
        <v>6324858</v>
      </c>
      <c r="E17" s="97">
        <f t="shared" si="0"/>
        <v>-20541229</v>
      </c>
      <c r="F17" s="98">
        <f t="shared" si="1"/>
        <v>-0.76457836974919346</v>
      </c>
    </row>
    <row r="18" spans="1:6" ht="18" customHeight="1" x14ac:dyDescent="0.25">
      <c r="A18" s="99">
        <v>5</v>
      </c>
      <c r="B18" s="100" t="s">
        <v>116</v>
      </c>
      <c r="C18" s="97">
        <v>513067</v>
      </c>
      <c r="D18" s="97">
        <v>511703</v>
      </c>
      <c r="E18" s="97">
        <f t="shared" si="0"/>
        <v>-1364</v>
      </c>
      <c r="F18" s="98">
        <f t="shared" si="1"/>
        <v>-2.6585221813135518E-3</v>
      </c>
    </row>
    <row r="19" spans="1:6" ht="18" customHeight="1" x14ac:dyDescent="0.25">
      <c r="A19" s="99">
        <v>6</v>
      </c>
      <c r="B19" s="100" t="s">
        <v>117</v>
      </c>
      <c r="C19" s="97">
        <v>2902329</v>
      </c>
      <c r="D19" s="97">
        <v>1313776</v>
      </c>
      <c r="E19" s="97">
        <f t="shared" si="0"/>
        <v>-1588553</v>
      </c>
      <c r="F19" s="98">
        <f t="shared" si="1"/>
        <v>-0.54733732805619206</v>
      </c>
    </row>
    <row r="20" spans="1:6" ht="18" customHeight="1" x14ac:dyDescent="0.25">
      <c r="A20" s="99">
        <v>7</v>
      </c>
      <c r="B20" s="100" t="s">
        <v>118</v>
      </c>
      <c r="C20" s="97">
        <v>100822050</v>
      </c>
      <c r="D20" s="97">
        <v>89395871</v>
      </c>
      <c r="E20" s="97">
        <f t="shared" si="0"/>
        <v>-11426179</v>
      </c>
      <c r="F20" s="98">
        <f t="shared" si="1"/>
        <v>-0.11333015942445129</v>
      </c>
    </row>
    <row r="21" spans="1:6" ht="18" customHeight="1" x14ac:dyDescent="0.25">
      <c r="A21" s="99">
        <v>8</v>
      </c>
      <c r="B21" s="100" t="s">
        <v>119</v>
      </c>
      <c r="C21" s="97">
        <v>2151029</v>
      </c>
      <c r="D21" s="97">
        <v>1774133</v>
      </c>
      <c r="E21" s="97">
        <f t="shared" si="0"/>
        <v>-376896</v>
      </c>
      <c r="F21" s="98">
        <f t="shared" si="1"/>
        <v>-0.17521660563386174</v>
      </c>
    </row>
    <row r="22" spans="1:6" ht="18" customHeight="1" x14ac:dyDescent="0.25">
      <c r="A22" s="99">
        <v>9</v>
      </c>
      <c r="B22" s="100" t="s">
        <v>120</v>
      </c>
      <c r="C22" s="97">
        <v>3318356</v>
      </c>
      <c r="D22" s="97">
        <v>6962793</v>
      </c>
      <c r="E22" s="97">
        <f t="shared" si="0"/>
        <v>3644437</v>
      </c>
      <c r="F22" s="98">
        <f t="shared" si="1"/>
        <v>1.0982658280184525</v>
      </c>
    </row>
    <row r="23" spans="1:6" ht="18" customHeight="1" x14ac:dyDescent="0.25">
      <c r="A23" s="99">
        <v>10</v>
      </c>
      <c r="B23" s="100" t="s">
        <v>121</v>
      </c>
      <c r="C23" s="97">
        <v>0</v>
      </c>
      <c r="D23" s="97">
        <v>0</v>
      </c>
      <c r="E23" s="97">
        <f t="shared" si="0"/>
        <v>0</v>
      </c>
      <c r="F23" s="98">
        <f t="shared" si="1"/>
        <v>0</v>
      </c>
    </row>
    <row r="24" spans="1:6" ht="18" customHeight="1" x14ac:dyDescent="0.25">
      <c r="A24" s="99">
        <v>11</v>
      </c>
      <c r="B24" s="100" t="s">
        <v>122</v>
      </c>
      <c r="C24" s="97">
        <v>0</v>
      </c>
      <c r="D24" s="97">
        <v>0</v>
      </c>
      <c r="E24" s="97">
        <f t="shared" si="0"/>
        <v>0</v>
      </c>
      <c r="F24" s="98">
        <f t="shared" si="1"/>
        <v>0</v>
      </c>
    </row>
    <row r="25" spans="1:6" ht="18" customHeight="1" x14ac:dyDescent="0.25">
      <c r="A25" s="101"/>
      <c r="B25" s="102" t="s">
        <v>123</v>
      </c>
      <c r="C25" s="103">
        <f>SUM(C14:C24)</f>
        <v>443279640</v>
      </c>
      <c r="D25" s="103">
        <f>SUM(D14:D24)</f>
        <v>411477153</v>
      </c>
      <c r="E25" s="103">
        <f t="shared" si="0"/>
        <v>-31802487</v>
      </c>
      <c r="F25" s="104">
        <f t="shared" si="1"/>
        <v>-7.1743622152373163E-2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101916607</v>
      </c>
      <c r="D27" s="97">
        <v>112695063</v>
      </c>
      <c r="E27" s="97">
        <f t="shared" ref="E27:E38" si="2">D27-C27</f>
        <v>10778456</v>
      </c>
      <c r="F27" s="98">
        <f t="shared" ref="F27:F38" si="3">IF(C27=0,0,E27/C27)</f>
        <v>0.10575760238956934</v>
      </c>
    </row>
    <row r="28" spans="1:6" ht="18" customHeight="1" x14ac:dyDescent="0.25">
      <c r="A28" s="99">
        <v>2</v>
      </c>
      <c r="B28" s="100" t="s">
        <v>113</v>
      </c>
      <c r="C28" s="97">
        <v>28482396</v>
      </c>
      <c r="D28" s="97">
        <v>37682240</v>
      </c>
      <c r="E28" s="97">
        <f t="shared" si="2"/>
        <v>9199844</v>
      </c>
      <c r="F28" s="98">
        <f t="shared" si="3"/>
        <v>0.32300105651224004</v>
      </c>
    </row>
    <row r="29" spans="1:6" ht="18" customHeight="1" x14ac:dyDescent="0.25">
      <c r="A29" s="99">
        <v>3</v>
      </c>
      <c r="B29" s="100" t="s">
        <v>114</v>
      </c>
      <c r="C29" s="97">
        <v>45536663</v>
      </c>
      <c r="D29" s="97">
        <v>99452264</v>
      </c>
      <c r="E29" s="97">
        <f t="shared" si="2"/>
        <v>53915601</v>
      </c>
      <c r="F29" s="98">
        <f t="shared" si="3"/>
        <v>1.1840042165584246</v>
      </c>
    </row>
    <row r="30" spans="1:6" ht="18" customHeight="1" x14ac:dyDescent="0.25">
      <c r="A30" s="99">
        <v>4</v>
      </c>
      <c r="B30" s="100" t="s">
        <v>115</v>
      </c>
      <c r="C30" s="97">
        <v>47877448</v>
      </c>
      <c r="D30" s="97">
        <v>13179870</v>
      </c>
      <c r="E30" s="97">
        <f t="shared" si="2"/>
        <v>-34697578</v>
      </c>
      <c r="F30" s="98">
        <f t="shared" si="3"/>
        <v>-0.72471653042158801</v>
      </c>
    </row>
    <row r="31" spans="1:6" ht="18" customHeight="1" x14ac:dyDescent="0.25">
      <c r="A31" s="99">
        <v>5</v>
      </c>
      <c r="B31" s="100" t="s">
        <v>116</v>
      </c>
      <c r="C31" s="97">
        <v>719632</v>
      </c>
      <c r="D31" s="97">
        <v>870795</v>
      </c>
      <c r="E31" s="97">
        <f t="shared" si="2"/>
        <v>151163</v>
      </c>
      <c r="F31" s="98">
        <f t="shared" si="3"/>
        <v>0.2100559730528937</v>
      </c>
    </row>
    <row r="32" spans="1:6" ht="18" customHeight="1" x14ac:dyDescent="0.25">
      <c r="A32" s="99">
        <v>6</v>
      </c>
      <c r="B32" s="100" t="s">
        <v>117</v>
      </c>
      <c r="C32" s="97">
        <v>3195424</v>
      </c>
      <c r="D32" s="97">
        <v>2598628</v>
      </c>
      <c r="E32" s="97">
        <f t="shared" si="2"/>
        <v>-596796</v>
      </c>
      <c r="F32" s="98">
        <f t="shared" si="3"/>
        <v>-0.18676582512993581</v>
      </c>
    </row>
    <row r="33" spans="1:6" ht="18" customHeight="1" x14ac:dyDescent="0.25">
      <c r="A33" s="99">
        <v>7</v>
      </c>
      <c r="B33" s="100" t="s">
        <v>118</v>
      </c>
      <c r="C33" s="97">
        <v>152073144</v>
      </c>
      <c r="D33" s="97">
        <v>161456408</v>
      </c>
      <c r="E33" s="97">
        <f t="shared" si="2"/>
        <v>9383264</v>
      </c>
      <c r="F33" s="98">
        <f t="shared" si="3"/>
        <v>6.1702308199796274E-2</v>
      </c>
    </row>
    <row r="34" spans="1:6" ht="18" customHeight="1" x14ac:dyDescent="0.25">
      <c r="A34" s="99">
        <v>8</v>
      </c>
      <c r="B34" s="100" t="s">
        <v>119</v>
      </c>
      <c r="C34" s="97">
        <v>4513919</v>
      </c>
      <c r="D34" s="97">
        <v>5233007</v>
      </c>
      <c r="E34" s="97">
        <f t="shared" si="2"/>
        <v>719088</v>
      </c>
      <c r="F34" s="98">
        <f t="shared" si="3"/>
        <v>0.15930458654663499</v>
      </c>
    </row>
    <row r="35" spans="1:6" ht="18" customHeight="1" x14ac:dyDescent="0.25">
      <c r="A35" s="99">
        <v>9</v>
      </c>
      <c r="B35" s="100" t="s">
        <v>120</v>
      </c>
      <c r="C35" s="97">
        <v>14252846</v>
      </c>
      <c r="D35" s="97">
        <v>16102691</v>
      </c>
      <c r="E35" s="97">
        <f t="shared" si="2"/>
        <v>1849845</v>
      </c>
      <c r="F35" s="98">
        <f t="shared" si="3"/>
        <v>0.12978776308956119</v>
      </c>
    </row>
    <row r="36" spans="1:6" ht="18" customHeight="1" x14ac:dyDescent="0.25">
      <c r="A36" s="99">
        <v>10</v>
      </c>
      <c r="B36" s="100" t="s">
        <v>121</v>
      </c>
      <c r="C36" s="97">
        <v>0</v>
      </c>
      <c r="D36" s="97">
        <v>0</v>
      </c>
      <c r="E36" s="97">
        <f t="shared" si="2"/>
        <v>0</v>
      </c>
      <c r="F36" s="98">
        <f t="shared" si="3"/>
        <v>0</v>
      </c>
    </row>
    <row r="37" spans="1:6" ht="18" customHeight="1" x14ac:dyDescent="0.25">
      <c r="A37" s="99">
        <v>11</v>
      </c>
      <c r="B37" s="100" t="s">
        <v>122</v>
      </c>
      <c r="C37" s="97">
        <v>0</v>
      </c>
      <c r="D37" s="97">
        <v>0</v>
      </c>
      <c r="E37" s="97">
        <f t="shared" si="2"/>
        <v>0</v>
      </c>
      <c r="F37" s="98">
        <f t="shared" si="3"/>
        <v>0</v>
      </c>
    </row>
    <row r="38" spans="1:6" ht="18" customHeight="1" x14ac:dyDescent="0.25">
      <c r="A38" s="101"/>
      <c r="B38" s="102" t="s">
        <v>126</v>
      </c>
      <c r="C38" s="103">
        <f>SUM(C27:C37)</f>
        <v>398568079</v>
      </c>
      <c r="D38" s="103">
        <f>SUM(D27:D37)</f>
        <v>449270966</v>
      </c>
      <c r="E38" s="103">
        <f t="shared" si="2"/>
        <v>50702887</v>
      </c>
      <c r="F38" s="104">
        <f t="shared" si="3"/>
        <v>0.12721261353195323</v>
      </c>
    </row>
    <row r="39" spans="1:6" ht="18" customHeight="1" x14ac:dyDescent="0.25">
      <c r="A39" s="660" t="s">
        <v>127</v>
      </c>
      <c r="B39" s="662" t="s">
        <v>128</v>
      </c>
      <c r="C39" s="664"/>
      <c r="D39" s="665"/>
      <c r="E39" s="665"/>
      <c r="F39" s="666"/>
    </row>
    <row r="40" spans="1:6" ht="18" customHeight="1" x14ac:dyDescent="0.25">
      <c r="A40" s="661"/>
      <c r="B40" s="663"/>
      <c r="C40" s="667"/>
      <c r="D40" s="668"/>
      <c r="E40" s="668"/>
      <c r="F40" s="669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305192284</v>
      </c>
      <c r="D41" s="103">
        <f t="shared" si="4"/>
        <v>297996570</v>
      </c>
      <c r="E41" s="107">
        <f t="shared" ref="E41:E52" si="5">D41-C41</f>
        <v>-7195714</v>
      </c>
      <c r="F41" s="108">
        <f t="shared" ref="F41:F52" si="6">IF(C41=0,0,E41/C41)</f>
        <v>-2.3577640645724846E-2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79994403</v>
      </c>
      <c r="D42" s="103">
        <f t="shared" si="4"/>
        <v>88259479</v>
      </c>
      <c r="E42" s="107">
        <f t="shared" si="5"/>
        <v>8265076</v>
      </c>
      <c r="F42" s="108">
        <f t="shared" si="6"/>
        <v>0.10332067857297467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97455701</v>
      </c>
      <c r="D43" s="103">
        <f t="shared" si="4"/>
        <v>168767537</v>
      </c>
      <c r="E43" s="107">
        <f t="shared" si="5"/>
        <v>71311836</v>
      </c>
      <c r="F43" s="108">
        <f t="shared" si="6"/>
        <v>0.73173590942617095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74743535</v>
      </c>
      <c r="D44" s="103">
        <f t="shared" si="4"/>
        <v>19504728</v>
      </c>
      <c r="E44" s="107">
        <f t="shared" si="5"/>
        <v>-55238807</v>
      </c>
      <c r="F44" s="108">
        <f t="shared" si="6"/>
        <v>-0.73904461436029212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1232699</v>
      </c>
      <c r="D45" s="103">
        <f t="shared" si="4"/>
        <v>1382498</v>
      </c>
      <c r="E45" s="107">
        <f t="shared" si="5"/>
        <v>149799</v>
      </c>
      <c r="F45" s="108">
        <f t="shared" si="6"/>
        <v>0.12152114993197853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6097753</v>
      </c>
      <c r="D46" s="103">
        <f t="shared" si="4"/>
        <v>3912404</v>
      </c>
      <c r="E46" s="107">
        <f t="shared" si="5"/>
        <v>-2185349</v>
      </c>
      <c r="F46" s="108">
        <f t="shared" si="6"/>
        <v>-0.35838594970967175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252895194</v>
      </c>
      <c r="D47" s="103">
        <f t="shared" si="4"/>
        <v>250852279</v>
      </c>
      <c r="E47" s="107">
        <f t="shared" si="5"/>
        <v>-2042915</v>
      </c>
      <c r="F47" s="108">
        <f t="shared" si="6"/>
        <v>-8.0781092265438618E-3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6664948</v>
      </c>
      <c r="D48" s="103">
        <f t="shared" si="4"/>
        <v>7007140</v>
      </c>
      <c r="E48" s="107">
        <f t="shared" si="5"/>
        <v>342192</v>
      </c>
      <c r="F48" s="108">
        <f t="shared" si="6"/>
        <v>5.1342035976874839E-2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17571202</v>
      </c>
      <c r="D49" s="103">
        <f t="shared" si="4"/>
        <v>23065484</v>
      </c>
      <c r="E49" s="107">
        <f t="shared" si="5"/>
        <v>5494282</v>
      </c>
      <c r="F49" s="108">
        <f t="shared" si="6"/>
        <v>0.31268674732667689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0</v>
      </c>
      <c r="D50" s="103">
        <f t="shared" si="4"/>
        <v>0</v>
      </c>
      <c r="E50" s="107">
        <f t="shared" si="5"/>
        <v>0</v>
      </c>
      <c r="F50" s="108">
        <f t="shared" si="6"/>
        <v>0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0</v>
      </c>
      <c r="D51" s="103">
        <f t="shared" si="4"/>
        <v>0</v>
      </c>
      <c r="E51" s="107">
        <f t="shared" si="5"/>
        <v>0</v>
      </c>
      <c r="F51" s="108">
        <f t="shared" si="6"/>
        <v>0</v>
      </c>
    </row>
    <row r="52" spans="1:6" ht="18.75" customHeight="1" thickBot="1" x14ac:dyDescent="0.3">
      <c r="A52" s="109"/>
      <c r="B52" s="110" t="s">
        <v>128</v>
      </c>
      <c r="C52" s="111">
        <f>SUM(C41:C51)</f>
        <v>841847719</v>
      </c>
      <c r="D52" s="112">
        <f>SUM(D41:D51)</f>
        <v>860748119</v>
      </c>
      <c r="E52" s="111">
        <f t="shared" si="5"/>
        <v>18900400</v>
      </c>
      <c r="F52" s="113">
        <f t="shared" si="6"/>
        <v>2.245109130004069E-2</v>
      </c>
    </row>
    <row r="53" spans="1:6" ht="18" customHeight="1" x14ac:dyDescent="0.25">
      <c r="A53" s="660" t="s">
        <v>44</v>
      </c>
      <c r="B53" s="662" t="s">
        <v>129</v>
      </c>
      <c r="C53" s="664"/>
      <c r="D53" s="665"/>
      <c r="E53" s="665"/>
      <c r="F53" s="666"/>
    </row>
    <row r="54" spans="1:6" ht="18" customHeight="1" x14ac:dyDescent="0.25">
      <c r="A54" s="661"/>
      <c r="B54" s="663"/>
      <c r="C54" s="667"/>
      <c r="D54" s="668"/>
      <c r="E54" s="668"/>
      <c r="F54" s="669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85005535</v>
      </c>
      <c r="D57" s="97">
        <v>80708337</v>
      </c>
      <c r="E57" s="97">
        <f t="shared" ref="E57:E68" si="7">D57-C57</f>
        <v>-4297198</v>
      </c>
      <c r="F57" s="98">
        <f t="shared" ref="F57:F68" si="8">IF(C57=0,0,E57/C57)</f>
        <v>-5.0551978762324125E-2</v>
      </c>
    </row>
    <row r="58" spans="1:6" ht="18" customHeight="1" x14ac:dyDescent="0.25">
      <c r="A58" s="99">
        <v>2</v>
      </c>
      <c r="B58" s="100" t="s">
        <v>113</v>
      </c>
      <c r="C58" s="97">
        <v>19099024</v>
      </c>
      <c r="D58" s="97">
        <v>19901948</v>
      </c>
      <c r="E58" s="97">
        <f t="shared" si="7"/>
        <v>802924</v>
      </c>
      <c r="F58" s="98">
        <f t="shared" si="8"/>
        <v>4.2040053983910385E-2</v>
      </c>
    </row>
    <row r="59" spans="1:6" ht="18" customHeight="1" x14ac:dyDescent="0.25">
      <c r="A59" s="99">
        <v>3</v>
      </c>
      <c r="B59" s="100" t="s">
        <v>114</v>
      </c>
      <c r="C59" s="97">
        <v>16962576</v>
      </c>
      <c r="D59" s="97">
        <v>21381489</v>
      </c>
      <c r="E59" s="97">
        <f t="shared" si="7"/>
        <v>4418913</v>
      </c>
      <c r="F59" s="98">
        <f t="shared" si="8"/>
        <v>0.26050954760644845</v>
      </c>
    </row>
    <row r="60" spans="1:6" ht="18" customHeight="1" x14ac:dyDescent="0.25">
      <c r="A60" s="99">
        <v>4</v>
      </c>
      <c r="B60" s="100" t="s">
        <v>115</v>
      </c>
      <c r="C60" s="97">
        <v>9252670</v>
      </c>
      <c r="D60" s="97">
        <v>1169972</v>
      </c>
      <c r="E60" s="97">
        <f t="shared" si="7"/>
        <v>-8082698</v>
      </c>
      <c r="F60" s="98">
        <f t="shared" si="8"/>
        <v>-0.87355303928487671</v>
      </c>
    </row>
    <row r="61" spans="1:6" ht="18" customHeight="1" x14ac:dyDescent="0.25">
      <c r="A61" s="99">
        <v>5</v>
      </c>
      <c r="B61" s="100" t="s">
        <v>116</v>
      </c>
      <c r="C61" s="97">
        <v>267040</v>
      </c>
      <c r="D61" s="97">
        <v>246372</v>
      </c>
      <c r="E61" s="97">
        <f t="shared" si="7"/>
        <v>-20668</v>
      </c>
      <c r="F61" s="98">
        <f t="shared" si="8"/>
        <v>-7.7396644697423606E-2</v>
      </c>
    </row>
    <row r="62" spans="1:6" ht="18" customHeight="1" x14ac:dyDescent="0.25">
      <c r="A62" s="99">
        <v>6</v>
      </c>
      <c r="B62" s="100" t="s">
        <v>117</v>
      </c>
      <c r="C62" s="97">
        <v>964370</v>
      </c>
      <c r="D62" s="97">
        <v>575875</v>
      </c>
      <c r="E62" s="97">
        <f t="shared" si="7"/>
        <v>-388495</v>
      </c>
      <c r="F62" s="98">
        <f t="shared" si="8"/>
        <v>-0.40284849176146087</v>
      </c>
    </row>
    <row r="63" spans="1:6" ht="18" customHeight="1" x14ac:dyDescent="0.25">
      <c r="A63" s="99">
        <v>7</v>
      </c>
      <c r="B63" s="100" t="s">
        <v>118</v>
      </c>
      <c r="C63" s="97">
        <v>65467381</v>
      </c>
      <c r="D63" s="97">
        <v>60577615</v>
      </c>
      <c r="E63" s="97">
        <f t="shared" si="7"/>
        <v>-4889766</v>
      </c>
      <c r="F63" s="98">
        <f t="shared" si="8"/>
        <v>-7.469011170616402E-2</v>
      </c>
    </row>
    <row r="64" spans="1:6" ht="18" customHeight="1" x14ac:dyDescent="0.25">
      <c r="A64" s="99">
        <v>8</v>
      </c>
      <c r="B64" s="100" t="s">
        <v>119</v>
      </c>
      <c r="C64" s="97">
        <v>2151029</v>
      </c>
      <c r="D64" s="97">
        <v>1774133</v>
      </c>
      <c r="E64" s="97">
        <f t="shared" si="7"/>
        <v>-376896</v>
      </c>
      <c r="F64" s="98">
        <f t="shared" si="8"/>
        <v>-0.17521660563386174</v>
      </c>
    </row>
    <row r="65" spans="1:6" ht="18" customHeight="1" x14ac:dyDescent="0.25">
      <c r="A65" s="99">
        <v>9</v>
      </c>
      <c r="B65" s="100" t="s">
        <v>120</v>
      </c>
      <c r="C65" s="97">
        <v>516899</v>
      </c>
      <c r="D65" s="97">
        <v>2347104</v>
      </c>
      <c r="E65" s="97">
        <f t="shared" si="7"/>
        <v>1830205</v>
      </c>
      <c r="F65" s="98">
        <f t="shared" si="8"/>
        <v>3.5407400672084877</v>
      </c>
    </row>
    <row r="66" spans="1:6" ht="18" customHeight="1" x14ac:dyDescent="0.25">
      <c r="A66" s="99">
        <v>10</v>
      </c>
      <c r="B66" s="100" t="s">
        <v>121</v>
      </c>
      <c r="C66" s="97">
        <v>0</v>
      </c>
      <c r="D66" s="97">
        <v>0</v>
      </c>
      <c r="E66" s="97">
        <f t="shared" si="7"/>
        <v>0</v>
      </c>
      <c r="F66" s="98">
        <f t="shared" si="8"/>
        <v>0</v>
      </c>
    </row>
    <row r="67" spans="1:6" ht="18" customHeight="1" x14ac:dyDescent="0.25">
      <c r="A67" s="99">
        <v>11</v>
      </c>
      <c r="B67" s="100" t="s">
        <v>122</v>
      </c>
      <c r="C67" s="97">
        <v>0</v>
      </c>
      <c r="D67" s="97">
        <v>0</v>
      </c>
      <c r="E67" s="97">
        <f t="shared" si="7"/>
        <v>0</v>
      </c>
      <c r="F67" s="98">
        <f t="shared" si="8"/>
        <v>0</v>
      </c>
    </row>
    <row r="68" spans="1:6" ht="18" customHeight="1" x14ac:dyDescent="0.25">
      <c r="A68" s="101"/>
      <c r="B68" s="102" t="s">
        <v>131</v>
      </c>
      <c r="C68" s="103">
        <f>SUM(C57:C67)</f>
        <v>199686524</v>
      </c>
      <c r="D68" s="103">
        <f>SUM(D57:D67)</f>
        <v>188682845</v>
      </c>
      <c r="E68" s="103">
        <f t="shared" si="7"/>
        <v>-11003679</v>
      </c>
      <c r="F68" s="104">
        <f t="shared" si="8"/>
        <v>-5.510476510673299E-2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25924094</v>
      </c>
      <c r="D70" s="97">
        <v>30089761</v>
      </c>
      <c r="E70" s="97">
        <f t="shared" ref="E70:E81" si="9">D70-C70</f>
        <v>4165667</v>
      </c>
      <c r="F70" s="98">
        <f t="shared" ref="F70:F81" si="10">IF(C70=0,0,E70/C70)</f>
        <v>0.16068708129202125</v>
      </c>
    </row>
    <row r="71" spans="1:6" ht="18" customHeight="1" x14ac:dyDescent="0.25">
      <c r="A71" s="99">
        <v>2</v>
      </c>
      <c r="B71" s="100" t="s">
        <v>113</v>
      </c>
      <c r="C71" s="97">
        <v>7720876</v>
      </c>
      <c r="D71" s="97">
        <v>9974088</v>
      </c>
      <c r="E71" s="97">
        <f t="shared" si="9"/>
        <v>2253212</v>
      </c>
      <c r="F71" s="98">
        <f t="shared" si="10"/>
        <v>0.29183372456700507</v>
      </c>
    </row>
    <row r="72" spans="1:6" ht="18" customHeight="1" x14ac:dyDescent="0.25">
      <c r="A72" s="99">
        <v>3</v>
      </c>
      <c r="B72" s="100" t="s">
        <v>114</v>
      </c>
      <c r="C72" s="97">
        <v>13251449</v>
      </c>
      <c r="D72" s="97">
        <v>28604446</v>
      </c>
      <c r="E72" s="97">
        <f t="shared" si="9"/>
        <v>15352997</v>
      </c>
      <c r="F72" s="98">
        <f t="shared" si="10"/>
        <v>1.1585900530575939</v>
      </c>
    </row>
    <row r="73" spans="1:6" ht="18" customHeight="1" x14ac:dyDescent="0.25">
      <c r="A73" s="99">
        <v>4</v>
      </c>
      <c r="B73" s="100" t="s">
        <v>115</v>
      </c>
      <c r="C73" s="97">
        <v>19914148</v>
      </c>
      <c r="D73" s="97">
        <v>4798751</v>
      </c>
      <c r="E73" s="97">
        <f t="shared" si="9"/>
        <v>-15115397</v>
      </c>
      <c r="F73" s="98">
        <f t="shared" si="10"/>
        <v>-0.7590280538238442</v>
      </c>
    </row>
    <row r="74" spans="1:6" ht="18" customHeight="1" x14ac:dyDescent="0.25">
      <c r="A74" s="99">
        <v>5</v>
      </c>
      <c r="B74" s="100" t="s">
        <v>116</v>
      </c>
      <c r="C74" s="97">
        <v>196963</v>
      </c>
      <c r="D74" s="97">
        <v>268124</v>
      </c>
      <c r="E74" s="97">
        <f t="shared" si="9"/>
        <v>71161</v>
      </c>
      <c r="F74" s="98">
        <f t="shared" si="10"/>
        <v>0.36129120697796036</v>
      </c>
    </row>
    <row r="75" spans="1:6" ht="18" customHeight="1" x14ac:dyDescent="0.25">
      <c r="A75" s="99">
        <v>6</v>
      </c>
      <c r="B75" s="100" t="s">
        <v>117</v>
      </c>
      <c r="C75" s="97">
        <v>1559209</v>
      </c>
      <c r="D75" s="97">
        <v>1311534</v>
      </c>
      <c r="E75" s="97">
        <f t="shared" si="9"/>
        <v>-247675</v>
      </c>
      <c r="F75" s="98">
        <f t="shared" si="10"/>
        <v>-0.15884656899748525</v>
      </c>
    </row>
    <row r="76" spans="1:6" ht="18" customHeight="1" x14ac:dyDescent="0.25">
      <c r="A76" s="99">
        <v>7</v>
      </c>
      <c r="B76" s="100" t="s">
        <v>118</v>
      </c>
      <c r="C76" s="97">
        <v>96619352</v>
      </c>
      <c r="D76" s="97">
        <v>94095517</v>
      </c>
      <c r="E76" s="97">
        <f t="shared" si="9"/>
        <v>-2523835</v>
      </c>
      <c r="F76" s="98">
        <f t="shared" si="10"/>
        <v>-2.6121423376964895E-2</v>
      </c>
    </row>
    <row r="77" spans="1:6" ht="18" customHeight="1" x14ac:dyDescent="0.25">
      <c r="A77" s="99">
        <v>8</v>
      </c>
      <c r="B77" s="100" t="s">
        <v>119</v>
      </c>
      <c r="C77" s="97">
        <v>4513919</v>
      </c>
      <c r="D77" s="97">
        <v>5233007</v>
      </c>
      <c r="E77" s="97">
        <f t="shared" si="9"/>
        <v>719088</v>
      </c>
      <c r="F77" s="98">
        <f t="shared" si="10"/>
        <v>0.15930458654663499</v>
      </c>
    </row>
    <row r="78" spans="1:6" ht="18" customHeight="1" x14ac:dyDescent="0.25">
      <c r="A78" s="99">
        <v>9</v>
      </c>
      <c r="B78" s="100" t="s">
        <v>120</v>
      </c>
      <c r="C78" s="97">
        <v>3015191</v>
      </c>
      <c r="D78" s="97">
        <v>2199511</v>
      </c>
      <c r="E78" s="97">
        <f t="shared" si="9"/>
        <v>-815680</v>
      </c>
      <c r="F78" s="98">
        <f t="shared" si="10"/>
        <v>-0.27052349254160019</v>
      </c>
    </row>
    <row r="79" spans="1:6" ht="18" customHeight="1" x14ac:dyDescent="0.25">
      <c r="A79" s="99">
        <v>10</v>
      </c>
      <c r="B79" s="100" t="s">
        <v>121</v>
      </c>
      <c r="C79" s="97">
        <v>0</v>
      </c>
      <c r="D79" s="97">
        <v>0</v>
      </c>
      <c r="E79" s="97">
        <f t="shared" si="9"/>
        <v>0</v>
      </c>
      <c r="F79" s="98">
        <f t="shared" si="10"/>
        <v>0</v>
      </c>
    </row>
    <row r="80" spans="1:6" ht="18" customHeight="1" x14ac:dyDescent="0.25">
      <c r="A80" s="99">
        <v>11</v>
      </c>
      <c r="B80" s="100" t="s">
        <v>122</v>
      </c>
      <c r="C80" s="97">
        <v>0</v>
      </c>
      <c r="D80" s="97">
        <v>0</v>
      </c>
      <c r="E80" s="97">
        <f t="shared" si="9"/>
        <v>0</v>
      </c>
      <c r="F80" s="98">
        <f t="shared" si="10"/>
        <v>0</v>
      </c>
    </row>
    <row r="81" spans="1:6" ht="18" customHeight="1" x14ac:dyDescent="0.25">
      <c r="A81" s="101"/>
      <c r="B81" s="102" t="s">
        <v>133</v>
      </c>
      <c r="C81" s="103">
        <f>SUM(C70:C80)</f>
        <v>172715201</v>
      </c>
      <c r="D81" s="103">
        <f>SUM(D70:D80)</f>
        <v>176574739</v>
      </c>
      <c r="E81" s="103">
        <f t="shared" si="9"/>
        <v>3859538</v>
      </c>
      <c r="F81" s="104">
        <f t="shared" si="10"/>
        <v>2.2346255440480887E-2</v>
      </c>
    </row>
    <row r="82" spans="1:6" ht="18" customHeight="1" x14ac:dyDescent="0.25">
      <c r="A82" s="660" t="s">
        <v>127</v>
      </c>
      <c r="B82" s="662" t="s">
        <v>134</v>
      </c>
      <c r="C82" s="664"/>
      <c r="D82" s="665"/>
      <c r="E82" s="665"/>
      <c r="F82" s="666"/>
    </row>
    <row r="83" spans="1:6" ht="18" customHeight="1" x14ac:dyDescent="0.25">
      <c r="A83" s="661"/>
      <c r="B83" s="663"/>
      <c r="C83" s="667"/>
      <c r="D83" s="668"/>
      <c r="E83" s="668"/>
      <c r="F83" s="669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110929629</v>
      </c>
      <c r="D84" s="103">
        <f t="shared" si="11"/>
        <v>110798098</v>
      </c>
      <c r="E84" s="103">
        <f t="shared" ref="E84:E95" si="12">D84-C84</f>
        <v>-131531</v>
      </c>
      <c r="F84" s="104">
        <f t="shared" ref="F84:F95" si="13">IF(C84=0,0,E84/C84)</f>
        <v>-1.1857156756559602E-3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26819900</v>
      </c>
      <c r="D85" s="103">
        <f t="shared" si="11"/>
        <v>29876036</v>
      </c>
      <c r="E85" s="103">
        <f t="shared" si="12"/>
        <v>3056136</v>
      </c>
      <c r="F85" s="104">
        <f t="shared" si="13"/>
        <v>0.1139503130138442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30214025</v>
      </c>
      <c r="D86" s="103">
        <f t="shared" si="11"/>
        <v>49985935</v>
      </c>
      <c r="E86" s="103">
        <f t="shared" si="12"/>
        <v>19771910</v>
      </c>
      <c r="F86" s="104">
        <f t="shared" si="13"/>
        <v>0.65439510293646741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29166818</v>
      </c>
      <c r="D87" s="103">
        <f t="shared" si="11"/>
        <v>5968723</v>
      </c>
      <c r="E87" s="103">
        <f t="shared" si="12"/>
        <v>-23198095</v>
      </c>
      <c r="F87" s="104">
        <f t="shared" si="13"/>
        <v>-0.7953591303651979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464003</v>
      </c>
      <c r="D88" s="103">
        <f t="shared" si="11"/>
        <v>514496</v>
      </c>
      <c r="E88" s="103">
        <f t="shared" si="12"/>
        <v>50493</v>
      </c>
      <c r="F88" s="104">
        <f t="shared" si="13"/>
        <v>0.10882041710937214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2523579</v>
      </c>
      <c r="D89" s="103">
        <f t="shared" si="11"/>
        <v>1887409</v>
      </c>
      <c r="E89" s="103">
        <f t="shared" si="12"/>
        <v>-636170</v>
      </c>
      <c r="F89" s="104">
        <f t="shared" si="13"/>
        <v>-0.25209038433114239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162086733</v>
      </c>
      <c r="D90" s="103">
        <f t="shared" si="11"/>
        <v>154673132</v>
      </c>
      <c r="E90" s="103">
        <f t="shared" si="12"/>
        <v>-7413601</v>
      </c>
      <c r="F90" s="104">
        <f t="shared" si="13"/>
        <v>-4.57384812611406E-2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6664948</v>
      </c>
      <c r="D91" s="103">
        <f t="shared" si="11"/>
        <v>7007140</v>
      </c>
      <c r="E91" s="103">
        <f t="shared" si="12"/>
        <v>342192</v>
      </c>
      <c r="F91" s="104">
        <f t="shared" si="13"/>
        <v>5.1342035976874839E-2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3532090</v>
      </c>
      <c r="D92" s="103">
        <f t="shared" si="11"/>
        <v>4546615</v>
      </c>
      <c r="E92" s="103">
        <f t="shared" si="12"/>
        <v>1014525</v>
      </c>
      <c r="F92" s="104">
        <f t="shared" si="13"/>
        <v>0.28723078970241417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0</v>
      </c>
      <c r="D93" s="103">
        <f t="shared" si="11"/>
        <v>0</v>
      </c>
      <c r="E93" s="103">
        <f t="shared" si="12"/>
        <v>0</v>
      </c>
      <c r="F93" s="104">
        <f t="shared" si="13"/>
        <v>0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0</v>
      </c>
      <c r="D94" s="103">
        <f t="shared" si="11"/>
        <v>0</v>
      </c>
      <c r="E94" s="103">
        <f t="shared" si="12"/>
        <v>0</v>
      </c>
      <c r="F94" s="104">
        <f t="shared" si="13"/>
        <v>0</v>
      </c>
    </row>
    <row r="95" spans="1:6" ht="18.75" customHeight="1" thickBot="1" x14ac:dyDescent="0.3">
      <c r="A95" s="115"/>
      <c r="B95" s="116" t="s">
        <v>134</v>
      </c>
      <c r="C95" s="112">
        <f>SUM(C84:C94)</f>
        <v>372401725</v>
      </c>
      <c r="D95" s="112">
        <f>SUM(D84:D94)</f>
        <v>365257584</v>
      </c>
      <c r="E95" s="112">
        <f t="shared" si="12"/>
        <v>-7144141</v>
      </c>
      <c r="F95" s="113">
        <f t="shared" si="13"/>
        <v>-1.9183963232178906E-2</v>
      </c>
    </row>
    <row r="96" spans="1:6" ht="18" customHeight="1" x14ac:dyDescent="0.25">
      <c r="A96" s="660" t="s">
        <v>135</v>
      </c>
      <c r="B96" s="662" t="s">
        <v>136</v>
      </c>
      <c r="C96" s="664"/>
      <c r="D96" s="665"/>
      <c r="E96" s="665"/>
      <c r="F96" s="666"/>
    </row>
    <row r="97" spans="1:6" ht="18" customHeight="1" x14ac:dyDescent="0.25">
      <c r="A97" s="661"/>
      <c r="B97" s="663"/>
      <c r="C97" s="667"/>
      <c r="D97" s="668"/>
      <c r="E97" s="668"/>
      <c r="F97" s="669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7745</v>
      </c>
      <c r="D100" s="117">
        <v>6565</v>
      </c>
      <c r="E100" s="117">
        <f t="shared" ref="E100:E111" si="14">D100-C100</f>
        <v>-1180</v>
      </c>
      <c r="F100" s="98">
        <f t="shared" ref="F100:F111" si="15">IF(C100=0,0,E100/C100)</f>
        <v>-0.15235635894125243</v>
      </c>
    </row>
    <row r="101" spans="1:6" ht="18" customHeight="1" x14ac:dyDescent="0.25">
      <c r="A101" s="99">
        <v>2</v>
      </c>
      <c r="B101" s="100" t="s">
        <v>113</v>
      </c>
      <c r="C101" s="117">
        <v>1906</v>
      </c>
      <c r="D101" s="117">
        <v>1959</v>
      </c>
      <c r="E101" s="117">
        <f t="shared" si="14"/>
        <v>53</v>
      </c>
      <c r="F101" s="98">
        <f t="shared" si="15"/>
        <v>2.7806925498426022E-2</v>
      </c>
    </row>
    <row r="102" spans="1:6" ht="18" customHeight="1" x14ac:dyDescent="0.25">
      <c r="A102" s="99">
        <v>3</v>
      </c>
      <c r="B102" s="100" t="s">
        <v>114</v>
      </c>
      <c r="C102" s="117">
        <v>2430</v>
      </c>
      <c r="D102" s="117">
        <v>3947</v>
      </c>
      <c r="E102" s="117">
        <f t="shared" si="14"/>
        <v>1517</v>
      </c>
      <c r="F102" s="98">
        <f t="shared" si="15"/>
        <v>0.62427983539094645</v>
      </c>
    </row>
    <row r="103" spans="1:6" ht="18" customHeight="1" x14ac:dyDescent="0.25">
      <c r="A103" s="99">
        <v>4</v>
      </c>
      <c r="B103" s="100" t="s">
        <v>115</v>
      </c>
      <c r="C103" s="117">
        <v>2386</v>
      </c>
      <c r="D103" s="117">
        <v>405</v>
      </c>
      <c r="E103" s="117">
        <f t="shared" si="14"/>
        <v>-1981</v>
      </c>
      <c r="F103" s="98">
        <f t="shared" si="15"/>
        <v>-0.83025984911986583</v>
      </c>
    </row>
    <row r="104" spans="1:6" ht="18" customHeight="1" x14ac:dyDescent="0.25">
      <c r="A104" s="99">
        <v>5</v>
      </c>
      <c r="B104" s="100" t="s">
        <v>116</v>
      </c>
      <c r="C104" s="117">
        <v>46</v>
      </c>
      <c r="D104" s="117">
        <v>31</v>
      </c>
      <c r="E104" s="117">
        <f t="shared" si="14"/>
        <v>-15</v>
      </c>
      <c r="F104" s="98">
        <f t="shared" si="15"/>
        <v>-0.32608695652173914</v>
      </c>
    </row>
    <row r="105" spans="1:6" ht="18" customHeight="1" x14ac:dyDescent="0.25">
      <c r="A105" s="99">
        <v>6</v>
      </c>
      <c r="B105" s="100" t="s">
        <v>117</v>
      </c>
      <c r="C105" s="117">
        <v>141</v>
      </c>
      <c r="D105" s="117">
        <v>73</v>
      </c>
      <c r="E105" s="117">
        <f t="shared" si="14"/>
        <v>-68</v>
      </c>
      <c r="F105" s="98">
        <f t="shared" si="15"/>
        <v>-0.48226950354609927</v>
      </c>
    </row>
    <row r="106" spans="1:6" ht="18" customHeight="1" x14ac:dyDescent="0.25">
      <c r="A106" s="99">
        <v>7</v>
      </c>
      <c r="B106" s="100" t="s">
        <v>118</v>
      </c>
      <c r="C106" s="117">
        <v>5633</v>
      </c>
      <c r="D106" s="117">
        <v>5006</v>
      </c>
      <c r="E106" s="117">
        <f t="shared" si="14"/>
        <v>-627</v>
      </c>
      <c r="F106" s="98">
        <f t="shared" si="15"/>
        <v>-0.11130836144150541</v>
      </c>
    </row>
    <row r="107" spans="1:6" ht="18" customHeight="1" x14ac:dyDescent="0.25">
      <c r="A107" s="99">
        <v>8</v>
      </c>
      <c r="B107" s="100" t="s">
        <v>119</v>
      </c>
      <c r="C107" s="117">
        <v>72</v>
      </c>
      <c r="D107" s="117">
        <v>66</v>
      </c>
      <c r="E107" s="117">
        <f t="shared" si="14"/>
        <v>-6</v>
      </c>
      <c r="F107" s="98">
        <f t="shared" si="15"/>
        <v>-8.3333333333333329E-2</v>
      </c>
    </row>
    <row r="108" spans="1:6" ht="18" customHeight="1" x14ac:dyDescent="0.25">
      <c r="A108" s="99">
        <v>9</v>
      </c>
      <c r="B108" s="100" t="s">
        <v>120</v>
      </c>
      <c r="C108" s="117">
        <v>187</v>
      </c>
      <c r="D108" s="117">
        <v>200</v>
      </c>
      <c r="E108" s="117">
        <f t="shared" si="14"/>
        <v>13</v>
      </c>
      <c r="F108" s="98">
        <f t="shared" si="15"/>
        <v>6.9518716577540107E-2</v>
      </c>
    </row>
    <row r="109" spans="1:6" ht="18" customHeight="1" x14ac:dyDescent="0.25">
      <c r="A109" s="99">
        <v>10</v>
      </c>
      <c r="B109" s="100" t="s">
        <v>121</v>
      </c>
      <c r="C109" s="117">
        <v>0</v>
      </c>
      <c r="D109" s="117">
        <v>0</v>
      </c>
      <c r="E109" s="117">
        <f t="shared" si="14"/>
        <v>0</v>
      </c>
      <c r="F109" s="98">
        <f t="shared" si="15"/>
        <v>0</v>
      </c>
    </row>
    <row r="110" spans="1:6" ht="18" customHeight="1" x14ac:dyDescent="0.25">
      <c r="A110" s="99">
        <v>11</v>
      </c>
      <c r="B110" s="100" t="s">
        <v>122</v>
      </c>
      <c r="C110" s="117">
        <v>0</v>
      </c>
      <c r="D110" s="117">
        <v>0</v>
      </c>
      <c r="E110" s="117">
        <f t="shared" si="14"/>
        <v>0</v>
      </c>
      <c r="F110" s="98">
        <f t="shared" si="15"/>
        <v>0</v>
      </c>
    </row>
    <row r="111" spans="1:6" ht="18" customHeight="1" x14ac:dyDescent="0.25">
      <c r="A111" s="101"/>
      <c r="B111" s="102" t="s">
        <v>138</v>
      </c>
      <c r="C111" s="118">
        <f>SUM(C100:C110)</f>
        <v>20546</v>
      </c>
      <c r="D111" s="118">
        <f>SUM(D100:D110)</f>
        <v>18252</v>
      </c>
      <c r="E111" s="118">
        <f t="shared" si="14"/>
        <v>-2294</v>
      </c>
      <c r="F111" s="104">
        <f t="shared" si="15"/>
        <v>-0.11165190304682177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36724</v>
      </c>
      <c r="D113" s="117">
        <v>32445</v>
      </c>
      <c r="E113" s="117">
        <f t="shared" ref="E113:E124" si="16">D113-C113</f>
        <v>-4279</v>
      </c>
      <c r="F113" s="98">
        <f t="shared" ref="F113:F124" si="17">IF(C113=0,0,E113/C113)</f>
        <v>-0.11651780851759068</v>
      </c>
    </row>
    <row r="114" spans="1:6" ht="18" customHeight="1" x14ac:dyDescent="0.25">
      <c r="A114" s="99">
        <v>2</v>
      </c>
      <c r="B114" s="100" t="s">
        <v>113</v>
      </c>
      <c r="C114" s="117">
        <v>8654</v>
      </c>
      <c r="D114" s="117">
        <v>8575</v>
      </c>
      <c r="E114" s="117">
        <f t="shared" si="16"/>
        <v>-79</v>
      </c>
      <c r="F114" s="98">
        <f t="shared" si="17"/>
        <v>-9.1287266004159932E-3</v>
      </c>
    </row>
    <row r="115" spans="1:6" ht="18" customHeight="1" x14ac:dyDescent="0.25">
      <c r="A115" s="99">
        <v>3</v>
      </c>
      <c r="B115" s="100" t="s">
        <v>114</v>
      </c>
      <c r="C115" s="117">
        <v>10822</v>
      </c>
      <c r="D115" s="117">
        <v>17138</v>
      </c>
      <c r="E115" s="117">
        <f t="shared" si="16"/>
        <v>6316</v>
      </c>
      <c r="F115" s="98">
        <f t="shared" si="17"/>
        <v>0.58362594714470528</v>
      </c>
    </row>
    <row r="116" spans="1:6" ht="18" customHeight="1" x14ac:dyDescent="0.25">
      <c r="A116" s="99">
        <v>4</v>
      </c>
      <c r="B116" s="100" t="s">
        <v>115</v>
      </c>
      <c r="C116" s="117">
        <v>7169</v>
      </c>
      <c r="D116" s="117">
        <v>1217</v>
      </c>
      <c r="E116" s="117">
        <f t="shared" si="16"/>
        <v>-5952</v>
      </c>
      <c r="F116" s="98">
        <f t="shared" si="17"/>
        <v>-0.83024131678058311</v>
      </c>
    </row>
    <row r="117" spans="1:6" ht="18" customHeight="1" x14ac:dyDescent="0.25">
      <c r="A117" s="99">
        <v>5</v>
      </c>
      <c r="B117" s="100" t="s">
        <v>116</v>
      </c>
      <c r="C117" s="117">
        <v>129</v>
      </c>
      <c r="D117" s="117">
        <v>86</v>
      </c>
      <c r="E117" s="117">
        <f t="shared" si="16"/>
        <v>-43</v>
      </c>
      <c r="F117" s="98">
        <f t="shared" si="17"/>
        <v>-0.33333333333333331</v>
      </c>
    </row>
    <row r="118" spans="1:6" ht="18" customHeight="1" x14ac:dyDescent="0.25">
      <c r="A118" s="99">
        <v>6</v>
      </c>
      <c r="B118" s="100" t="s">
        <v>117</v>
      </c>
      <c r="C118" s="117">
        <v>582</v>
      </c>
      <c r="D118" s="117">
        <v>263</v>
      </c>
      <c r="E118" s="117">
        <f t="shared" si="16"/>
        <v>-319</v>
      </c>
      <c r="F118" s="98">
        <f t="shared" si="17"/>
        <v>-0.54810996563573888</v>
      </c>
    </row>
    <row r="119" spans="1:6" ht="18" customHeight="1" x14ac:dyDescent="0.25">
      <c r="A119" s="99">
        <v>7</v>
      </c>
      <c r="B119" s="100" t="s">
        <v>118</v>
      </c>
      <c r="C119" s="117">
        <v>18280</v>
      </c>
      <c r="D119" s="117">
        <v>16088</v>
      </c>
      <c r="E119" s="117">
        <f t="shared" si="16"/>
        <v>-2192</v>
      </c>
      <c r="F119" s="98">
        <f t="shared" si="17"/>
        <v>-0.11991247264770241</v>
      </c>
    </row>
    <row r="120" spans="1:6" ht="18" customHeight="1" x14ac:dyDescent="0.25">
      <c r="A120" s="99">
        <v>8</v>
      </c>
      <c r="B120" s="100" t="s">
        <v>119</v>
      </c>
      <c r="C120" s="117">
        <v>229</v>
      </c>
      <c r="D120" s="117">
        <v>212</v>
      </c>
      <c r="E120" s="117">
        <f t="shared" si="16"/>
        <v>-17</v>
      </c>
      <c r="F120" s="98">
        <f t="shared" si="17"/>
        <v>-7.4235807860262015E-2</v>
      </c>
    </row>
    <row r="121" spans="1:6" ht="18" customHeight="1" x14ac:dyDescent="0.25">
      <c r="A121" s="99">
        <v>9</v>
      </c>
      <c r="B121" s="100" t="s">
        <v>120</v>
      </c>
      <c r="C121" s="117">
        <v>548</v>
      </c>
      <c r="D121" s="117">
        <v>747</v>
      </c>
      <c r="E121" s="117">
        <f t="shared" si="16"/>
        <v>199</v>
      </c>
      <c r="F121" s="98">
        <f t="shared" si="17"/>
        <v>0.36313868613138683</v>
      </c>
    </row>
    <row r="122" spans="1:6" ht="18" customHeight="1" x14ac:dyDescent="0.25">
      <c r="A122" s="99">
        <v>10</v>
      </c>
      <c r="B122" s="100" t="s">
        <v>121</v>
      </c>
      <c r="C122" s="117">
        <v>0</v>
      </c>
      <c r="D122" s="117">
        <v>0</v>
      </c>
      <c r="E122" s="117">
        <f t="shared" si="16"/>
        <v>0</v>
      </c>
      <c r="F122" s="98">
        <f t="shared" si="17"/>
        <v>0</v>
      </c>
    </row>
    <row r="123" spans="1:6" ht="18" customHeight="1" x14ac:dyDescent="0.25">
      <c r="A123" s="99">
        <v>11</v>
      </c>
      <c r="B123" s="100" t="s">
        <v>122</v>
      </c>
      <c r="C123" s="117">
        <v>0</v>
      </c>
      <c r="D123" s="117">
        <v>0</v>
      </c>
      <c r="E123" s="117">
        <f t="shared" si="16"/>
        <v>0</v>
      </c>
      <c r="F123" s="98">
        <f t="shared" si="17"/>
        <v>0</v>
      </c>
    </row>
    <row r="124" spans="1:6" ht="18" customHeight="1" x14ac:dyDescent="0.25">
      <c r="A124" s="101"/>
      <c r="B124" s="102" t="s">
        <v>140</v>
      </c>
      <c r="C124" s="118">
        <f>SUM(C113:C123)</f>
        <v>83137</v>
      </c>
      <c r="D124" s="118">
        <f>SUM(D113:D123)</f>
        <v>76771</v>
      </c>
      <c r="E124" s="118">
        <f t="shared" si="16"/>
        <v>-6366</v>
      </c>
      <c r="F124" s="104">
        <f t="shared" si="17"/>
        <v>-7.6572404585202744E-2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65822</v>
      </c>
      <c r="D126" s="117">
        <v>66607</v>
      </c>
      <c r="E126" s="117">
        <f t="shared" ref="E126:E137" si="18">D126-C126</f>
        <v>785</v>
      </c>
      <c r="F126" s="98">
        <f t="shared" ref="F126:F137" si="19">IF(C126=0,0,E126/C126)</f>
        <v>1.1926103734313756E-2</v>
      </c>
    </row>
    <row r="127" spans="1:6" ht="18" customHeight="1" x14ac:dyDescent="0.25">
      <c r="A127" s="99">
        <v>2</v>
      </c>
      <c r="B127" s="100" t="s">
        <v>113</v>
      </c>
      <c r="C127" s="117">
        <v>19304</v>
      </c>
      <c r="D127" s="117">
        <v>23911</v>
      </c>
      <c r="E127" s="117">
        <f t="shared" si="18"/>
        <v>4607</v>
      </c>
      <c r="F127" s="98">
        <f t="shared" si="19"/>
        <v>0.23865520099461252</v>
      </c>
    </row>
    <row r="128" spans="1:6" ht="18" customHeight="1" x14ac:dyDescent="0.25">
      <c r="A128" s="99">
        <v>3</v>
      </c>
      <c r="B128" s="100" t="s">
        <v>114</v>
      </c>
      <c r="C128" s="117">
        <v>32194</v>
      </c>
      <c r="D128" s="117">
        <v>67231</v>
      </c>
      <c r="E128" s="117">
        <f t="shared" si="18"/>
        <v>35037</v>
      </c>
      <c r="F128" s="98">
        <f t="shared" si="19"/>
        <v>1.0883083804435609</v>
      </c>
    </row>
    <row r="129" spans="1:6" ht="18" customHeight="1" x14ac:dyDescent="0.25">
      <c r="A129" s="99">
        <v>4</v>
      </c>
      <c r="B129" s="100" t="s">
        <v>115</v>
      </c>
      <c r="C129" s="117">
        <v>38064</v>
      </c>
      <c r="D129" s="117">
        <v>9788</v>
      </c>
      <c r="E129" s="117">
        <f t="shared" si="18"/>
        <v>-28276</v>
      </c>
      <c r="F129" s="98">
        <f t="shared" si="19"/>
        <v>-0.74285414039512399</v>
      </c>
    </row>
    <row r="130" spans="1:6" ht="18" customHeight="1" x14ac:dyDescent="0.25">
      <c r="A130" s="99">
        <v>5</v>
      </c>
      <c r="B130" s="100" t="s">
        <v>116</v>
      </c>
      <c r="C130" s="117">
        <v>512</v>
      </c>
      <c r="D130" s="117">
        <v>494</v>
      </c>
      <c r="E130" s="117">
        <f t="shared" si="18"/>
        <v>-18</v>
      </c>
      <c r="F130" s="98">
        <f t="shared" si="19"/>
        <v>-3.515625E-2</v>
      </c>
    </row>
    <row r="131" spans="1:6" ht="18" customHeight="1" x14ac:dyDescent="0.25">
      <c r="A131" s="99">
        <v>6</v>
      </c>
      <c r="B131" s="100" t="s">
        <v>117</v>
      </c>
      <c r="C131" s="117">
        <v>2754</v>
      </c>
      <c r="D131" s="117">
        <v>1949</v>
      </c>
      <c r="E131" s="117">
        <f t="shared" si="18"/>
        <v>-805</v>
      </c>
      <c r="F131" s="98">
        <f t="shared" si="19"/>
        <v>-0.29230210602759621</v>
      </c>
    </row>
    <row r="132" spans="1:6" ht="18" customHeight="1" x14ac:dyDescent="0.25">
      <c r="A132" s="99">
        <v>7</v>
      </c>
      <c r="B132" s="100" t="s">
        <v>118</v>
      </c>
      <c r="C132" s="117">
        <v>101155</v>
      </c>
      <c r="D132" s="117">
        <v>101903</v>
      </c>
      <c r="E132" s="117">
        <f t="shared" si="18"/>
        <v>748</v>
      </c>
      <c r="F132" s="98">
        <f t="shared" si="19"/>
        <v>7.3945924571202611E-3</v>
      </c>
    </row>
    <row r="133" spans="1:6" ht="18" customHeight="1" x14ac:dyDescent="0.25">
      <c r="A133" s="99">
        <v>8</v>
      </c>
      <c r="B133" s="100" t="s">
        <v>119</v>
      </c>
      <c r="C133" s="117">
        <v>1850</v>
      </c>
      <c r="D133" s="117">
        <v>1987</v>
      </c>
      <c r="E133" s="117">
        <f t="shared" si="18"/>
        <v>137</v>
      </c>
      <c r="F133" s="98">
        <f t="shared" si="19"/>
        <v>7.4054054054054061E-2</v>
      </c>
    </row>
    <row r="134" spans="1:6" ht="18" customHeight="1" x14ac:dyDescent="0.25">
      <c r="A134" s="99">
        <v>9</v>
      </c>
      <c r="B134" s="100" t="s">
        <v>120</v>
      </c>
      <c r="C134" s="117">
        <v>8891</v>
      </c>
      <c r="D134" s="117">
        <v>10009</v>
      </c>
      <c r="E134" s="117">
        <f t="shared" si="18"/>
        <v>1118</v>
      </c>
      <c r="F134" s="98">
        <f t="shared" si="19"/>
        <v>0.12574513553031155</v>
      </c>
    </row>
    <row r="135" spans="1:6" ht="18" customHeight="1" x14ac:dyDescent="0.25">
      <c r="A135" s="99">
        <v>10</v>
      </c>
      <c r="B135" s="100" t="s">
        <v>121</v>
      </c>
      <c r="C135" s="117">
        <v>0</v>
      </c>
      <c r="D135" s="117">
        <v>0</v>
      </c>
      <c r="E135" s="117">
        <f t="shared" si="18"/>
        <v>0</v>
      </c>
      <c r="F135" s="98">
        <f t="shared" si="19"/>
        <v>0</v>
      </c>
    </row>
    <row r="136" spans="1:6" ht="18" customHeight="1" x14ac:dyDescent="0.25">
      <c r="A136" s="99">
        <v>11</v>
      </c>
      <c r="B136" s="100" t="s">
        <v>122</v>
      </c>
      <c r="C136" s="117">
        <v>0</v>
      </c>
      <c r="D136" s="117">
        <v>0</v>
      </c>
      <c r="E136" s="117">
        <f t="shared" si="18"/>
        <v>0</v>
      </c>
      <c r="F136" s="98">
        <f t="shared" si="19"/>
        <v>0</v>
      </c>
    </row>
    <row r="137" spans="1:6" ht="18" customHeight="1" x14ac:dyDescent="0.25">
      <c r="A137" s="101"/>
      <c r="B137" s="102" t="s">
        <v>143</v>
      </c>
      <c r="C137" s="118">
        <f>SUM(C126:C136)</f>
        <v>270546</v>
      </c>
      <c r="D137" s="118">
        <f>SUM(D126:D136)</f>
        <v>283879</v>
      </c>
      <c r="E137" s="118">
        <f t="shared" si="18"/>
        <v>13333</v>
      </c>
      <c r="F137" s="104">
        <f t="shared" si="19"/>
        <v>4.9281822684497274E-2</v>
      </c>
    </row>
    <row r="138" spans="1:6" ht="18" customHeight="1" x14ac:dyDescent="0.25">
      <c r="A138" s="660" t="s">
        <v>144</v>
      </c>
      <c r="B138" s="662" t="s">
        <v>145</v>
      </c>
      <c r="C138" s="664"/>
      <c r="D138" s="665"/>
      <c r="E138" s="665"/>
      <c r="F138" s="666"/>
    </row>
    <row r="139" spans="1:6" ht="18" customHeight="1" x14ac:dyDescent="0.25">
      <c r="A139" s="661"/>
      <c r="B139" s="663"/>
      <c r="C139" s="667"/>
      <c r="D139" s="668"/>
      <c r="E139" s="668"/>
      <c r="F139" s="669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21717090</v>
      </c>
      <c r="D142" s="97">
        <v>24723953</v>
      </c>
      <c r="E142" s="97">
        <f t="shared" ref="E142:E153" si="20">D142-C142</f>
        <v>3006863</v>
      </c>
      <c r="F142" s="98">
        <f t="shared" ref="F142:F153" si="21">IF(C142=0,0,E142/C142)</f>
        <v>0.13845607307424707</v>
      </c>
    </row>
    <row r="143" spans="1:6" ht="18" customHeight="1" x14ac:dyDescent="0.25">
      <c r="A143" s="99">
        <v>2</v>
      </c>
      <c r="B143" s="100" t="s">
        <v>113</v>
      </c>
      <c r="C143" s="97">
        <v>5729721</v>
      </c>
      <c r="D143" s="97">
        <v>6827248</v>
      </c>
      <c r="E143" s="97">
        <f t="shared" si="20"/>
        <v>1097527</v>
      </c>
      <c r="F143" s="98">
        <f t="shared" si="21"/>
        <v>0.19154981542731311</v>
      </c>
    </row>
    <row r="144" spans="1:6" ht="18" customHeight="1" x14ac:dyDescent="0.25">
      <c r="A144" s="99">
        <v>3</v>
      </c>
      <c r="B144" s="100" t="s">
        <v>114</v>
      </c>
      <c r="C144" s="97">
        <v>23819381</v>
      </c>
      <c r="D144" s="97">
        <v>53853509</v>
      </c>
      <c r="E144" s="97">
        <f t="shared" si="20"/>
        <v>30034128</v>
      </c>
      <c r="F144" s="98">
        <f t="shared" si="21"/>
        <v>1.2609113561767202</v>
      </c>
    </row>
    <row r="145" spans="1:6" ht="18" customHeight="1" x14ac:dyDescent="0.25">
      <c r="A145" s="99">
        <v>4</v>
      </c>
      <c r="B145" s="100" t="s">
        <v>115</v>
      </c>
      <c r="C145" s="97">
        <v>30126717</v>
      </c>
      <c r="D145" s="97">
        <v>8138476</v>
      </c>
      <c r="E145" s="97">
        <f t="shared" si="20"/>
        <v>-21988241</v>
      </c>
      <c r="F145" s="98">
        <f t="shared" si="21"/>
        <v>-0.72985851727554651</v>
      </c>
    </row>
    <row r="146" spans="1:6" ht="18" customHeight="1" x14ac:dyDescent="0.25">
      <c r="A146" s="99">
        <v>5</v>
      </c>
      <c r="B146" s="100" t="s">
        <v>116</v>
      </c>
      <c r="C146" s="97">
        <v>368099</v>
      </c>
      <c r="D146" s="97">
        <v>328249</v>
      </c>
      <c r="E146" s="97">
        <f t="shared" si="20"/>
        <v>-39850</v>
      </c>
      <c r="F146" s="98">
        <f t="shared" si="21"/>
        <v>-0.1082589194754672</v>
      </c>
    </row>
    <row r="147" spans="1:6" ht="18" customHeight="1" x14ac:dyDescent="0.25">
      <c r="A147" s="99">
        <v>6</v>
      </c>
      <c r="B147" s="100" t="s">
        <v>117</v>
      </c>
      <c r="C147" s="97">
        <v>1564978</v>
      </c>
      <c r="D147" s="97">
        <v>1640567</v>
      </c>
      <c r="E147" s="97">
        <f t="shared" si="20"/>
        <v>75589</v>
      </c>
      <c r="F147" s="98">
        <f t="shared" si="21"/>
        <v>4.8300359493871479E-2</v>
      </c>
    </row>
    <row r="148" spans="1:6" ht="18" customHeight="1" x14ac:dyDescent="0.25">
      <c r="A148" s="99">
        <v>7</v>
      </c>
      <c r="B148" s="100" t="s">
        <v>118</v>
      </c>
      <c r="C148" s="97">
        <v>35726501</v>
      </c>
      <c r="D148" s="97">
        <v>37083415</v>
      </c>
      <c r="E148" s="97">
        <f t="shared" si="20"/>
        <v>1356914</v>
      </c>
      <c r="F148" s="98">
        <f t="shared" si="21"/>
        <v>3.798060157080594E-2</v>
      </c>
    </row>
    <row r="149" spans="1:6" ht="18" customHeight="1" x14ac:dyDescent="0.25">
      <c r="A149" s="99">
        <v>8</v>
      </c>
      <c r="B149" s="100" t="s">
        <v>119</v>
      </c>
      <c r="C149" s="97">
        <v>1803707</v>
      </c>
      <c r="D149" s="97">
        <v>1815293</v>
      </c>
      <c r="E149" s="97">
        <f t="shared" si="20"/>
        <v>11586</v>
      </c>
      <c r="F149" s="98">
        <f t="shared" si="21"/>
        <v>6.4234379530600039E-3</v>
      </c>
    </row>
    <row r="150" spans="1:6" ht="18" customHeight="1" x14ac:dyDescent="0.25">
      <c r="A150" s="99">
        <v>9</v>
      </c>
      <c r="B150" s="100" t="s">
        <v>120</v>
      </c>
      <c r="C150" s="97">
        <v>9487407</v>
      </c>
      <c r="D150" s="97">
        <v>11555026</v>
      </c>
      <c r="E150" s="97">
        <f t="shared" si="20"/>
        <v>2067619</v>
      </c>
      <c r="F150" s="98">
        <f t="shared" si="21"/>
        <v>0.21793299265015192</v>
      </c>
    </row>
    <row r="151" spans="1:6" ht="18" customHeight="1" x14ac:dyDescent="0.25">
      <c r="A151" s="99">
        <v>10</v>
      </c>
      <c r="B151" s="100" t="s">
        <v>121</v>
      </c>
      <c r="C151" s="97">
        <v>0</v>
      </c>
      <c r="D151" s="97">
        <v>0</v>
      </c>
      <c r="E151" s="97">
        <f t="shared" si="20"/>
        <v>0</v>
      </c>
      <c r="F151" s="98">
        <f t="shared" si="21"/>
        <v>0</v>
      </c>
    </row>
    <row r="152" spans="1:6" ht="18" customHeight="1" x14ac:dyDescent="0.25">
      <c r="A152" s="99">
        <v>11</v>
      </c>
      <c r="B152" s="100" t="s">
        <v>122</v>
      </c>
      <c r="C152" s="97">
        <v>0</v>
      </c>
      <c r="D152" s="97">
        <v>0</v>
      </c>
      <c r="E152" s="97">
        <f t="shared" si="20"/>
        <v>0</v>
      </c>
      <c r="F152" s="98">
        <f t="shared" si="21"/>
        <v>0</v>
      </c>
    </row>
    <row r="153" spans="1:6" ht="33.75" customHeight="1" x14ac:dyDescent="0.25">
      <c r="A153" s="101"/>
      <c r="B153" s="102" t="s">
        <v>147</v>
      </c>
      <c r="C153" s="103">
        <f>SUM(C142:C152)</f>
        <v>130343601</v>
      </c>
      <c r="D153" s="103">
        <f>SUM(D142:D152)</f>
        <v>145965736</v>
      </c>
      <c r="E153" s="103">
        <f t="shared" si="20"/>
        <v>15622135</v>
      </c>
      <c r="F153" s="104">
        <f t="shared" si="21"/>
        <v>0.11985348632496351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5282010</v>
      </c>
      <c r="D155" s="97">
        <v>5215394</v>
      </c>
      <c r="E155" s="97">
        <f t="shared" ref="E155:E166" si="22">D155-C155</f>
        <v>-66616</v>
      </c>
      <c r="F155" s="98">
        <f t="shared" ref="F155:F166" si="23">IF(C155=0,0,E155/C155)</f>
        <v>-1.2611865558755096E-2</v>
      </c>
    </row>
    <row r="156" spans="1:6" ht="18" customHeight="1" x14ac:dyDescent="0.25">
      <c r="A156" s="99">
        <v>2</v>
      </c>
      <c r="B156" s="100" t="s">
        <v>113</v>
      </c>
      <c r="C156" s="97">
        <v>1397784</v>
      </c>
      <c r="D156" s="97">
        <v>1555999</v>
      </c>
      <c r="E156" s="97">
        <f t="shared" si="22"/>
        <v>158215</v>
      </c>
      <c r="F156" s="98">
        <f t="shared" si="23"/>
        <v>0.11318987769211838</v>
      </c>
    </row>
    <row r="157" spans="1:6" ht="18" customHeight="1" x14ac:dyDescent="0.25">
      <c r="A157" s="99">
        <v>3</v>
      </c>
      <c r="B157" s="100" t="s">
        <v>114</v>
      </c>
      <c r="C157" s="97">
        <v>4819493</v>
      </c>
      <c r="D157" s="97">
        <v>10450047</v>
      </c>
      <c r="E157" s="97">
        <f t="shared" si="22"/>
        <v>5630554</v>
      </c>
      <c r="F157" s="98">
        <f t="shared" si="23"/>
        <v>1.1682876186354041</v>
      </c>
    </row>
    <row r="158" spans="1:6" ht="18" customHeight="1" x14ac:dyDescent="0.25">
      <c r="A158" s="99">
        <v>4</v>
      </c>
      <c r="B158" s="100" t="s">
        <v>115</v>
      </c>
      <c r="C158" s="97">
        <v>11585593</v>
      </c>
      <c r="D158" s="97">
        <v>2747718</v>
      </c>
      <c r="E158" s="97">
        <f t="shared" si="22"/>
        <v>-8837875</v>
      </c>
      <c r="F158" s="98">
        <f t="shared" si="23"/>
        <v>-0.76283320154609269</v>
      </c>
    </row>
    <row r="159" spans="1:6" ht="18" customHeight="1" x14ac:dyDescent="0.25">
      <c r="A159" s="99">
        <v>5</v>
      </c>
      <c r="B159" s="100" t="s">
        <v>116</v>
      </c>
      <c r="C159" s="97">
        <v>102357</v>
      </c>
      <c r="D159" s="97">
        <v>65728</v>
      </c>
      <c r="E159" s="97">
        <f t="shared" si="22"/>
        <v>-36629</v>
      </c>
      <c r="F159" s="98">
        <f t="shared" si="23"/>
        <v>-0.35785534941430486</v>
      </c>
    </row>
    <row r="160" spans="1:6" ht="18" customHeight="1" x14ac:dyDescent="0.25">
      <c r="A160" s="99">
        <v>6</v>
      </c>
      <c r="B160" s="100" t="s">
        <v>117</v>
      </c>
      <c r="C160" s="97">
        <v>780670</v>
      </c>
      <c r="D160" s="97">
        <v>661075</v>
      </c>
      <c r="E160" s="97">
        <f t="shared" si="22"/>
        <v>-119595</v>
      </c>
      <c r="F160" s="98">
        <f t="shared" si="23"/>
        <v>-0.15319533221463616</v>
      </c>
    </row>
    <row r="161" spans="1:6" ht="18" customHeight="1" x14ac:dyDescent="0.25">
      <c r="A161" s="99">
        <v>7</v>
      </c>
      <c r="B161" s="100" t="s">
        <v>118</v>
      </c>
      <c r="C161" s="97">
        <v>27289753</v>
      </c>
      <c r="D161" s="97">
        <v>26715601</v>
      </c>
      <c r="E161" s="97">
        <f t="shared" si="22"/>
        <v>-574152</v>
      </c>
      <c r="F161" s="98">
        <f t="shared" si="23"/>
        <v>-2.1039105777175778E-2</v>
      </c>
    </row>
    <row r="162" spans="1:6" ht="18" customHeight="1" x14ac:dyDescent="0.25">
      <c r="A162" s="99">
        <v>8</v>
      </c>
      <c r="B162" s="100" t="s">
        <v>119</v>
      </c>
      <c r="C162" s="97">
        <v>1158129</v>
      </c>
      <c r="D162" s="97">
        <v>1268496</v>
      </c>
      <c r="E162" s="97">
        <f t="shared" si="22"/>
        <v>110367</v>
      </c>
      <c r="F162" s="98">
        <f t="shared" si="23"/>
        <v>9.5297674093300491E-2</v>
      </c>
    </row>
    <row r="163" spans="1:6" ht="18" customHeight="1" x14ac:dyDescent="0.25">
      <c r="A163" s="99">
        <v>9</v>
      </c>
      <c r="B163" s="100" t="s">
        <v>120</v>
      </c>
      <c r="C163" s="97">
        <v>1819403</v>
      </c>
      <c r="D163" s="97">
        <v>279397</v>
      </c>
      <c r="E163" s="97">
        <f t="shared" si="22"/>
        <v>-1540006</v>
      </c>
      <c r="F163" s="98">
        <f t="shared" si="23"/>
        <v>-0.84643479207190486</v>
      </c>
    </row>
    <row r="164" spans="1:6" ht="18" customHeight="1" x14ac:dyDescent="0.25">
      <c r="A164" s="99">
        <v>10</v>
      </c>
      <c r="B164" s="100" t="s">
        <v>121</v>
      </c>
      <c r="C164" s="97">
        <v>0</v>
      </c>
      <c r="D164" s="97">
        <v>0</v>
      </c>
      <c r="E164" s="97">
        <f t="shared" si="22"/>
        <v>0</v>
      </c>
      <c r="F164" s="98">
        <f t="shared" si="23"/>
        <v>0</v>
      </c>
    </row>
    <row r="165" spans="1:6" ht="18" customHeight="1" x14ac:dyDescent="0.25">
      <c r="A165" s="99">
        <v>11</v>
      </c>
      <c r="B165" s="100" t="s">
        <v>122</v>
      </c>
      <c r="C165" s="97">
        <v>0</v>
      </c>
      <c r="D165" s="97">
        <v>0</v>
      </c>
      <c r="E165" s="97">
        <f t="shared" si="22"/>
        <v>0</v>
      </c>
      <c r="F165" s="98">
        <f t="shared" si="23"/>
        <v>0</v>
      </c>
    </row>
    <row r="166" spans="1:6" ht="33.75" customHeight="1" x14ac:dyDescent="0.25">
      <c r="A166" s="101"/>
      <c r="B166" s="102" t="s">
        <v>149</v>
      </c>
      <c r="C166" s="103">
        <f>SUM(C155:C165)</f>
        <v>54235192</v>
      </c>
      <c r="D166" s="103">
        <f>SUM(D155:D165)</f>
        <v>48959455</v>
      </c>
      <c r="E166" s="103">
        <f t="shared" si="22"/>
        <v>-5275737</v>
      </c>
      <c r="F166" s="104">
        <f t="shared" si="23"/>
        <v>-9.7275160379260761E-2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11641</v>
      </c>
      <c r="D168" s="117">
        <v>11835</v>
      </c>
      <c r="E168" s="117">
        <f t="shared" ref="E168:E179" si="24">D168-C168</f>
        <v>194</v>
      </c>
      <c r="F168" s="98">
        <f t="shared" ref="F168:F179" si="25">IF(C168=0,0,E168/C168)</f>
        <v>1.6665234945451423E-2</v>
      </c>
    </row>
    <row r="169" spans="1:6" ht="18" customHeight="1" x14ac:dyDescent="0.25">
      <c r="A169" s="99">
        <v>2</v>
      </c>
      <c r="B169" s="100" t="s">
        <v>113</v>
      </c>
      <c r="C169" s="117">
        <v>2805</v>
      </c>
      <c r="D169" s="117">
        <v>3196</v>
      </c>
      <c r="E169" s="117">
        <f t="shared" si="24"/>
        <v>391</v>
      </c>
      <c r="F169" s="98">
        <f t="shared" si="25"/>
        <v>0.1393939393939394</v>
      </c>
    </row>
    <row r="170" spans="1:6" ht="18" customHeight="1" x14ac:dyDescent="0.25">
      <c r="A170" s="99">
        <v>3</v>
      </c>
      <c r="B170" s="100" t="s">
        <v>114</v>
      </c>
      <c r="C170" s="117">
        <v>18521</v>
      </c>
      <c r="D170" s="117">
        <v>41860</v>
      </c>
      <c r="E170" s="117">
        <f t="shared" si="24"/>
        <v>23339</v>
      </c>
      <c r="F170" s="98">
        <f t="shared" si="25"/>
        <v>1.2601371416230225</v>
      </c>
    </row>
    <row r="171" spans="1:6" ht="18" customHeight="1" x14ac:dyDescent="0.25">
      <c r="A171" s="99">
        <v>4</v>
      </c>
      <c r="B171" s="100" t="s">
        <v>115</v>
      </c>
      <c r="C171" s="117">
        <v>29227</v>
      </c>
      <c r="D171" s="117">
        <v>7334</v>
      </c>
      <c r="E171" s="117">
        <f t="shared" si="24"/>
        <v>-21893</v>
      </c>
      <c r="F171" s="98">
        <f t="shared" si="25"/>
        <v>-0.74906764293290451</v>
      </c>
    </row>
    <row r="172" spans="1:6" ht="18" customHeight="1" x14ac:dyDescent="0.25">
      <c r="A172" s="99">
        <v>5</v>
      </c>
      <c r="B172" s="100" t="s">
        <v>116</v>
      </c>
      <c r="C172" s="117">
        <v>284</v>
      </c>
      <c r="D172" s="117">
        <v>253</v>
      </c>
      <c r="E172" s="117">
        <f t="shared" si="24"/>
        <v>-31</v>
      </c>
      <c r="F172" s="98">
        <f t="shared" si="25"/>
        <v>-0.10915492957746478</v>
      </c>
    </row>
    <row r="173" spans="1:6" ht="18" customHeight="1" x14ac:dyDescent="0.25">
      <c r="A173" s="99">
        <v>6</v>
      </c>
      <c r="B173" s="100" t="s">
        <v>117</v>
      </c>
      <c r="C173" s="117">
        <v>946</v>
      </c>
      <c r="D173" s="117">
        <v>855</v>
      </c>
      <c r="E173" s="117">
        <f t="shared" si="24"/>
        <v>-91</v>
      </c>
      <c r="F173" s="98">
        <f t="shared" si="25"/>
        <v>-9.6194503171247364E-2</v>
      </c>
    </row>
    <row r="174" spans="1:6" ht="18" customHeight="1" x14ac:dyDescent="0.25">
      <c r="A174" s="99">
        <v>7</v>
      </c>
      <c r="B174" s="100" t="s">
        <v>118</v>
      </c>
      <c r="C174" s="117">
        <v>22613</v>
      </c>
      <c r="D174" s="117">
        <v>21454</v>
      </c>
      <c r="E174" s="117">
        <f t="shared" si="24"/>
        <v>-1159</v>
      </c>
      <c r="F174" s="98">
        <f t="shared" si="25"/>
        <v>-5.1253703621810462E-2</v>
      </c>
    </row>
    <row r="175" spans="1:6" ht="18" customHeight="1" x14ac:dyDescent="0.25">
      <c r="A175" s="99">
        <v>8</v>
      </c>
      <c r="B175" s="100" t="s">
        <v>119</v>
      </c>
      <c r="C175" s="117">
        <v>1470</v>
      </c>
      <c r="D175" s="117">
        <v>1459</v>
      </c>
      <c r="E175" s="117">
        <f t="shared" si="24"/>
        <v>-11</v>
      </c>
      <c r="F175" s="98">
        <f t="shared" si="25"/>
        <v>-7.4829931972789114E-3</v>
      </c>
    </row>
    <row r="176" spans="1:6" ht="18" customHeight="1" x14ac:dyDescent="0.25">
      <c r="A176" s="99">
        <v>9</v>
      </c>
      <c r="B176" s="100" t="s">
        <v>120</v>
      </c>
      <c r="C176" s="117">
        <v>7328</v>
      </c>
      <c r="D176" s="117">
        <v>8188</v>
      </c>
      <c r="E176" s="117">
        <f t="shared" si="24"/>
        <v>860</v>
      </c>
      <c r="F176" s="98">
        <f t="shared" si="25"/>
        <v>0.11735807860262008</v>
      </c>
    </row>
    <row r="177" spans="1:6" ht="18" customHeight="1" x14ac:dyDescent="0.25">
      <c r="A177" s="99">
        <v>10</v>
      </c>
      <c r="B177" s="100" t="s">
        <v>121</v>
      </c>
      <c r="C177" s="117">
        <v>0</v>
      </c>
      <c r="D177" s="117">
        <v>0</v>
      </c>
      <c r="E177" s="117">
        <f t="shared" si="24"/>
        <v>0</v>
      </c>
      <c r="F177" s="98">
        <f t="shared" si="25"/>
        <v>0</v>
      </c>
    </row>
    <row r="178" spans="1:6" ht="18" customHeight="1" x14ac:dyDescent="0.25">
      <c r="A178" s="99">
        <v>11</v>
      </c>
      <c r="B178" s="100" t="s">
        <v>122</v>
      </c>
      <c r="C178" s="117">
        <v>0</v>
      </c>
      <c r="D178" s="117">
        <v>0</v>
      </c>
      <c r="E178" s="117">
        <f t="shared" si="24"/>
        <v>0</v>
      </c>
      <c r="F178" s="98">
        <f t="shared" si="25"/>
        <v>0</v>
      </c>
    </row>
    <row r="179" spans="1:6" ht="33.75" customHeight="1" x14ac:dyDescent="0.25">
      <c r="A179" s="101"/>
      <c r="B179" s="102" t="s">
        <v>151</v>
      </c>
      <c r="C179" s="118">
        <f>SUM(C168:C178)</f>
        <v>94835</v>
      </c>
      <c r="D179" s="118">
        <f>SUM(D168:D178)</f>
        <v>96434</v>
      </c>
      <c r="E179" s="118">
        <f t="shared" si="24"/>
        <v>1599</v>
      </c>
      <c r="F179" s="104">
        <f t="shared" si="25"/>
        <v>1.6860863605209046E-2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horizontalCentered="1"/>
  <pageMargins left="0.25" right="0.25" top="0.5" bottom="0.5" header="0.25" footer="0.25"/>
  <pageSetup paperSize="9" scale="65" fitToHeight="2" orientation="portrait" horizontalDpi="1200" verticalDpi="1200"/>
  <headerFooter>
    <oddHeader>&amp;LOFFICE OF HEALTH CARE ACCESS&amp;CTWELVE MONTHS ACTUAL FILING&amp;RTHE HOSPITAL OF CENTRAL CONNECTICUT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1"/>
  <sheetViews>
    <sheetView zoomScale="75" workbookViewId="0"/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7.425781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51622907</v>
      </c>
      <c r="D15" s="146">
        <v>60308808</v>
      </c>
      <c r="E15" s="146">
        <f>+D15-C15</f>
        <v>8685901</v>
      </c>
      <c r="F15" s="150">
        <f>IF(C15=0,0,E15/C15)</f>
        <v>0.16825671983175997</v>
      </c>
    </row>
    <row r="16" spans="1:7" ht="15" customHeight="1" x14ac:dyDescent="0.2">
      <c r="A16" s="141">
        <v>2</v>
      </c>
      <c r="B16" s="149" t="s">
        <v>158</v>
      </c>
      <c r="C16" s="146">
        <v>22878615</v>
      </c>
      <c r="D16" s="146">
        <v>27064007</v>
      </c>
      <c r="E16" s="146">
        <f>+D16-C16</f>
        <v>4185392</v>
      </c>
      <c r="F16" s="150">
        <f>IF(C16=0,0,E16/C16)</f>
        <v>0.18293904591689664</v>
      </c>
    </row>
    <row r="17" spans="1:7" ht="15" customHeight="1" x14ac:dyDescent="0.2">
      <c r="A17" s="141">
        <v>3</v>
      </c>
      <c r="B17" s="149" t="s">
        <v>159</v>
      </c>
      <c r="C17" s="146">
        <v>78660567</v>
      </c>
      <c r="D17" s="146">
        <v>77920320</v>
      </c>
      <c r="E17" s="146">
        <f>+D17-C17</f>
        <v>-740247</v>
      </c>
      <c r="F17" s="150">
        <f>IF(C17=0,0,E17/C17)</f>
        <v>-9.4106491757172308E-3</v>
      </c>
    </row>
    <row r="18" spans="1:7" ht="15.75" customHeight="1" x14ac:dyDescent="0.25">
      <c r="A18" s="141"/>
      <c r="B18" s="151" t="s">
        <v>160</v>
      </c>
      <c r="C18" s="147">
        <f>SUM(C15:C17)</f>
        <v>153162089</v>
      </c>
      <c r="D18" s="147">
        <f>SUM(D15:D17)</f>
        <v>165293135</v>
      </c>
      <c r="E18" s="147">
        <f>+D18-C18</f>
        <v>12131046</v>
      </c>
      <c r="F18" s="148">
        <f>IF(C18=0,0,E18/C18)</f>
        <v>7.9203973249542189E-2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17765212</v>
      </c>
      <c r="D21" s="146">
        <v>15653134</v>
      </c>
      <c r="E21" s="146">
        <f>+D21-C21</f>
        <v>-2112078</v>
      </c>
      <c r="F21" s="150">
        <f>IF(C21=0,0,E21/C21)</f>
        <v>-0.11888842080803765</v>
      </c>
    </row>
    <row r="22" spans="1:7" ht="15" customHeight="1" x14ac:dyDescent="0.2">
      <c r="A22" s="141">
        <v>2</v>
      </c>
      <c r="B22" s="149" t="s">
        <v>163</v>
      </c>
      <c r="C22" s="146">
        <v>7724018</v>
      </c>
      <c r="D22" s="146">
        <v>7024455</v>
      </c>
      <c r="E22" s="146">
        <f>+D22-C22</f>
        <v>-699563</v>
      </c>
      <c r="F22" s="150">
        <f>IF(C22=0,0,E22/C22)</f>
        <v>-9.0569830365491127E-2</v>
      </c>
    </row>
    <row r="23" spans="1:7" ht="15" customHeight="1" x14ac:dyDescent="0.2">
      <c r="A23" s="141">
        <v>3</v>
      </c>
      <c r="B23" s="149" t="s">
        <v>164</v>
      </c>
      <c r="C23" s="146">
        <v>26670431</v>
      </c>
      <c r="D23" s="146">
        <v>20224197</v>
      </c>
      <c r="E23" s="146">
        <f>+D23-C23</f>
        <v>-6446234</v>
      </c>
      <c r="F23" s="150">
        <f>IF(C23=0,0,E23/C23)</f>
        <v>-0.24169965607229971</v>
      </c>
    </row>
    <row r="24" spans="1:7" ht="15.75" customHeight="1" x14ac:dyDescent="0.25">
      <c r="A24" s="141"/>
      <c r="B24" s="151" t="s">
        <v>165</v>
      </c>
      <c r="C24" s="147">
        <f>SUM(C21:C23)</f>
        <v>52159661</v>
      </c>
      <c r="D24" s="147">
        <f>SUM(D21:D23)</f>
        <v>42901786</v>
      </c>
      <c r="E24" s="147">
        <f>+D24-C24</f>
        <v>-9257875</v>
      </c>
      <c r="F24" s="148">
        <f>IF(C24=0,0,E24/C24)</f>
        <v>-0.17749108837191255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610686</v>
      </c>
      <c r="D27" s="146">
        <v>386550</v>
      </c>
      <c r="E27" s="146">
        <f>+D27-C27</f>
        <v>-224136</v>
      </c>
      <c r="F27" s="150">
        <f>IF(C27=0,0,E27/C27)</f>
        <v>-0.36702331476405226</v>
      </c>
    </row>
    <row r="28" spans="1:7" ht="15" customHeight="1" x14ac:dyDescent="0.2">
      <c r="A28" s="141">
        <v>2</v>
      </c>
      <c r="B28" s="149" t="s">
        <v>168</v>
      </c>
      <c r="C28" s="146">
        <v>11127118</v>
      </c>
      <c r="D28" s="146">
        <v>11822724</v>
      </c>
      <c r="E28" s="146">
        <f>+D28-C28</f>
        <v>695606</v>
      </c>
      <c r="F28" s="150">
        <f>IF(C28=0,0,E28/C28)</f>
        <v>6.251448038926162E-2</v>
      </c>
    </row>
    <row r="29" spans="1:7" ht="15" customHeight="1" x14ac:dyDescent="0.2">
      <c r="A29" s="141">
        <v>3</v>
      </c>
      <c r="B29" s="149" t="s">
        <v>169</v>
      </c>
      <c r="C29" s="146">
        <v>8265109</v>
      </c>
      <c r="D29" s="146">
        <v>6303155</v>
      </c>
      <c r="E29" s="146">
        <f>+D29-C29</f>
        <v>-1961954</v>
      </c>
      <c r="F29" s="150">
        <f>IF(C29=0,0,E29/C29)</f>
        <v>-0.23737787366143628</v>
      </c>
    </row>
    <row r="30" spans="1:7" ht="15.75" customHeight="1" x14ac:dyDescent="0.25">
      <c r="A30" s="141"/>
      <c r="B30" s="151" t="s">
        <v>170</v>
      </c>
      <c r="C30" s="147">
        <f>SUM(C27:C29)</f>
        <v>20002913</v>
      </c>
      <c r="D30" s="147">
        <f>SUM(D27:D29)</f>
        <v>18512429</v>
      </c>
      <c r="E30" s="147">
        <f>+D30-C30</f>
        <v>-1490484</v>
      </c>
      <c r="F30" s="148">
        <f>IF(C30=0,0,E30/C30)</f>
        <v>-7.4513347130990365E-2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40061390</v>
      </c>
      <c r="D33" s="146">
        <v>37354598</v>
      </c>
      <c r="E33" s="146">
        <f>+D33-C33</f>
        <v>-2706792</v>
      </c>
      <c r="F33" s="150">
        <f>IF(C33=0,0,E33/C33)</f>
        <v>-6.7566102923538096E-2</v>
      </c>
    </row>
    <row r="34" spans="1:7" ht="15" customHeight="1" x14ac:dyDescent="0.2">
      <c r="A34" s="141">
        <v>2</v>
      </c>
      <c r="B34" s="149" t="s">
        <v>174</v>
      </c>
      <c r="C34" s="146">
        <v>12218531</v>
      </c>
      <c r="D34" s="146">
        <v>12180858</v>
      </c>
      <c r="E34" s="146">
        <f>+D34-C34</f>
        <v>-37673</v>
      </c>
      <c r="F34" s="150">
        <f>IF(C34=0,0,E34/C34)</f>
        <v>-3.0832675384626844E-3</v>
      </c>
    </row>
    <row r="35" spans="1:7" ht="15.75" customHeight="1" x14ac:dyDescent="0.25">
      <c r="A35" s="141"/>
      <c r="B35" s="151" t="s">
        <v>175</v>
      </c>
      <c r="C35" s="147">
        <f>SUM(C33:C34)</f>
        <v>52279921</v>
      </c>
      <c r="D35" s="147">
        <f>SUM(D33:D34)</f>
        <v>49535456</v>
      </c>
      <c r="E35" s="147">
        <f>+D35-C35</f>
        <v>-2744465</v>
      </c>
      <c r="F35" s="148">
        <f>IF(C35=0,0,E35/C35)</f>
        <v>-5.2495584298989283E-2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8029450</v>
      </c>
      <c r="D38" s="146">
        <v>8916398</v>
      </c>
      <c r="E38" s="146">
        <f>+D38-C38</f>
        <v>886948</v>
      </c>
      <c r="F38" s="150">
        <f>IF(C38=0,0,E38/C38)</f>
        <v>0.11046186226952033</v>
      </c>
    </row>
    <row r="39" spans="1:7" ht="15" customHeight="1" x14ac:dyDescent="0.2">
      <c r="A39" s="141">
        <v>2</v>
      </c>
      <c r="B39" s="149" t="s">
        <v>179</v>
      </c>
      <c r="C39" s="146">
        <v>10650237</v>
      </c>
      <c r="D39" s="146">
        <v>10436660</v>
      </c>
      <c r="E39" s="146">
        <f>+D39-C39</f>
        <v>-213577</v>
      </c>
      <c r="F39" s="150">
        <f>IF(C39=0,0,E39/C39)</f>
        <v>-2.0053732137604075E-2</v>
      </c>
    </row>
    <row r="40" spans="1:7" ht="15" customHeight="1" x14ac:dyDescent="0.2">
      <c r="A40" s="141">
        <v>3</v>
      </c>
      <c r="B40" s="149" t="s">
        <v>180</v>
      </c>
      <c r="C40" s="146">
        <v>0</v>
      </c>
      <c r="D40" s="146">
        <v>0</v>
      </c>
      <c r="E40" s="146">
        <f>+D40-C40</f>
        <v>0</v>
      </c>
      <c r="F40" s="150">
        <f>IF(C40=0,0,E40/C40)</f>
        <v>0</v>
      </c>
    </row>
    <row r="41" spans="1:7" ht="15.75" customHeight="1" x14ac:dyDescent="0.25">
      <c r="A41" s="141"/>
      <c r="B41" s="151" t="s">
        <v>181</v>
      </c>
      <c r="C41" s="147">
        <f>SUM(C38:C40)</f>
        <v>18679687</v>
      </c>
      <c r="D41" s="147">
        <f>SUM(D38:D40)</f>
        <v>19353058</v>
      </c>
      <c r="E41" s="147">
        <f>+D41-C41</f>
        <v>673371</v>
      </c>
      <c r="F41" s="148">
        <f>IF(C41=0,0,E41/C41)</f>
        <v>3.6048302094141088E-2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1140529</v>
      </c>
      <c r="D44" s="146">
        <v>17293190</v>
      </c>
      <c r="E44" s="146">
        <f>+D44-C44</f>
        <v>16152661</v>
      </c>
      <c r="F44" s="150">
        <f>IF(C44=0,0,E44/C44)</f>
        <v>14.162429013203523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837138</v>
      </c>
      <c r="D47" s="146">
        <v>1957216</v>
      </c>
      <c r="E47" s="146">
        <f>+D47-C47</f>
        <v>1120078</v>
      </c>
      <c r="F47" s="150">
        <f>IF(C47=0,0,E47/C47)</f>
        <v>1.3379848961581007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6815328</v>
      </c>
      <c r="D50" s="146">
        <v>5136177</v>
      </c>
      <c r="E50" s="146">
        <f>+D50-C50</f>
        <v>-1679151</v>
      </c>
      <c r="F50" s="150">
        <f>IF(C50=0,0,E50/C50)</f>
        <v>-0.24637860422858593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197189</v>
      </c>
      <c r="D53" s="146">
        <v>197286</v>
      </c>
      <c r="E53" s="146">
        <f t="shared" ref="E53:E59" si="0">+D53-C53</f>
        <v>97</v>
      </c>
      <c r="F53" s="150">
        <f t="shared" ref="F53:F59" si="1">IF(C53=0,0,E53/C53)</f>
        <v>4.9191384914980046E-4</v>
      </c>
    </row>
    <row r="54" spans="1:7" ht="15" customHeight="1" x14ac:dyDescent="0.2">
      <c r="A54" s="141">
        <v>2</v>
      </c>
      <c r="B54" s="149" t="s">
        <v>193</v>
      </c>
      <c r="C54" s="146">
        <v>1463904</v>
      </c>
      <c r="D54" s="146">
        <v>1538959</v>
      </c>
      <c r="E54" s="146">
        <f t="shared" si="0"/>
        <v>75055</v>
      </c>
      <c r="F54" s="150">
        <f t="shared" si="1"/>
        <v>5.1270438498699368E-2</v>
      </c>
    </row>
    <row r="55" spans="1:7" ht="15" customHeight="1" x14ac:dyDescent="0.2">
      <c r="A55" s="141">
        <v>3</v>
      </c>
      <c r="B55" s="149" t="s">
        <v>194</v>
      </c>
      <c r="C55" s="146">
        <v>47984</v>
      </c>
      <c r="D55" s="146">
        <v>36435</v>
      </c>
      <c r="E55" s="146">
        <f t="shared" si="0"/>
        <v>-11549</v>
      </c>
      <c r="F55" s="150">
        <f t="shared" si="1"/>
        <v>-0.24068439479826609</v>
      </c>
    </row>
    <row r="56" spans="1:7" ht="15" customHeight="1" x14ac:dyDescent="0.2">
      <c r="A56" s="141">
        <v>4</v>
      </c>
      <c r="B56" s="149" t="s">
        <v>195</v>
      </c>
      <c r="C56" s="146">
        <v>3955521</v>
      </c>
      <c r="D56" s="146">
        <v>3963694</v>
      </c>
      <c r="E56" s="146">
        <f t="shared" si="0"/>
        <v>8173</v>
      </c>
      <c r="F56" s="150">
        <f t="shared" si="1"/>
        <v>2.066225915625274E-3</v>
      </c>
    </row>
    <row r="57" spans="1:7" ht="15" customHeight="1" x14ac:dyDescent="0.2">
      <c r="A57" s="141">
        <v>5</v>
      </c>
      <c r="B57" s="149" t="s">
        <v>196</v>
      </c>
      <c r="C57" s="146">
        <v>706596</v>
      </c>
      <c r="D57" s="146">
        <v>708562</v>
      </c>
      <c r="E57" s="146">
        <f t="shared" si="0"/>
        <v>1966</v>
      </c>
      <c r="F57" s="150">
        <f t="shared" si="1"/>
        <v>2.7823537070688202E-3</v>
      </c>
    </row>
    <row r="58" spans="1:7" ht="15" customHeight="1" x14ac:dyDescent="0.2">
      <c r="A58" s="141">
        <v>6</v>
      </c>
      <c r="B58" s="149" t="s">
        <v>197</v>
      </c>
      <c r="C58" s="146">
        <v>208947</v>
      </c>
      <c r="D58" s="146">
        <v>207076</v>
      </c>
      <c r="E58" s="146">
        <f t="shared" si="0"/>
        <v>-1871</v>
      </c>
      <c r="F58" s="150">
        <f t="shared" si="1"/>
        <v>-8.9544238491100613E-3</v>
      </c>
    </row>
    <row r="59" spans="1:7" ht="15.75" customHeight="1" x14ac:dyDescent="0.25">
      <c r="A59" s="141"/>
      <c r="B59" s="151" t="s">
        <v>198</v>
      </c>
      <c r="C59" s="147">
        <f>SUM(C53:C58)</f>
        <v>6580141</v>
      </c>
      <c r="D59" s="147">
        <f>SUM(D53:D58)</f>
        <v>6652012</v>
      </c>
      <c r="E59" s="147">
        <f t="shared" si="0"/>
        <v>71871</v>
      </c>
      <c r="F59" s="148">
        <f t="shared" si="1"/>
        <v>1.0922410325249869E-2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567309</v>
      </c>
      <c r="D62" s="146">
        <v>409431</v>
      </c>
      <c r="E62" s="146">
        <f t="shared" ref="E62:E90" si="2">+D62-C62</f>
        <v>-157878</v>
      </c>
      <c r="F62" s="150">
        <f t="shared" ref="F62:F90" si="3">IF(C62=0,0,E62/C62)</f>
        <v>-0.27829278224036635</v>
      </c>
    </row>
    <row r="63" spans="1:7" ht="15" customHeight="1" x14ac:dyDescent="0.2">
      <c r="A63" s="141">
        <v>2</v>
      </c>
      <c r="B63" s="149" t="s">
        <v>202</v>
      </c>
      <c r="C63" s="146">
        <v>743334</v>
      </c>
      <c r="D63" s="146">
        <v>351166</v>
      </c>
      <c r="E63" s="146">
        <f t="shared" si="2"/>
        <v>-392168</v>
      </c>
      <c r="F63" s="150">
        <f t="shared" si="3"/>
        <v>-0.52757979589255977</v>
      </c>
    </row>
    <row r="64" spans="1:7" ht="15" customHeight="1" x14ac:dyDescent="0.2">
      <c r="A64" s="141">
        <v>3</v>
      </c>
      <c r="B64" s="149" t="s">
        <v>203</v>
      </c>
      <c r="C64" s="146">
        <v>1004629</v>
      </c>
      <c r="D64" s="146">
        <v>886492</v>
      </c>
      <c r="E64" s="146">
        <f t="shared" si="2"/>
        <v>-118137</v>
      </c>
      <c r="F64" s="150">
        <f t="shared" si="3"/>
        <v>-0.11759266356037901</v>
      </c>
    </row>
    <row r="65" spans="1:6" ht="15" customHeight="1" x14ac:dyDescent="0.2">
      <c r="A65" s="141">
        <v>4</v>
      </c>
      <c r="B65" s="149" t="s">
        <v>204</v>
      </c>
      <c r="C65" s="146">
        <v>800266</v>
      </c>
      <c r="D65" s="146">
        <v>754141</v>
      </c>
      <c r="E65" s="146">
        <f t="shared" si="2"/>
        <v>-46125</v>
      </c>
      <c r="F65" s="150">
        <f t="shared" si="3"/>
        <v>-5.7637085669015049E-2</v>
      </c>
    </row>
    <row r="66" spans="1:6" ht="15" customHeight="1" x14ac:dyDescent="0.2">
      <c r="A66" s="141">
        <v>5</v>
      </c>
      <c r="B66" s="149" t="s">
        <v>205</v>
      </c>
      <c r="C66" s="146">
        <v>2632453</v>
      </c>
      <c r="D66" s="146">
        <v>2216457</v>
      </c>
      <c r="E66" s="146">
        <f t="shared" si="2"/>
        <v>-415996</v>
      </c>
      <c r="F66" s="150">
        <f t="shared" si="3"/>
        <v>-0.15802599324660307</v>
      </c>
    </row>
    <row r="67" spans="1:6" ht="15" customHeight="1" x14ac:dyDescent="0.2">
      <c r="A67" s="141">
        <v>6</v>
      </c>
      <c r="B67" s="149" t="s">
        <v>206</v>
      </c>
      <c r="C67" s="146">
        <v>2004575</v>
      </c>
      <c r="D67" s="146">
        <v>2233549</v>
      </c>
      <c r="E67" s="146">
        <f t="shared" si="2"/>
        <v>228974</v>
      </c>
      <c r="F67" s="150">
        <f t="shared" si="3"/>
        <v>0.1142257086913685</v>
      </c>
    </row>
    <row r="68" spans="1:6" ht="15" customHeight="1" x14ac:dyDescent="0.2">
      <c r="A68" s="141">
        <v>7</v>
      </c>
      <c r="B68" s="149" t="s">
        <v>207</v>
      </c>
      <c r="C68" s="146">
        <v>5767418</v>
      </c>
      <c r="D68" s="146">
        <v>5739760</v>
      </c>
      <c r="E68" s="146">
        <f t="shared" si="2"/>
        <v>-27658</v>
      </c>
      <c r="F68" s="150">
        <f t="shared" si="3"/>
        <v>-4.7955601622771231E-3</v>
      </c>
    </row>
    <row r="69" spans="1:6" ht="15" customHeight="1" x14ac:dyDescent="0.2">
      <c r="A69" s="141">
        <v>8</v>
      </c>
      <c r="B69" s="149" t="s">
        <v>208</v>
      </c>
      <c r="C69" s="146">
        <v>545680</v>
      </c>
      <c r="D69" s="146">
        <v>450200</v>
      </c>
      <c r="E69" s="146">
        <f t="shared" si="2"/>
        <v>-95480</v>
      </c>
      <c r="F69" s="150">
        <f t="shared" si="3"/>
        <v>-0.17497434393783903</v>
      </c>
    </row>
    <row r="70" spans="1:6" ht="15" customHeight="1" x14ac:dyDescent="0.2">
      <c r="A70" s="141">
        <v>9</v>
      </c>
      <c r="B70" s="149" t="s">
        <v>209</v>
      </c>
      <c r="C70" s="146">
        <v>698250</v>
      </c>
      <c r="D70" s="146">
        <v>802103</v>
      </c>
      <c r="E70" s="146">
        <f t="shared" si="2"/>
        <v>103853</v>
      </c>
      <c r="F70" s="150">
        <f t="shared" si="3"/>
        <v>0.14873326172574292</v>
      </c>
    </row>
    <row r="71" spans="1:6" ht="15" customHeight="1" x14ac:dyDescent="0.2">
      <c r="A71" s="141">
        <v>10</v>
      </c>
      <c r="B71" s="149" t="s">
        <v>210</v>
      </c>
      <c r="C71" s="146">
        <v>206375</v>
      </c>
      <c r="D71" s="146">
        <v>244459</v>
      </c>
      <c r="E71" s="146">
        <f t="shared" si="2"/>
        <v>38084</v>
      </c>
      <c r="F71" s="150">
        <f t="shared" si="3"/>
        <v>0.18453785584494245</v>
      </c>
    </row>
    <row r="72" spans="1:6" ht="15" customHeight="1" x14ac:dyDescent="0.2">
      <c r="A72" s="141">
        <v>11</v>
      </c>
      <c r="B72" s="149" t="s">
        <v>211</v>
      </c>
      <c r="C72" s="146">
        <v>224088</v>
      </c>
      <c r="D72" s="146">
        <v>207968</v>
      </c>
      <c r="E72" s="146">
        <f t="shared" si="2"/>
        <v>-16120</v>
      </c>
      <c r="F72" s="150">
        <f t="shared" si="3"/>
        <v>-7.1936025132983472E-2</v>
      </c>
    </row>
    <row r="73" spans="1:6" ht="15" customHeight="1" x14ac:dyDescent="0.2">
      <c r="A73" s="141">
        <v>12</v>
      </c>
      <c r="B73" s="149" t="s">
        <v>212</v>
      </c>
      <c r="C73" s="146">
        <v>1087862</v>
      </c>
      <c r="D73" s="146">
        <v>1307614</v>
      </c>
      <c r="E73" s="146">
        <f t="shared" si="2"/>
        <v>219752</v>
      </c>
      <c r="F73" s="150">
        <f t="shared" si="3"/>
        <v>0.20200356295191854</v>
      </c>
    </row>
    <row r="74" spans="1:6" ht="15" customHeight="1" x14ac:dyDescent="0.2">
      <c r="A74" s="141">
        <v>13</v>
      </c>
      <c r="B74" s="149" t="s">
        <v>213</v>
      </c>
      <c r="C74" s="146">
        <v>284598</v>
      </c>
      <c r="D74" s="146">
        <v>242688</v>
      </c>
      <c r="E74" s="146">
        <f t="shared" si="2"/>
        <v>-41910</v>
      </c>
      <c r="F74" s="150">
        <f t="shared" si="3"/>
        <v>-0.14726034617249595</v>
      </c>
    </row>
    <row r="75" spans="1:6" ht="15" customHeight="1" x14ac:dyDescent="0.2">
      <c r="A75" s="141">
        <v>14</v>
      </c>
      <c r="B75" s="149" t="s">
        <v>214</v>
      </c>
      <c r="C75" s="146">
        <v>436892</v>
      </c>
      <c r="D75" s="146">
        <v>428271</v>
      </c>
      <c r="E75" s="146">
        <f t="shared" si="2"/>
        <v>-8621</v>
      </c>
      <c r="F75" s="150">
        <f t="shared" si="3"/>
        <v>-1.9732565485291561E-2</v>
      </c>
    </row>
    <row r="76" spans="1:6" ht="15" customHeight="1" x14ac:dyDescent="0.2">
      <c r="A76" s="141">
        <v>15</v>
      </c>
      <c r="B76" s="149" t="s">
        <v>215</v>
      </c>
      <c r="C76" s="146">
        <v>455651</v>
      </c>
      <c r="D76" s="146">
        <v>717244</v>
      </c>
      <c r="E76" s="146">
        <f t="shared" si="2"/>
        <v>261593</v>
      </c>
      <c r="F76" s="150">
        <f t="shared" si="3"/>
        <v>0.57410825390485265</v>
      </c>
    </row>
    <row r="77" spans="1:6" ht="15" customHeight="1" x14ac:dyDescent="0.2">
      <c r="A77" s="141">
        <v>16</v>
      </c>
      <c r="B77" s="149" t="s">
        <v>216</v>
      </c>
      <c r="C77" s="146">
        <v>0</v>
      </c>
      <c r="D77" s="146">
        <v>0</v>
      </c>
      <c r="E77" s="146">
        <f t="shared" si="2"/>
        <v>0</v>
      </c>
      <c r="F77" s="150">
        <f t="shared" si="3"/>
        <v>0</v>
      </c>
    </row>
    <row r="78" spans="1:6" ht="15" customHeight="1" x14ac:dyDescent="0.2">
      <c r="A78" s="141">
        <v>17</v>
      </c>
      <c r="B78" s="149" t="s">
        <v>217</v>
      </c>
      <c r="C78" s="146">
        <v>0</v>
      </c>
      <c r="D78" s="146">
        <v>5610528</v>
      </c>
      <c r="E78" s="146">
        <f t="shared" si="2"/>
        <v>5610528</v>
      </c>
      <c r="F78" s="150">
        <f t="shared" si="3"/>
        <v>0</v>
      </c>
    </row>
    <row r="79" spans="1:6" ht="15" customHeight="1" x14ac:dyDescent="0.2">
      <c r="A79" s="141">
        <v>18</v>
      </c>
      <c r="B79" s="149" t="s">
        <v>218</v>
      </c>
      <c r="C79" s="146">
        <v>0</v>
      </c>
      <c r="D79" s="146">
        <v>1266177</v>
      </c>
      <c r="E79" s="146">
        <f t="shared" si="2"/>
        <v>1266177</v>
      </c>
      <c r="F79" s="150">
        <f t="shared" si="3"/>
        <v>0</v>
      </c>
    </row>
    <row r="80" spans="1:6" ht="15" customHeight="1" x14ac:dyDescent="0.2">
      <c r="A80" s="141">
        <v>19</v>
      </c>
      <c r="B80" s="149" t="s">
        <v>219</v>
      </c>
      <c r="C80" s="146">
        <v>0</v>
      </c>
      <c r="D80" s="146">
        <v>2932414</v>
      </c>
      <c r="E80" s="146">
        <f t="shared" si="2"/>
        <v>2932414</v>
      </c>
      <c r="F80" s="150">
        <f t="shared" si="3"/>
        <v>0</v>
      </c>
    </row>
    <row r="81" spans="1:7" ht="15" customHeight="1" x14ac:dyDescent="0.2">
      <c r="A81" s="141">
        <v>20</v>
      </c>
      <c r="B81" s="149" t="s">
        <v>220</v>
      </c>
      <c r="C81" s="146">
        <v>0</v>
      </c>
      <c r="D81" s="146">
        <v>0</v>
      </c>
      <c r="E81" s="146">
        <f t="shared" si="2"/>
        <v>0</v>
      </c>
      <c r="F81" s="150">
        <f t="shared" si="3"/>
        <v>0</v>
      </c>
    </row>
    <row r="82" spans="1:7" ht="15" customHeight="1" x14ac:dyDescent="0.2">
      <c r="A82" s="141">
        <v>21</v>
      </c>
      <c r="B82" s="149" t="s">
        <v>221</v>
      </c>
      <c r="C82" s="146">
        <v>0</v>
      </c>
      <c r="D82" s="146">
        <v>1182002</v>
      </c>
      <c r="E82" s="146">
        <f t="shared" si="2"/>
        <v>1182002</v>
      </c>
      <c r="F82" s="150">
        <f t="shared" si="3"/>
        <v>0</v>
      </c>
    </row>
    <row r="83" spans="1:7" ht="15" customHeight="1" x14ac:dyDescent="0.2">
      <c r="A83" s="141">
        <v>22</v>
      </c>
      <c r="B83" s="149" t="s">
        <v>222</v>
      </c>
      <c r="C83" s="146">
        <v>0</v>
      </c>
      <c r="D83" s="146">
        <v>1662460</v>
      </c>
      <c r="E83" s="146">
        <f t="shared" si="2"/>
        <v>1662460</v>
      </c>
      <c r="F83" s="150">
        <f t="shared" si="3"/>
        <v>0</v>
      </c>
    </row>
    <row r="84" spans="1:7" ht="15" customHeight="1" x14ac:dyDescent="0.2">
      <c r="A84" s="141">
        <v>23</v>
      </c>
      <c r="B84" s="149" t="s">
        <v>223</v>
      </c>
      <c r="C84" s="146">
        <v>0</v>
      </c>
      <c r="D84" s="146">
        <v>269365</v>
      </c>
      <c r="E84" s="146">
        <f t="shared" si="2"/>
        <v>269365</v>
      </c>
      <c r="F84" s="150">
        <f t="shared" si="3"/>
        <v>0</v>
      </c>
    </row>
    <row r="85" spans="1:7" ht="15" customHeight="1" x14ac:dyDescent="0.2">
      <c r="A85" s="141">
        <v>24</v>
      </c>
      <c r="B85" s="149" t="s">
        <v>224</v>
      </c>
      <c r="C85" s="146">
        <v>0</v>
      </c>
      <c r="D85" s="146">
        <v>2190047</v>
      </c>
      <c r="E85" s="146">
        <f t="shared" si="2"/>
        <v>2190047</v>
      </c>
      <c r="F85" s="150">
        <f t="shared" si="3"/>
        <v>0</v>
      </c>
    </row>
    <row r="86" spans="1:7" ht="15" customHeight="1" x14ac:dyDescent="0.2">
      <c r="A86" s="141">
        <v>25</v>
      </c>
      <c r="B86" s="149" t="s">
        <v>225</v>
      </c>
      <c r="C86" s="146">
        <v>0</v>
      </c>
      <c r="D86" s="146">
        <v>420351</v>
      </c>
      <c r="E86" s="146">
        <f t="shared" si="2"/>
        <v>420351</v>
      </c>
      <c r="F86" s="150">
        <f t="shared" si="3"/>
        <v>0</v>
      </c>
    </row>
    <row r="87" spans="1:7" ht="15" customHeight="1" x14ac:dyDescent="0.2">
      <c r="A87" s="141">
        <v>26</v>
      </c>
      <c r="B87" s="149" t="s">
        <v>226</v>
      </c>
      <c r="C87" s="146">
        <v>0</v>
      </c>
      <c r="D87" s="146">
        <v>20573</v>
      </c>
      <c r="E87" s="146">
        <f t="shared" si="2"/>
        <v>20573</v>
      </c>
      <c r="F87" s="150">
        <f t="shared" si="3"/>
        <v>0</v>
      </c>
    </row>
    <row r="88" spans="1:7" ht="15" customHeight="1" x14ac:dyDescent="0.2">
      <c r="A88" s="141">
        <v>27</v>
      </c>
      <c r="B88" s="149" t="s">
        <v>227</v>
      </c>
      <c r="C88" s="146">
        <v>0</v>
      </c>
      <c r="D88" s="146">
        <v>56550</v>
      </c>
      <c r="E88" s="146">
        <f t="shared" si="2"/>
        <v>56550</v>
      </c>
      <c r="F88" s="150">
        <f t="shared" si="3"/>
        <v>0</v>
      </c>
    </row>
    <row r="89" spans="1:7" ht="15" customHeight="1" x14ac:dyDescent="0.2">
      <c r="A89" s="141">
        <v>28</v>
      </c>
      <c r="B89" s="149" t="s">
        <v>228</v>
      </c>
      <c r="C89" s="146">
        <v>36445805</v>
      </c>
      <c r="D89" s="146">
        <v>30285025</v>
      </c>
      <c r="E89" s="146">
        <f t="shared" si="2"/>
        <v>-6160780</v>
      </c>
      <c r="F89" s="150">
        <f t="shared" si="3"/>
        <v>-0.16903948204738514</v>
      </c>
    </row>
    <row r="90" spans="1:7" ht="15.75" customHeight="1" x14ac:dyDescent="0.25">
      <c r="A90" s="141"/>
      <c r="B90" s="151" t="s">
        <v>229</v>
      </c>
      <c r="C90" s="147">
        <f>SUM(C62:C89)</f>
        <v>53905185</v>
      </c>
      <c r="D90" s="147">
        <f>SUM(D62:D89)</f>
        <v>62887035</v>
      </c>
      <c r="E90" s="147">
        <f t="shared" si="2"/>
        <v>8981850</v>
      </c>
      <c r="F90" s="148">
        <f t="shared" si="3"/>
        <v>0.16662311798020915</v>
      </c>
      <c r="G90" s="124"/>
    </row>
    <row r="91" spans="1:7" ht="15.75" customHeight="1" x14ac:dyDescent="0.25">
      <c r="A91" s="141"/>
      <c r="B91" s="152"/>
      <c r="C91" s="146"/>
      <c r="D91" s="146"/>
      <c r="E91" s="147"/>
      <c r="F91" s="148"/>
      <c r="G91" s="124"/>
    </row>
    <row r="92" spans="1:7" ht="15.75" customHeight="1" x14ac:dyDescent="0.25">
      <c r="A92" s="144" t="s">
        <v>230</v>
      </c>
      <c r="B92" s="145" t="s">
        <v>231</v>
      </c>
      <c r="C92" s="146"/>
      <c r="D92" s="146"/>
      <c r="E92" s="147"/>
      <c r="F92" s="148"/>
      <c r="G92" s="124"/>
    </row>
    <row r="93" spans="1:7" ht="15" customHeight="1" x14ac:dyDescent="0.2">
      <c r="A93" s="141">
        <v>1</v>
      </c>
      <c r="B93" s="149" t="s">
        <v>232</v>
      </c>
      <c r="C93" s="146">
        <v>3010794</v>
      </c>
      <c r="D93" s="146">
        <v>0</v>
      </c>
      <c r="E93" s="146">
        <f>+D93-C93</f>
        <v>-3010794</v>
      </c>
      <c r="F93" s="150">
        <f>IF(C93=0,0,E93/C93)</f>
        <v>-1</v>
      </c>
    </row>
    <row r="94" spans="1:7" ht="15.75" customHeight="1" x14ac:dyDescent="0.25">
      <c r="A94" s="141"/>
      <c r="B94" s="152"/>
      <c r="C94" s="146"/>
      <c r="D94" s="146"/>
      <c r="E94" s="147"/>
      <c r="F94" s="148"/>
      <c r="G94" s="124"/>
    </row>
    <row r="95" spans="1:7" ht="15.75" customHeight="1" x14ac:dyDescent="0.25">
      <c r="A95" s="153"/>
      <c r="B95" s="154" t="s">
        <v>233</v>
      </c>
      <c r="C95" s="147">
        <f>+C93+C90+C59+C50+C47+C44+C41+C35+C30+C24+C18</f>
        <v>368573386</v>
      </c>
      <c r="D95" s="147">
        <f>+D93+D90+D59+D50+D47+D44+D41+D35+D30+D24+D18</f>
        <v>389521494</v>
      </c>
      <c r="E95" s="147">
        <f>+D95-C95</f>
        <v>20948108</v>
      </c>
      <c r="F95" s="148">
        <f>IF(C95=0,0,E95/C95)</f>
        <v>5.6835650092217999E-2</v>
      </c>
      <c r="G95" s="155"/>
    </row>
    <row r="96" spans="1:7" ht="15.75" customHeight="1" x14ac:dyDescent="0.25">
      <c r="A96" s="153"/>
      <c r="B96" s="154"/>
      <c r="C96" s="146"/>
      <c r="D96" s="146"/>
      <c r="E96" s="146"/>
      <c r="F96" s="156"/>
      <c r="G96" s="124"/>
    </row>
    <row r="97" spans="1:7" ht="15.75" customHeight="1" x14ac:dyDescent="0.25">
      <c r="A97" s="153"/>
      <c r="B97" s="157" t="s">
        <v>234</v>
      </c>
      <c r="C97" s="146"/>
      <c r="D97" s="146"/>
      <c r="E97" s="146"/>
      <c r="F97" s="156"/>
      <c r="G97" s="124"/>
    </row>
    <row r="98" spans="1:7" ht="15.75" customHeight="1" x14ac:dyDescent="0.25">
      <c r="A98" s="153"/>
      <c r="B98" s="157"/>
      <c r="C98" s="146"/>
      <c r="D98" s="146"/>
      <c r="E98" s="146"/>
      <c r="F98" s="156"/>
      <c r="G98" s="124"/>
    </row>
    <row r="99" spans="1:7" ht="15.75" customHeight="1" x14ac:dyDescent="0.25">
      <c r="A99" s="153"/>
      <c r="B99" s="157"/>
      <c r="C99" s="146"/>
      <c r="D99" s="146"/>
      <c r="E99" s="146"/>
      <c r="F99" s="156"/>
      <c r="G99" s="124"/>
    </row>
    <row r="100" spans="1:7" ht="15.75" customHeight="1" x14ac:dyDescent="0.25">
      <c r="A100" s="158" t="s">
        <v>44</v>
      </c>
      <c r="B100" s="142" t="s">
        <v>235</v>
      </c>
      <c r="C100" s="143"/>
      <c r="D100" s="143"/>
      <c r="E100" s="159"/>
      <c r="F100" s="160"/>
      <c r="G100" s="155"/>
    </row>
    <row r="101" spans="1:7" ht="15.75" customHeight="1" x14ac:dyDescent="0.25">
      <c r="A101" s="141"/>
      <c r="B101" s="142"/>
      <c r="C101" s="143"/>
      <c r="D101" s="143"/>
      <c r="E101" s="159"/>
      <c r="F101" s="160"/>
      <c r="G101" s="155"/>
    </row>
    <row r="102" spans="1:7" ht="15.75" customHeight="1" x14ac:dyDescent="0.25">
      <c r="A102" s="144" t="s">
        <v>110</v>
      </c>
      <c r="B102" s="145" t="s">
        <v>236</v>
      </c>
      <c r="C102" s="146"/>
      <c r="D102" s="146"/>
      <c r="E102" s="147"/>
      <c r="F102" s="160"/>
      <c r="G102" s="155"/>
    </row>
    <row r="103" spans="1:7" ht="15" customHeight="1" x14ac:dyDescent="0.2">
      <c r="A103" s="141">
        <v>1</v>
      </c>
      <c r="B103" s="161" t="s">
        <v>237</v>
      </c>
      <c r="C103" s="146">
        <v>18022465</v>
      </c>
      <c r="D103" s="146">
        <v>15370808</v>
      </c>
      <c r="E103" s="146">
        <f t="shared" ref="E103:E121" si="4">D103-C103</f>
        <v>-2651657</v>
      </c>
      <c r="F103" s="150">
        <f t="shared" ref="F103:F121" si="5">IF(C103=0,0,E103/C103)</f>
        <v>-0.14713065055196389</v>
      </c>
      <c r="G103" s="155"/>
    </row>
    <row r="104" spans="1:7" ht="15" customHeight="1" x14ac:dyDescent="0.2">
      <c r="A104" s="141">
        <v>2</v>
      </c>
      <c r="B104" s="161" t="s">
        <v>238</v>
      </c>
      <c r="C104" s="146">
        <v>1913019</v>
      </c>
      <c r="D104" s="146">
        <v>2559171</v>
      </c>
      <c r="E104" s="146">
        <f t="shared" si="4"/>
        <v>646152</v>
      </c>
      <c r="F104" s="150">
        <f t="shared" si="5"/>
        <v>0.33776559459158534</v>
      </c>
      <c r="G104" s="155"/>
    </row>
    <row r="105" spans="1:7" ht="15" customHeight="1" x14ac:dyDescent="0.2">
      <c r="A105" s="141">
        <v>3</v>
      </c>
      <c r="B105" s="161" t="s">
        <v>239</v>
      </c>
      <c r="C105" s="146">
        <v>4284990</v>
      </c>
      <c r="D105" s="146">
        <v>4708127</v>
      </c>
      <c r="E105" s="146">
        <f t="shared" si="4"/>
        <v>423137</v>
      </c>
      <c r="F105" s="150">
        <f t="shared" si="5"/>
        <v>9.8748655189393672E-2</v>
      </c>
      <c r="G105" s="155"/>
    </row>
    <row r="106" spans="1:7" ht="15" customHeight="1" x14ac:dyDescent="0.2">
      <c r="A106" s="141">
        <v>4</v>
      </c>
      <c r="B106" s="161" t="s">
        <v>240</v>
      </c>
      <c r="C106" s="146">
        <v>1752704</v>
      </c>
      <c r="D106" s="146">
        <v>1830899</v>
      </c>
      <c r="E106" s="146">
        <f t="shared" si="4"/>
        <v>78195</v>
      </c>
      <c r="F106" s="150">
        <f t="shared" si="5"/>
        <v>4.4613922259548675E-2</v>
      </c>
      <c r="G106" s="155"/>
    </row>
    <row r="107" spans="1:7" ht="15" customHeight="1" x14ac:dyDescent="0.2">
      <c r="A107" s="141">
        <v>5</v>
      </c>
      <c r="B107" s="161" t="s">
        <v>241</v>
      </c>
      <c r="C107" s="146">
        <v>25064963</v>
      </c>
      <c r="D107" s="146">
        <v>20931807</v>
      </c>
      <c r="E107" s="146">
        <f t="shared" si="4"/>
        <v>-4133156</v>
      </c>
      <c r="F107" s="150">
        <f t="shared" si="5"/>
        <v>-0.16489774989893263</v>
      </c>
      <c r="G107" s="155"/>
    </row>
    <row r="108" spans="1:7" ht="15" customHeight="1" x14ac:dyDescent="0.2">
      <c r="A108" s="141">
        <v>6</v>
      </c>
      <c r="B108" s="161" t="s">
        <v>242</v>
      </c>
      <c r="C108" s="146">
        <v>1488005</v>
      </c>
      <c r="D108" s="146">
        <v>1402904</v>
      </c>
      <c r="E108" s="146">
        <f t="shared" si="4"/>
        <v>-85101</v>
      </c>
      <c r="F108" s="150">
        <f t="shared" si="5"/>
        <v>-5.7191340082862627E-2</v>
      </c>
      <c r="G108" s="155"/>
    </row>
    <row r="109" spans="1:7" ht="15" customHeight="1" x14ac:dyDescent="0.2">
      <c r="A109" s="141">
        <v>7</v>
      </c>
      <c r="B109" s="161" t="s">
        <v>243</v>
      </c>
      <c r="C109" s="146">
        <v>47045682</v>
      </c>
      <c r="D109" s="146">
        <v>40830970</v>
      </c>
      <c r="E109" s="146">
        <f t="shared" si="4"/>
        <v>-6214712</v>
      </c>
      <c r="F109" s="150">
        <f t="shared" si="5"/>
        <v>-0.13209951978164541</v>
      </c>
      <c r="G109" s="155"/>
    </row>
    <row r="110" spans="1:7" ht="15" customHeight="1" x14ac:dyDescent="0.2">
      <c r="A110" s="141">
        <v>8</v>
      </c>
      <c r="B110" s="161" t="s">
        <v>244</v>
      </c>
      <c r="C110" s="146">
        <v>2394514</v>
      </c>
      <c r="D110" s="146">
        <v>3199808</v>
      </c>
      <c r="E110" s="146">
        <f t="shared" si="4"/>
        <v>805294</v>
      </c>
      <c r="F110" s="150">
        <f t="shared" si="5"/>
        <v>0.33630791049874836</v>
      </c>
      <c r="G110" s="155"/>
    </row>
    <row r="111" spans="1:7" ht="15" customHeight="1" x14ac:dyDescent="0.2">
      <c r="A111" s="141">
        <v>9</v>
      </c>
      <c r="B111" s="161" t="s">
        <v>245</v>
      </c>
      <c r="C111" s="146">
        <v>2382590</v>
      </c>
      <c r="D111" s="146">
        <v>1731179</v>
      </c>
      <c r="E111" s="146">
        <f t="shared" si="4"/>
        <v>-651411</v>
      </c>
      <c r="F111" s="150">
        <f t="shared" si="5"/>
        <v>-0.27340457233514787</v>
      </c>
      <c r="G111" s="155"/>
    </row>
    <row r="112" spans="1:7" ht="15" customHeight="1" x14ac:dyDescent="0.2">
      <c r="A112" s="141">
        <v>10</v>
      </c>
      <c r="B112" s="161" t="s">
        <v>246</v>
      </c>
      <c r="C112" s="146">
        <v>5245499</v>
      </c>
      <c r="D112" s="146">
        <v>5320310</v>
      </c>
      <c r="E112" s="146">
        <f t="shared" si="4"/>
        <v>74811</v>
      </c>
      <c r="F112" s="150">
        <f t="shared" si="5"/>
        <v>1.4261941523580502E-2</v>
      </c>
      <c r="G112" s="155"/>
    </row>
    <row r="113" spans="1:7" ht="15" customHeight="1" x14ac:dyDescent="0.2">
      <c r="A113" s="141">
        <v>11</v>
      </c>
      <c r="B113" s="161" t="s">
        <v>247</v>
      </c>
      <c r="C113" s="146">
        <v>5872077</v>
      </c>
      <c r="D113" s="146">
        <v>6212287</v>
      </c>
      <c r="E113" s="146">
        <f t="shared" si="4"/>
        <v>340210</v>
      </c>
      <c r="F113" s="150">
        <f t="shared" si="5"/>
        <v>5.7936910568441115E-2</v>
      </c>
      <c r="G113" s="155"/>
    </row>
    <row r="114" spans="1:7" ht="15" customHeight="1" x14ac:dyDescent="0.2">
      <c r="A114" s="141">
        <v>12</v>
      </c>
      <c r="B114" s="161" t="s">
        <v>248</v>
      </c>
      <c r="C114" s="146">
        <v>1573267</v>
      </c>
      <c r="D114" s="146">
        <v>1580173</v>
      </c>
      <c r="E114" s="146">
        <f t="shared" si="4"/>
        <v>6906</v>
      </c>
      <c r="F114" s="150">
        <f t="shared" si="5"/>
        <v>4.389591849317376E-3</v>
      </c>
      <c r="G114" s="155"/>
    </row>
    <row r="115" spans="1:7" ht="15" customHeight="1" x14ac:dyDescent="0.2">
      <c r="A115" s="141">
        <v>13</v>
      </c>
      <c r="B115" s="161" t="s">
        <v>249</v>
      </c>
      <c r="C115" s="146">
        <v>14538279</v>
      </c>
      <c r="D115" s="146">
        <v>16828637</v>
      </c>
      <c r="E115" s="146">
        <f t="shared" si="4"/>
        <v>2290358</v>
      </c>
      <c r="F115" s="150">
        <f t="shared" si="5"/>
        <v>0.15753982985193776</v>
      </c>
      <c r="G115" s="155"/>
    </row>
    <row r="116" spans="1:7" ht="15" customHeight="1" x14ac:dyDescent="0.2">
      <c r="A116" s="141">
        <v>14</v>
      </c>
      <c r="B116" s="161" t="s">
        <v>250</v>
      </c>
      <c r="C116" s="146">
        <v>1654708</v>
      </c>
      <c r="D116" s="146">
        <v>1735274</v>
      </c>
      <c r="E116" s="146">
        <f t="shared" si="4"/>
        <v>80566</v>
      </c>
      <c r="F116" s="150">
        <f t="shared" si="5"/>
        <v>4.8688952975389013E-2</v>
      </c>
      <c r="G116" s="155"/>
    </row>
    <row r="117" spans="1:7" ht="15" customHeight="1" x14ac:dyDescent="0.2">
      <c r="A117" s="141">
        <v>15</v>
      </c>
      <c r="B117" s="161" t="s">
        <v>207</v>
      </c>
      <c r="C117" s="146">
        <v>2082273</v>
      </c>
      <c r="D117" s="146">
        <v>2808343</v>
      </c>
      <c r="E117" s="146">
        <f t="shared" si="4"/>
        <v>726070</v>
      </c>
      <c r="F117" s="150">
        <f t="shared" si="5"/>
        <v>0.34869106980688891</v>
      </c>
      <c r="G117" s="155"/>
    </row>
    <row r="118" spans="1:7" ht="15" customHeight="1" x14ac:dyDescent="0.2">
      <c r="A118" s="141">
        <v>16</v>
      </c>
      <c r="B118" s="161" t="s">
        <v>251</v>
      </c>
      <c r="C118" s="146">
        <v>1815230</v>
      </c>
      <c r="D118" s="146">
        <v>1952457</v>
      </c>
      <c r="E118" s="146">
        <f t="shared" si="4"/>
        <v>137227</v>
      </c>
      <c r="F118" s="150">
        <f t="shared" si="5"/>
        <v>7.5597582675473632E-2</v>
      </c>
      <c r="G118" s="155"/>
    </row>
    <row r="119" spans="1:7" ht="15" customHeight="1" x14ac:dyDescent="0.2">
      <c r="A119" s="141">
        <v>17</v>
      </c>
      <c r="B119" s="161" t="s">
        <v>252</v>
      </c>
      <c r="C119" s="146">
        <v>16729471</v>
      </c>
      <c r="D119" s="146">
        <v>16882025</v>
      </c>
      <c r="E119" s="146">
        <f t="shared" si="4"/>
        <v>152554</v>
      </c>
      <c r="F119" s="150">
        <f t="shared" si="5"/>
        <v>9.118877697926013E-3</v>
      </c>
      <c r="G119" s="155"/>
    </row>
    <row r="120" spans="1:7" ht="15" customHeight="1" x14ac:dyDescent="0.2">
      <c r="A120" s="141">
        <v>18</v>
      </c>
      <c r="B120" s="161" t="s">
        <v>253</v>
      </c>
      <c r="C120" s="146">
        <v>4437302</v>
      </c>
      <c r="D120" s="146">
        <v>5570595</v>
      </c>
      <c r="E120" s="146">
        <f t="shared" si="4"/>
        <v>1133293</v>
      </c>
      <c r="F120" s="150">
        <f t="shared" si="5"/>
        <v>0.25540136776807165</v>
      </c>
      <c r="G120" s="155"/>
    </row>
    <row r="121" spans="1:7" ht="15.75" customHeight="1" x14ac:dyDescent="0.25">
      <c r="A121" s="141"/>
      <c r="B121" s="154" t="s">
        <v>254</v>
      </c>
      <c r="C121" s="147">
        <f>SUM(C103:C120)</f>
        <v>158297038</v>
      </c>
      <c r="D121" s="147">
        <f>SUM(D103:D120)</f>
        <v>151455774</v>
      </c>
      <c r="E121" s="147">
        <f t="shared" si="4"/>
        <v>-6841264</v>
      </c>
      <c r="F121" s="148">
        <f t="shared" si="5"/>
        <v>-4.3217890154078564E-2</v>
      </c>
      <c r="G121" s="155"/>
    </row>
    <row r="122" spans="1:7" ht="15.75" customHeight="1" x14ac:dyDescent="0.25">
      <c r="A122" s="141"/>
      <c r="B122" s="162"/>
      <c r="C122" s="146"/>
      <c r="D122" s="146"/>
      <c r="E122" s="147"/>
      <c r="F122" s="160"/>
      <c r="G122" s="155"/>
    </row>
    <row r="123" spans="1:7" ht="15.75" customHeight="1" x14ac:dyDescent="0.25">
      <c r="A123" s="144" t="s">
        <v>124</v>
      </c>
      <c r="B123" s="145" t="s">
        <v>255</v>
      </c>
      <c r="C123" s="146"/>
      <c r="D123" s="146"/>
      <c r="E123" s="147"/>
      <c r="F123" s="160"/>
      <c r="G123" s="155"/>
    </row>
    <row r="124" spans="1:7" ht="15" customHeight="1" x14ac:dyDescent="0.2">
      <c r="A124" s="141">
        <v>1</v>
      </c>
      <c r="B124" s="161" t="s">
        <v>256</v>
      </c>
      <c r="C124" s="146">
        <v>15181563</v>
      </c>
      <c r="D124" s="146">
        <v>18680196</v>
      </c>
      <c r="E124" s="146">
        <f t="shared" ref="E124:E130" si="6">D124-C124</f>
        <v>3498633</v>
      </c>
      <c r="F124" s="150">
        <f t="shared" ref="F124:F130" si="7">IF(C124=0,0,E124/C124)</f>
        <v>0.23045275377772367</v>
      </c>
      <c r="G124" s="155"/>
    </row>
    <row r="125" spans="1:7" ht="15" customHeight="1" x14ac:dyDescent="0.2">
      <c r="A125" s="141">
        <v>2</v>
      </c>
      <c r="B125" s="161" t="s">
        <v>257</v>
      </c>
      <c r="C125" s="146">
        <v>5621208</v>
      </c>
      <c r="D125" s="146">
        <v>6165989</v>
      </c>
      <c r="E125" s="146">
        <f t="shared" si="6"/>
        <v>544781</v>
      </c>
      <c r="F125" s="150">
        <f t="shared" si="7"/>
        <v>9.6915289382638034E-2</v>
      </c>
      <c r="G125" s="155"/>
    </row>
    <row r="126" spans="1:7" ht="15" customHeight="1" x14ac:dyDescent="0.2">
      <c r="A126" s="141">
        <v>3</v>
      </c>
      <c r="B126" s="161" t="s">
        <v>258</v>
      </c>
      <c r="C126" s="146">
        <v>2688477</v>
      </c>
      <c r="D126" s="146">
        <v>2870523</v>
      </c>
      <c r="E126" s="146">
        <f t="shared" si="6"/>
        <v>182046</v>
      </c>
      <c r="F126" s="150">
        <f t="shared" si="7"/>
        <v>6.7713430317611054E-2</v>
      </c>
      <c r="G126" s="155"/>
    </row>
    <row r="127" spans="1:7" ht="15" customHeight="1" x14ac:dyDescent="0.2">
      <c r="A127" s="141">
        <v>4</v>
      </c>
      <c r="B127" s="161" t="s">
        <v>259</v>
      </c>
      <c r="C127" s="146">
        <v>3678717</v>
      </c>
      <c r="D127" s="146">
        <v>3406834</v>
      </c>
      <c r="E127" s="146">
        <f t="shared" si="6"/>
        <v>-271883</v>
      </c>
      <c r="F127" s="150">
        <f t="shared" si="7"/>
        <v>-7.3907017038820869E-2</v>
      </c>
      <c r="G127" s="155"/>
    </row>
    <row r="128" spans="1:7" ht="15" customHeight="1" x14ac:dyDescent="0.2">
      <c r="A128" s="141">
        <v>5</v>
      </c>
      <c r="B128" s="161" t="s">
        <v>260</v>
      </c>
      <c r="C128" s="146">
        <v>2775863</v>
      </c>
      <c r="D128" s="146">
        <v>3216044</v>
      </c>
      <c r="E128" s="146">
        <f t="shared" si="6"/>
        <v>440181</v>
      </c>
      <c r="F128" s="150">
        <f t="shared" si="7"/>
        <v>0.15857446855266272</v>
      </c>
      <c r="G128" s="155"/>
    </row>
    <row r="129" spans="1:7" ht="15" customHeight="1" x14ac:dyDescent="0.2">
      <c r="A129" s="141">
        <v>6</v>
      </c>
      <c r="B129" s="161" t="s">
        <v>261</v>
      </c>
      <c r="C129" s="146">
        <v>8304297</v>
      </c>
      <c r="D129" s="146">
        <v>9998205</v>
      </c>
      <c r="E129" s="146">
        <f t="shared" si="6"/>
        <v>1693908</v>
      </c>
      <c r="F129" s="150">
        <f t="shared" si="7"/>
        <v>0.20397969870297269</v>
      </c>
      <c r="G129" s="155"/>
    </row>
    <row r="130" spans="1:7" ht="15.75" customHeight="1" x14ac:dyDescent="0.25">
      <c r="A130" s="141"/>
      <c r="B130" s="154" t="s">
        <v>262</v>
      </c>
      <c r="C130" s="147">
        <f>SUM(C124:C129)</f>
        <v>38250125</v>
      </c>
      <c r="D130" s="147">
        <f>SUM(D124:D129)</f>
        <v>44337791</v>
      </c>
      <c r="E130" s="147">
        <f t="shared" si="6"/>
        <v>6087666</v>
      </c>
      <c r="F130" s="148">
        <f t="shared" si="7"/>
        <v>0.15915414655507662</v>
      </c>
      <c r="G130" s="155"/>
    </row>
    <row r="131" spans="1:7" ht="15.75" customHeight="1" x14ac:dyDescent="0.25">
      <c r="A131" s="141"/>
      <c r="B131" s="162"/>
      <c r="C131" s="146"/>
      <c r="D131" s="146"/>
      <c r="E131" s="147"/>
      <c r="F131" s="160"/>
      <c r="G131" s="155"/>
    </row>
    <row r="132" spans="1:7" ht="15.75" customHeight="1" x14ac:dyDescent="0.25">
      <c r="A132" s="144" t="s">
        <v>141</v>
      </c>
      <c r="B132" s="145" t="s">
        <v>263</v>
      </c>
      <c r="C132" s="146"/>
      <c r="D132" s="146"/>
      <c r="E132" s="147"/>
      <c r="F132" s="160"/>
      <c r="G132" s="155"/>
    </row>
    <row r="133" spans="1:7" ht="15" customHeight="1" x14ac:dyDescent="0.2">
      <c r="A133" s="141">
        <v>1</v>
      </c>
      <c r="B133" s="161" t="s">
        <v>264</v>
      </c>
      <c r="C133" s="146">
        <v>21748098</v>
      </c>
      <c r="D133" s="146">
        <v>20632893</v>
      </c>
      <c r="E133" s="146">
        <f t="shared" ref="E133:E167" si="8">D133-C133</f>
        <v>-1115205</v>
      </c>
      <c r="F133" s="150">
        <f t="shared" ref="F133:F167" si="9">IF(C133=0,0,E133/C133)</f>
        <v>-5.1278277300387372E-2</v>
      </c>
      <c r="G133" s="155"/>
    </row>
    <row r="134" spans="1:7" ht="15" customHeight="1" x14ac:dyDescent="0.2">
      <c r="A134" s="141">
        <v>2</v>
      </c>
      <c r="B134" s="161" t="s">
        <v>265</v>
      </c>
      <c r="C134" s="146">
        <v>2050310</v>
      </c>
      <c r="D134" s="146">
        <v>1992227</v>
      </c>
      <c r="E134" s="146">
        <f t="shared" si="8"/>
        <v>-58083</v>
      </c>
      <c r="F134" s="150">
        <f t="shared" si="9"/>
        <v>-2.8328886851256639E-2</v>
      </c>
      <c r="G134" s="155"/>
    </row>
    <row r="135" spans="1:7" ht="15" customHeight="1" x14ac:dyDescent="0.2">
      <c r="A135" s="141">
        <v>3</v>
      </c>
      <c r="B135" s="161" t="s">
        <v>266</v>
      </c>
      <c r="C135" s="146">
        <v>1393413</v>
      </c>
      <c r="D135" s="146">
        <v>1326536</v>
      </c>
      <c r="E135" s="146">
        <f t="shared" si="8"/>
        <v>-66877</v>
      </c>
      <c r="F135" s="150">
        <f t="shared" si="9"/>
        <v>-4.7995102672359166E-2</v>
      </c>
      <c r="G135" s="155"/>
    </row>
    <row r="136" spans="1:7" ht="15" customHeight="1" x14ac:dyDescent="0.2">
      <c r="A136" s="141">
        <v>4</v>
      </c>
      <c r="B136" s="161" t="s">
        <v>267</v>
      </c>
      <c r="C136" s="146">
        <v>3987476</v>
      </c>
      <c r="D136" s="146">
        <v>4325273</v>
      </c>
      <c r="E136" s="146">
        <f t="shared" si="8"/>
        <v>337797</v>
      </c>
      <c r="F136" s="150">
        <f t="shared" si="9"/>
        <v>8.4714491071545009E-2</v>
      </c>
      <c r="G136" s="155"/>
    </row>
    <row r="137" spans="1:7" ht="15" customHeight="1" x14ac:dyDescent="0.2">
      <c r="A137" s="141">
        <v>5</v>
      </c>
      <c r="B137" s="161" t="s">
        <v>268</v>
      </c>
      <c r="C137" s="146">
        <v>10663636</v>
      </c>
      <c r="D137" s="146">
        <v>10133542</v>
      </c>
      <c r="E137" s="146">
        <f t="shared" si="8"/>
        <v>-530094</v>
      </c>
      <c r="F137" s="150">
        <f t="shared" si="9"/>
        <v>-4.9710436477764242E-2</v>
      </c>
      <c r="G137" s="155"/>
    </row>
    <row r="138" spans="1:7" ht="15" customHeight="1" x14ac:dyDescent="0.2">
      <c r="A138" s="141">
        <v>6</v>
      </c>
      <c r="B138" s="161" t="s">
        <v>269</v>
      </c>
      <c r="C138" s="146">
        <v>1368353</v>
      </c>
      <c r="D138" s="146">
        <v>1486425</v>
      </c>
      <c r="E138" s="146">
        <f t="shared" si="8"/>
        <v>118072</v>
      </c>
      <c r="F138" s="150">
        <f t="shared" si="9"/>
        <v>8.6287675767875688E-2</v>
      </c>
      <c r="G138" s="155"/>
    </row>
    <row r="139" spans="1:7" ht="15" customHeight="1" x14ac:dyDescent="0.2">
      <c r="A139" s="141">
        <v>7</v>
      </c>
      <c r="B139" s="161" t="s">
        <v>270</v>
      </c>
      <c r="C139" s="146">
        <v>3250288</v>
      </c>
      <c r="D139" s="146">
        <v>3250175</v>
      </c>
      <c r="E139" s="146">
        <f t="shared" si="8"/>
        <v>-113</v>
      </c>
      <c r="F139" s="150">
        <f t="shared" si="9"/>
        <v>-3.4766149953481048E-5</v>
      </c>
      <c r="G139" s="155"/>
    </row>
    <row r="140" spans="1:7" ht="15" customHeight="1" x14ac:dyDescent="0.2">
      <c r="A140" s="141">
        <v>8</v>
      </c>
      <c r="B140" s="161" t="s">
        <v>271</v>
      </c>
      <c r="C140" s="146">
        <v>1429289</v>
      </c>
      <c r="D140" s="146">
        <v>1235643</v>
      </c>
      <c r="E140" s="146">
        <f t="shared" si="8"/>
        <v>-193646</v>
      </c>
      <c r="F140" s="150">
        <f t="shared" si="9"/>
        <v>-0.13548414631330682</v>
      </c>
      <c r="G140" s="155"/>
    </row>
    <row r="141" spans="1:7" ht="15" customHeight="1" x14ac:dyDescent="0.2">
      <c r="A141" s="141">
        <v>9</v>
      </c>
      <c r="B141" s="161" t="s">
        <v>272</v>
      </c>
      <c r="C141" s="146">
        <v>3439333</v>
      </c>
      <c r="D141" s="146">
        <v>3514579</v>
      </c>
      <c r="E141" s="146">
        <f t="shared" si="8"/>
        <v>75246</v>
      </c>
      <c r="F141" s="150">
        <f t="shared" si="9"/>
        <v>2.1878079267113711E-2</v>
      </c>
      <c r="G141" s="155"/>
    </row>
    <row r="142" spans="1:7" ht="15" customHeight="1" x14ac:dyDescent="0.2">
      <c r="A142" s="141">
        <v>10</v>
      </c>
      <c r="B142" s="161" t="s">
        <v>273</v>
      </c>
      <c r="C142" s="146">
        <v>14081378</v>
      </c>
      <c r="D142" s="146">
        <v>14113342</v>
      </c>
      <c r="E142" s="146">
        <f t="shared" si="8"/>
        <v>31964</v>
      </c>
      <c r="F142" s="150">
        <f t="shared" si="9"/>
        <v>2.2699482962533924E-3</v>
      </c>
      <c r="G142" s="155"/>
    </row>
    <row r="143" spans="1:7" ht="15" customHeight="1" x14ac:dyDescent="0.2">
      <c r="A143" s="141">
        <v>11</v>
      </c>
      <c r="B143" s="161" t="s">
        <v>274</v>
      </c>
      <c r="C143" s="146">
        <v>2735428</v>
      </c>
      <c r="D143" s="146">
        <v>2234966</v>
      </c>
      <c r="E143" s="146">
        <f t="shared" si="8"/>
        <v>-500462</v>
      </c>
      <c r="F143" s="150">
        <f t="shared" si="9"/>
        <v>-0.18295564716015189</v>
      </c>
      <c r="G143" s="155"/>
    </row>
    <row r="144" spans="1:7" ht="15" customHeight="1" x14ac:dyDescent="0.2">
      <c r="A144" s="141">
        <v>12</v>
      </c>
      <c r="B144" s="161" t="s">
        <v>275</v>
      </c>
      <c r="C144" s="146">
        <v>1957800</v>
      </c>
      <c r="D144" s="146">
        <v>2032699</v>
      </c>
      <c r="E144" s="146">
        <f t="shared" si="8"/>
        <v>74899</v>
      </c>
      <c r="F144" s="150">
        <f t="shared" si="9"/>
        <v>3.8256716722852184E-2</v>
      </c>
      <c r="G144" s="155"/>
    </row>
    <row r="145" spans="1:7" ht="15" customHeight="1" x14ac:dyDescent="0.2">
      <c r="A145" s="141">
        <v>13</v>
      </c>
      <c r="B145" s="161" t="s">
        <v>276</v>
      </c>
      <c r="C145" s="146">
        <v>0</v>
      </c>
      <c r="D145" s="146">
        <v>0</v>
      </c>
      <c r="E145" s="146">
        <f t="shared" si="8"/>
        <v>0</v>
      </c>
      <c r="F145" s="150">
        <f t="shared" si="9"/>
        <v>0</v>
      </c>
      <c r="G145" s="155"/>
    </row>
    <row r="146" spans="1:7" ht="15" customHeight="1" x14ac:dyDescent="0.2">
      <c r="A146" s="141">
        <v>14</v>
      </c>
      <c r="B146" s="161" t="s">
        <v>277</v>
      </c>
      <c r="C146" s="146">
        <v>2687043</v>
      </c>
      <c r="D146" s="146">
        <v>2386016</v>
      </c>
      <c r="E146" s="146">
        <f t="shared" si="8"/>
        <v>-301027</v>
      </c>
      <c r="F146" s="150">
        <f t="shared" si="9"/>
        <v>-0.11202909666871724</v>
      </c>
      <c r="G146" s="155"/>
    </row>
    <row r="147" spans="1:7" ht="15" customHeight="1" x14ac:dyDescent="0.2">
      <c r="A147" s="141">
        <v>15</v>
      </c>
      <c r="B147" s="161" t="s">
        <v>278</v>
      </c>
      <c r="C147" s="146">
        <v>0</v>
      </c>
      <c r="D147" s="146">
        <v>0</v>
      </c>
      <c r="E147" s="146">
        <f t="shared" si="8"/>
        <v>0</v>
      </c>
      <c r="F147" s="150">
        <f t="shared" si="9"/>
        <v>0</v>
      </c>
      <c r="G147" s="155"/>
    </row>
    <row r="148" spans="1:7" ht="15" customHeight="1" x14ac:dyDescent="0.2">
      <c r="A148" s="141">
        <v>16</v>
      </c>
      <c r="B148" s="161" t="s">
        <v>279</v>
      </c>
      <c r="C148" s="146">
        <v>0</v>
      </c>
      <c r="D148" s="146">
        <v>0</v>
      </c>
      <c r="E148" s="146">
        <f t="shared" si="8"/>
        <v>0</v>
      </c>
      <c r="F148" s="150">
        <f t="shared" si="9"/>
        <v>0</v>
      </c>
      <c r="G148" s="155"/>
    </row>
    <row r="149" spans="1:7" ht="15" customHeight="1" x14ac:dyDescent="0.2">
      <c r="A149" s="141">
        <v>17</v>
      </c>
      <c r="B149" s="161" t="s">
        <v>280</v>
      </c>
      <c r="C149" s="146">
        <v>0</v>
      </c>
      <c r="D149" s="146">
        <v>0</v>
      </c>
      <c r="E149" s="146">
        <f t="shared" si="8"/>
        <v>0</v>
      </c>
      <c r="F149" s="150">
        <f t="shared" si="9"/>
        <v>0</v>
      </c>
      <c r="G149" s="155"/>
    </row>
    <row r="150" spans="1:7" ht="15" customHeight="1" x14ac:dyDescent="0.2">
      <c r="A150" s="141">
        <v>18</v>
      </c>
      <c r="B150" s="161" t="s">
        <v>281</v>
      </c>
      <c r="C150" s="146">
        <v>2760002</v>
      </c>
      <c r="D150" s="146">
        <v>2943366</v>
      </c>
      <c r="E150" s="146">
        <f t="shared" si="8"/>
        <v>183364</v>
      </c>
      <c r="F150" s="150">
        <f t="shared" si="9"/>
        <v>6.6436183741895832E-2</v>
      </c>
      <c r="G150" s="155"/>
    </row>
    <row r="151" spans="1:7" ht="15" customHeight="1" x14ac:dyDescent="0.2">
      <c r="A151" s="141">
        <v>19</v>
      </c>
      <c r="B151" s="161" t="s">
        <v>282</v>
      </c>
      <c r="C151" s="146">
        <v>359736</v>
      </c>
      <c r="D151" s="146">
        <v>355224</v>
      </c>
      <c r="E151" s="146">
        <f t="shared" si="8"/>
        <v>-4512</v>
      </c>
      <c r="F151" s="150">
        <f t="shared" si="9"/>
        <v>-1.2542531189538995E-2</v>
      </c>
      <c r="G151" s="155"/>
    </row>
    <row r="152" spans="1:7" ht="15" customHeight="1" x14ac:dyDescent="0.2">
      <c r="A152" s="141">
        <v>20</v>
      </c>
      <c r="B152" s="161" t="s">
        <v>283</v>
      </c>
      <c r="C152" s="146">
        <v>611808</v>
      </c>
      <c r="D152" s="146">
        <v>600933</v>
      </c>
      <c r="E152" s="146">
        <f t="shared" si="8"/>
        <v>-10875</v>
      </c>
      <c r="F152" s="150">
        <f t="shared" si="9"/>
        <v>-1.777518437156755E-2</v>
      </c>
      <c r="G152" s="155"/>
    </row>
    <row r="153" spans="1:7" ht="15" customHeight="1" x14ac:dyDescent="0.2">
      <c r="A153" s="141">
        <v>21</v>
      </c>
      <c r="B153" s="161" t="s">
        <v>284</v>
      </c>
      <c r="C153" s="146">
        <v>0</v>
      </c>
      <c r="D153" s="146">
        <v>0</v>
      </c>
      <c r="E153" s="146">
        <f t="shared" si="8"/>
        <v>0</v>
      </c>
      <c r="F153" s="150">
        <f t="shared" si="9"/>
        <v>0</v>
      </c>
      <c r="G153" s="155"/>
    </row>
    <row r="154" spans="1:7" ht="15" customHeight="1" x14ac:dyDescent="0.2">
      <c r="A154" s="141">
        <v>22</v>
      </c>
      <c r="B154" s="161" t="s">
        <v>285</v>
      </c>
      <c r="C154" s="146">
        <v>3386492</v>
      </c>
      <c r="D154" s="146">
        <v>3792706</v>
      </c>
      <c r="E154" s="146">
        <f t="shared" si="8"/>
        <v>406214</v>
      </c>
      <c r="F154" s="150">
        <f t="shared" si="9"/>
        <v>0.11995126520304787</v>
      </c>
      <c r="G154" s="155"/>
    </row>
    <row r="155" spans="1:7" ht="15" customHeight="1" x14ac:dyDescent="0.2">
      <c r="A155" s="141">
        <v>23</v>
      </c>
      <c r="B155" s="161" t="s">
        <v>286</v>
      </c>
      <c r="C155" s="146">
        <v>3108689</v>
      </c>
      <c r="D155" s="146">
        <v>3086687</v>
      </c>
      <c r="E155" s="146">
        <f t="shared" si="8"/>
        <v>-22002</v>
      </c>
      <c r="F155" s="150">
        <f t="shared" si="9"/>
        <v>-7.0775815786011404E-3</v>
      </c>
      <c r="G155" s="155"/>
    </row>
    <row r="156" spans="1:7" ht="15" customHeight="1" x14ac:dyDescent="0.2">
      <c r="A156" s="141">
        <v>24</v>
      </c>
      <c r="B156" s="161" t="s">
        <v>287</v>
      </c>
      <c r="C156" s="146">
        <v>20437639</v>
      </c>
      <c r="D156" s="146">
        <v>21261153</v>
      </c>
      <c r="E156" s="146">
        <f t="shared" si="8"/>
        <v>823514</v>
      </c>
      <c r="F156" s="150">
        <f t="shared" si="9"/>
        <v>4.0293988948527766E-2</v>
      </c>
      <c r="G156" s="155"/>
    </row>
    <row r="157" spans="1:7" ht="15" customHeight="1" x14ac:dyDescent="0.2">
      <c r="A157" s="141">
        <v>25</v>
      </c>
      <c r="B157" s="161" t="s">
        <v>288</v>
      </c>
      <c r="C157" s="146">
        <v>1176439</v>
      </c>
      <c r="D157" s="146">
        <v>1167093</v>
      </c>
      <c r="E157" s="146">
        <f t="shared" si="8"/>
        <v>-9346</v>
      </c>
      <c r="F157" s="150">
        <f t="shared" si="9"/>
        <v>-7.9443133048122342E-3</v>
      </c>
      <c r="G157" s="155"/>
    </row>
    <row r="158" spans="1:7" ht="15" customHeight="1" x14ac:dyDescent="0.2">
      <c r="A158" s="141">
        <v>26</v>
      </c>
      <c r="B158" s="161" t="s">
        <v>289</v>
      </c>
      <c r="C158" s="146">
        <v>0</v>
      </c>
      <c r="D158" s="146">
        <v>0</v>
      </c>
      <c r="E158" s="146">
        <f t="shared" si="8"/>
        <v>0</v>
      </c>
      <c r="F158" s="150">
        <f t="shared" si="9"/>
        <v>0</v>
      </c>
      <c r="G158" s="155"/>
    </row>
    <row r="159" spans="1:7" ht="15" customHeight="1" x14ac:dyDescent="0.2">
      <c r="A159" s="141">
        <v>27</v>
      </c>
      <c r="B159" s="161" t="s">
        <v>290</v>
      </c>
      <c r="C159" s="146">
        <v>0</v>
      </c>
      <c r="D159" s="146">
        <v>0</v>
      </c>
      <c r="E159" s="146">
        <f t="shared" si="8"/>
        <v>0</v>
      </c>
      <c r="F159" s="150">
        <f t="shared" si="9"/>
        <v>0</v>
      </c>
      <c r="G159" s="155"/>
    </row>
    <row r="160" spans="1:7" ht="15" customHeight="1" x14ac:dyDescent="0.2">
      <c r="A160" s="141">
        <v>28</v>
      </c>
      <c r="B160" s="161" t="s">
        <v>291</v>
      </c>
      <c r="C160" s="146">
        <v>3234002</v>
      </c>
      <c r="D160" s="146">
        <v>3231243</v>
      </c>
      <c r="E160" s="146">
        <f t="shared" si="8"/>
        <v>-2759</v>
      </c>
      <c r="F160" s="150">
        <f t="shared" si="9"/>
        <v>-8.5312253981290054E-4</v>
      </c>
      <c r="G160" s="155"/>
    </row>
    <row r="161" spans="1:7" ht="15" customHeight="1" x14ac:dyDescent="0.2">
      <c r="A161" s="141">
        <v>29</v>
      </c>
      <c r="B161" s="161" t="s">
        <v>292</v>
      </c>
      <c r="C161" s="146">
        <v>364962</v>
      </c>
      <c r="D161" s="146">
        <v>788913</v>
      </c>
      <c r="E161" s="146">
        <f t="shared" si="8"/>
        <v>423951</v>
      </c>
      <c r="F161" s="150">
        <f t="shared" si="9"/>
        <v>1.1616305259177668</v>
      </c>
      <c r="G161" s="155"/>
    </row>
    <row r="162" spans="1:7" ht="15" customHeight="1" x14ac:dyDescent="0.2">
      <c r="A162" s="141">
        <v>30</v>
      </c>
      <c r="B162" s="161" t="s">
        <v>293</v>
      </c>
      <c r="C162" s="146">
        <v>0</v>
      </c>
      <c r="D162" s="146">
        <v>0</v>
      </c>
      <c r="E162" s="146">
        <f t="shared" si="8"/>
        <v>0</v>
      </c>
      <c r="F162" s="150">
        <f t="shared" si="9"/>
        <v>0</v>
      </c>
      <c r="G162" s="155"/>
    </row>
    <row r="163" spans="1:7" ht="15" customHeight="1" x14ac:dyDescent="0.2">
      <c r="A163" s="141">
        <v>31</v>
      </c>
      <c r="B163" s="161" t="s">
        <v>294</v>
      </c>
      <c r="C163" s="146">
        <v>4567909</v>
      </c>
      <c r="D163" s="146">
        <v>4264791</v>
      </c>
      <c r="E163" s="146">
        <f t="shared" si="8"/>
        <v>-303118</v>
      </c>
      <c r="F163" s="150">
        <f t="shared" si="9"/>
        <v>-6.635815205600637E-2</v>
      </c>
      <c r="G163" s="155"/>
    </row>
    <row r="164" spans="1:7" ht="15" customHeight="1" x14ac:dyDescent="0.2">
      <c r="A164" s="141">
        <v>32</v>
      </c>
      <c r="B164" s="161" t="s">
        <v>295</v>
      </c>
      <c r="C164" s="146">
        <v>2019256</v>
      </c>
      <c r="D164" s="146">
        <v>2534558</v>
      </c>
      <c r="E164" s="146">
        <f t="shared" si="8"/>
        <v>515302</v>
      </c>
      <c r="F164" s="150">
        <f t="shared" si="9"/>
        <v>0.25519399224268741</v>
      </c>
      <c r="G164" s="155"/>
    </row>
    <row r="165" spans="1:7" ht="15" customHeight="1" x14ac:dyDescent="0.2">
      <c r="A165" s="141">
        <v>33</v>
      </c>
      <c r="B165" s="161" t="s">
        <v>296</v>
      </c>
      <c r="C165" s="146">
        <v>0</v>
      </c>
      <c r="D165" s="146">
        <v>0</v>
      </c>
      <c r="E165" s="146">
        <f t="shared" si="8"/>
        <v>0</v>
      </c>
      <c r="F165" s="150">
        <f t="shared" si="9"/>
        <v>0</v>
      </c>
      <c r="G165" s="155"/>
    </row>
    <row r="166" spans="1:7" ht="15" customHeight="1" x14ac:dyDescent="0.2">
      <c r="A166" s="141">
        <v>34</v>
      </c>
      <c r="B166" s="161" t="s">
        <v>297</v>
      </c>
      <c r="C166" s="146">
        <v>1527770</v>
      </c>
      <c r="D166" s="146">
        <v>1714635</v>
      </c>
      <c r="E166" s="146">
        <f t="shared" si="8"/>
        <v>186865</v>
      </c>
      <c r="F166" s="150">
        <f t="shared" si="9"/>
        <v>0.12231225904422786</v>
      </c>
      <c r="G166" s="155"/>
    </row>
    <row r="167" spans="1:7" ht="15.75" customHeight="1" x14ac:dyDescent="0.25">
      <c r="A167" s="141"/>
      <c r="B167" s="154" t="s">
        <v>298</v>
      </c>
      <c r="C167" s="147">
        <f>SUM(C133:C166)</f>
        <v>114346549</v>
      </c>
      <c r="D167" s="147">
        <f>SUM(D133:D166)</f>
        <v>114405618</v>
      </c>
      <c r="E167" s="147">
        <f t="shared" si="8"/>
        <v>59069</v>
      </c>
      <c r="F167" s="148">
        <f t="shared" si="9"/>
        <v>5.1657877318186485E-4</v>
      </c>
      <c r="G167" s="155"/>
    </row>
    <row r="168" spans="1:7" ht="15.75" customHeight="1" x14ac:dyDescent="0.25">
      <c r="A168" s="141"/>
      <c r="B168" s="162"/>
      <c r="C168" s="146"/>
      <c r="D168" s="146"/>
      <c r="E168" s="147"/>
      <c r="F168" s="160"/>
      <c r="G168" s="155"/>
    </row>
    <row r="169" spans="1:7" ht="15.75" customHeight="1" x14ac:dyDescent="0.25">
      <c r="A169" s="144" t="s">
        <v>171</v>
      </c>
      <c r="B169" s="145" t="s">
        <v>299</v>
      </c>
      <c r="C169" s="146"/>
      <c r="D169" s="146"/>
      <c r="E169" s="147"/>
      <c r="F169" s="160"/>
      <c r="G169" s="155"/>
    </row>
    <row r="170" spans="1:7" ht="15" customHeight="1" x14ac:dyDescent="0.2">
      <c r="A170" s="141">
        <v>1</v>
      </c>
      <c r="B170" s="161" t="s">
        <v>300</v>
      </c>
      <c r="C170" s="146">
        <v>21341056</v>
      </c>
      <c r="D170" s="146">
        <v>21059786</v>
      </c>
      <c r="E170" s="146">
        <f t="shared" ref="E170:E183" si="10">D170-C170</f>
        <v>-281270</v>
      </c>
      <c r="F170" s="150">
        <f t="shared" ref="F170:F183" si="11">IF(C170=0,0,E170/C170)</f>
        <v>-1.3179760176815993E-2</v>
      </c>
      <c r="G170" s="155"/>
    </row>
    <row r="171" spans="1:7" ht="15" customHeight="1" x14ac:dyDescent="0.2">
      <c r="A171" s="141">
        <v>2</v>
      </c>
      <c r="B171" s="161" t="s">
        <v>301</v>
      </c>
      <c r="C171" s="146">
        <v>8376994</v>
      </c>
      <c r="D171" s="146">
        <v>8105706</v>
      </c>
      <c r="E171" s="146">
        <f t="shared" si="10"/>
        <v>-271288</v>
      </c>
      <c r="F171" s="150">
        <f t="shared" si="11"/>
        <v>-3.2384886511796475E-2</v>
      </c>
      <c r="G171" s="155"/>
    </row>
    <row r="172" spans="1:7" ht="15" customHeight="1" x14ac:dyDescent="0.2">
      <c r="A172" s="141">
        <v>3</v>
      </c>
      <c r="B172" s="161" t="s">
        <v>302</v>
      </c>
      <c r="C172" s="146">
        <v>0</v>
      </c>
      <c r="D172" s="146">
        <v>0</v>
      </c>
      <c r="E172" s="146">
        <f t="shared" si="10"/>
        <v>0</v>
      </c>
      <c r="F172" s="150">
        <f t="shared" si="11"/>
        <v>0</v>
      </c>
      <c r="G172" s="155"/>
    </row>
    <row r="173" spans="1:7" ht="15" customHeight="1" x14ac:dyDescent="0.2">
      <c r="A173" s="141">
        <v>4</v>
      </c>
      <c r="B173" s="161" t="s">
        <v>303</v>
      </c>
      <c r="C173" s="146">
        <v>2174667</v>
      </c>
      <c r="D173" s="146">
        <v>2292567</v>
      </c>
      <c r="E173" s="146">
        <f t="shared" si="10"/>
        <v>117900</v>
      </c>
      <c r="F173" s="150">
        <f t="shared" si="11"/>
        <v>5.4215197085346861E-2</v>
      </c>
      <c r="G173" s="155"/>
    </row>
    <row r="174" spans="1:7" ht="15" customHeight="1" x14ac:dyDescent="0.2">
      <c r="A174" s="141">
        <v>5</v>
      </c>
      <c r="B174" s="161" t="s">
        <v>304</v>
      </c>
      <c r="C174" s="146">
        <v>1317875</v>
      </c>
      <c r="D174" s="146">
        <v>1305087</v>
      </c>
      <c r="E174" s="146">
        <f t="shared" si="10"/>
        <v>-12788</v>
      </c>
      <c r="F174" s="150">
        <f t="shared" si="11"/>
        <v>-9.7034999525751689E-3</v>
      </c>
      <c r="G174" s="155"/>
    </row>
    <row r="175" spans="1:7" ht="15" customHeight="1" x14ac:dyDescent="0.2">
      <c r="A175" s="141">
        <v>6</v>
      </c>
      <c r="B175" s="161" t="s">
        <v>305</v>
      </c>
      <c r="C175" s="146">
        <v>2333684</v>
      </c>
      <c r="D175" s="146">
        <v>2546549</v>
      </c>
      <c r="E175" s="146">
        <f t="shared" si="10"/>
        <v>212865</v>
      </c>
      <c r="F175" s="150">
        <f t="shared" si="11"/>
        <v>9.121414895932782E-2</v>
      </c>
      <c r="G175" s="155"/>
    </row>
    <row r="176" spans="1:7" ht="15" customHeight="1" x14ac:dyDescent="0.2">
      <c r="A176" s="141">
        <v>7</v>
      </c>
      <c r="B176" s="161" t="s">
        <v>306</v>
      </c>
      <c r="C176" s="146">
        <v>919236</v>
      </c>
      <c r="D176" s="146">
        <v>849717</v>
      </c>
      <c r="E176" s="146">
        <f t="shared" si="10"/>
        <v>-69519</v>
      </c>
      <c r="F176" s="150">
        <f t="shared" si="11"/>
        <v>-7.562693367100505E-2</v>
      </c>
      <c r="G176" s="155"/>
    </row>
    <row r="177" spans="1:7" ht="15" customHeight="1" x14ac:dyDescent="0.2">
      <c r="A177" s="141">
        <v>8</v>
      </c>
      <c r="B177" s="161" t="s">
        <v>307</v>
      </c>
      <c r="C177" s="146">
        <v>1528982</v>
      </c>
      <c r="D177" s="146">
        <v>1852066</v>
      </c>
      <c r="E177" s="146">
        <f t="shared" si="10"/>
        <v>323084</v>
      </c>
      <c r="F177" s="150">
        <f t="shared" si="11"/>
        <v>0.21130660792605799</v>
      </c>
      <c r="G177" s="155"/>
    </row>
    <row r="178" spans="1:7" ht="15" customHeight="1" x14ac:dyDescent="0.2">
      <c r="A178" s="141">
        <v>9</v>
      </c>
      <c r="B178" s="161" t="s">
        <v>308</v>
      </c>
      <c r="C178" s="146">
        <v>3209701</v>
      </c>
      <c r="D178" s="146">
        <v>3122162</v>
      </c>
      <c r="E178" s="146">
        <f t="shared" si="10"/>
        <v>-87539</v>
      </c>
      <c r="F178" s="150">
        <f t="shared" si="11"/>
        <v>-2.7273256917077323E-2</v>
      </c>
      <c r="G178" s="155"/>
    </row>
    <row r="179" spans="1:7" ht="15" customHeight="1" x14ac:dyDescent="0.2">
      <c r="A179" s="141">
        <v>10</v>
      </c>
      <c r="B179" s="161" t="s">
        <v>309</v>
      </c>
      <c r="C179" s="146">
        <v>6239020</v>
      </c>
      <c r="D179" s="146">
        <v>6275201</v>
      </c>
      <c r="E179" s="146">
        <f t="shared" si="10"/>
        <v>36181</v>
      </c>
      <c r="F179" s="150">
        <f t="shared" si="11"/>
        <v>5.799147943106449E-3</v>
      </c>
      <c r="G179" s="155"/>
    </row>
    <row r="180" spans="1:7" ht="15" customHeight="1" x14ac:dyDescent="0.2">
      <c r="A180" s="141">
        <v>11</v>
      </c>
      <c r="B180" s="161" t="s">
        <v>310</v>
      </c>
      <c r="C180" s="146">
        <v>0</v>
      </c>
      <c r="D180" s="146">
        <v>0</v>
      </c>
      <c r="E180" s="146">
        <f t="shared" si="10"/>
        <v>0</v>
      </c>
      <c r="F180" s="150">
        <f t="shared" si="11"/>
        <v>0</v>
      </c>
      <c r="G180" s="155"/>
    </row>
    <row r="181" spans="1:7" ht="15" customHeight="1" x14ac:dyDescent="0.2">
      <c r="A181" s="141">
        <v>12</v>
      </c>
      <c r="B181" s="161" t="s">
        <v>311</v>
      </c>
      <c r="C181" s="146">
        <v>4052949</v>
      </c>
      <c r="D181" s="146">
        <v>4396006</v>
      </c>
      <c r="E181" s="146">
        <f t="shared" si="10"/>
        <v>343057</v>
      </c>
      <c r="F181" s="150">
        <f t="shared" si="11"/>
        <v>8.4643798873363568E-2</v>
      </c>
      <c r="G181" s="155"/>
    </row>
    <row r="182" spans="1:7" ht="15" customHeight="1" x14ac:dyDescent="0.2">
      <c r="A182" s="141">
        <v>13</v>
      </c>
      <c r="B182" s="161" t="s">
        <v>312</v>
      </c>
      <c r="C182" s="146">
        <v>0</v>
      </c>
      <c r="D182" s="146">
        <v>0</v>
      </c>
      <c r="E182" s="146">
        <f t="shared" si="10"/>
        <v>0</v>
      </c>
      <c r="F182" s="150">
        <f t="shared" si="11"/>
        <v>0</v>
      </c>
      <c r="G182" s="155"/>
    </row>
    <row r="183" spans="1:7" ht="15.75" customHeight="1" x14ac:dyDescent="0.25">
      <c r="A183" s="141"/>
      <c r="B183" s="154" t="s">
        <v>313</v>
      </c>
      <c r="C183" s="147">
        <f>SUM(C170:C182)</f>
        <v>51494164</v>
      </c>
      <c r="D183" s="147">
        <f>SUM(D170:D182)</f>
        <v>51804847</v>
      </c>
      <c r="E183" s="147">
        <f t="shared" si="10"/>
        <v>310683</v>
      </c>
      <c r="F183" s="148">
        <f t="shared" si="11"/>
        <v>6.0333633147243637E-3</v>
      </c>
      <c r="G183" s="155"/>
    </row>
    <row r="184" spans="1:7" ht="15.75" customHeight="1" x14ac:dyDescent="0.25">
      <c r="A184" s="141"/>
      <c r="B184" s="162"/>
      <c r="C184" s="146"/>
      <c r="D184" s="146"/>
      <c r="E184" s="147"/>
      <c r="F184" s="160"/>
      <c r="G184" s="155"/>
    </row>
    <row r="185" spans="1:7" ht="15.75" customHeight="1" x14ac:dyDescent="0.25">
      <c r="A185" s="144" t="s">
        <v>176</v>
      </c>
      <c r="B185" s="145" t="s">
        <v>314</v>
      </c>
      <c r="C185" s="146"/>
      <c r="D185" s="146"/>
      <c r="E185" s="147"/>
      <c r="F185" s="160"/>
      <c r="G185" s="155"/>
    </row>
    <row r="186" spans="1:7" ht="15" customHeight="1" x14ac:dyDescent="0.2">
      <c r="A186" s="141">
        <v>1</v>
      </c>
      <c r="B186" s="161" t="s">
        <v>315</v>
      </c>
      <c r="C186" s="146">
        <v>6185510</v>
      </c>
      <c r="D186" s="146">
        <v>27517464</v>
      </c>
      <c r="E186" s="146">
        <f>D186-C186</f>
        <v>21331954</v>
      </c>
      <c r="F186" s="150">
        <f>IF(C186=0,0,E186/C186)</f>
        <v>3.4486976821636373</v>
      </c>
      <c r="G186" s="155"/>
    </row>
    <row r="187" spans="1:7" ht="15.75" customHeight="1" x14ac:dyDescent="0.25">
      <c r="A187" s="141"/>
      <c r="B187" s="162"/>
      <c r="C187" s="146"/>
      <c r="D187" s="146"/>
      <c r="E187" s="147"/>
      <c r="F187" s="160"/>
      <c r="G187" s="155"/>
    </row>
    <row r="188" spans="1:7" ht="15.75" customHeight="1" x14ac:dyDescent="0.25">
      <c r="A188" s="153"/>
      <c r="B188" s="154" t="s">
        <v>316</v>
      </c>
      <c r="C188" s="147">
        <f>+C186+C183+C167+C130+C121</f>
        <v>368573386</v>
      </c>
      <c r="D188" s="147">
        <f>+D186+D183+D167+D130+D121</f>
        <v>389521494</v>
      </c>
      <c r="E188" s="147">
        <f>D188-C188</f>
        <v>20948108</v>
      </c>
      <c r="F188" s="148">
        <f>IF(C188=0,0,E188/C188)</f>
        <v>5.6835650092217999E-2</v>
      </c>
      <c r="G188" s="155"/>
    </row>
    <row r="189" spans="1:7" ht="15.75" customHeight="1" x14ac:dyDescent="0.25">
      <c r="A189" s="153"/>
      <c r="B189" s="162"/>
      <c r="C189" s="146"/>
      <c r="D189" s="146"/>
      <c r="E189" s="147"/>
      <c r="F189" s="148"/>
      <c r="G189" s="155"/>
    </row>
    <row r="190" spans="1:7" ht="15.75" customHeight="1" x14ac:dyDescent="0.25">
      <c r="A190" s="153"/>
      <c r="B190" s="157" t="s">
        <v>317</v>
      </c>
      <c r="C190" s="146"/>
      <c r="D190" s="146"/>
      <c r="E190" s="147"/>
      <c r="F190" s="148"/>
      <c r="G190" s="155"/>
    </row>
    <row r="191" spans="1:7" ht="15" customHeight="1" x14ac:dyDescent="0.2">
      <c r="A191" s="153"/>
      <c r="B191" s="162"/>
      <c r="C191" s="163"/>
      <c r="D191" s="163"/>
      <c r="E191" s="163"/>
      <c r="F191" s="163"/>
      <c r="G191" s="155"/>
    </row>
  </sheetData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FILING&amp;RTHE HOSPITAL OF CENTRAL CONNECTICUT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318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319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320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364911931</v>
      </c>
      <c r="D11" s="164">
        <v>383316464</v>
      </c>
      <c r="E11" s="51">
        <v>393528986</v>
      </c>
      <c r="F11" s="13"/>
    </row>
    <row r="12" spans="1:6" ht="24" customHeight="1" x14ac:dyDescent="0.25">
      <c r="A12" s="44">
        <v>2</v>
      </c>
      <c r="B12" s="165" t="s">
        <v>321</v>
      </c>
      <c r="C12" s="49">
        <v>14808991</v>
      </c>
      <c r="D12" s="49">
        <v>9281147</v>
      </c>
      <c r="E12" s="49">
        <v>15421287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379720922</v>
      </c>
      <c r="D13" s="51">
        <f>+D11+D12</f>
        <v>392597611</v>
      </c>
      <c r="E13" s="51">
        <f>+E11+E12</f>
        <v>408950273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381476536</v>
      </c>
      <c r="D14" s="49">
        <v>368573386</v>
      </c>
      <c r="E14" s="49">
        <v>389521494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-1755614</v>
      </c>
      <c r="D15" s="51">
        <f>+D13-D14</f>
        <v>24024225</v>
      </c>
      <c r="E15" s="51">
        <f>+E13-E14</f>
        <v>19428779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7196048</v>
      </c>
      <c r="D16" s="49">
        <v>26025</v>
      </c>
      <c r="E16" s="49">
        <v>9965362</v>
      </c>
      <c r="F16" s="13"/>
    </row>
    <row r="17" spans="1:6" ht="24" customHeight="1" x14ac:dyDescent="0.25">
      <c r="A17" s="44">
        <v>7</v>
      </c>
      <c r="B17" s="45" t="s">
        <v>322</v>
      </c>
      <c r="C17" s="51">
        <f>C15+C16</f>
        <v>5440434</v>
      </c>
      <c r="D17" s="51">
        <f>D15+D16</f>
        <v>24050250</v>
      </c>
      <c r="E17" s="51">
        <f>E15+E16</f>
        <v>29394141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323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324</v>
      </c>
      <c r="C20" s="169">
        <f>IF(+C27=0,0,+C24/+C27)</f>
        <v>-4.5374437828353716E-3</v>
      </c>
      <c r="D20" s="169">
        <f>IF(+D27=0,0,+D24/+D27)</f>
        <v>6.118894227753522E-2</v>
      </c>
      <c r="E20" s="169">
        <f>IF(+E27=0,0,+E24/+E27)</f>
        <v>4.637873924185236E-2</v>
      </c>
      <c r="F20" s="13"/>
    </row>
    <row r="21" spans="1:6" ht="24" customHeight="1" x14ac:dyDescent="0.25">
      <c r="A21" s="25">
        <v>2</v>
      </c>
      <c r="B21" s="48" t="s">
        <v>325</v>
      </c>
      <c r="C21" s="169">
        <f>IF(C27=0,0,+C26/C27)</f>
        <v>1.8598429528691906E-2</v>
      </c>
      <c r="D21" s="169">
        <f>IF(D27=0,0,+D26/D27)</f>
        <v>6.62848530086966E-5</v>
      </c>
      <c r="E21" s="169">
        <f>IF(E27=0,0,+E26/E27)</f>
        <v>2.3788469962454373E-2</v>
      </c>
      <c r="F21" s="13"/>
    </row>
    <row r="22" spans="1:6" ht="24" customHeight="1" x14ac:dyDescent="0.25">
      <c r="A22" s="25">
        <v>3</v>
      </c>
      <c r="B22" s="48" t="s">
        <v>326</v>
      </c>
      <c r="C22" s="169">
        <f>IF(C27=0,0,+C28/C27)</f>
        <v>1.4060985745856534E-2</v>
      </c>
      <c r="D22" s="169">
        <f>IF(D27=0,0,+D28/D27)</f>
        <v>6.1255227130543918E-2</v>
      </c>
      <c r="E22" s="169">
        <f>IF(E27=0,0,+E28/E27)</f>
        <v>7.0167209204306732E-2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-1755614</v>
      </c>
      <c r="D24" s="51">
        <f>+D15</f>
        <v>24024225</v>
      </c>
      <c r="E24" s="51">
        <f>+E15</f>
        <v>19428779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379720922</v>
      </c>
      <c r="D25" s="51">
        <f>+D13</f>
        <v>392597611</v>
      </c>
      <c r="E25" s="51">
        <f>+E13</f>
        <v>408950273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7196048</v>
      </c>
      <c r="D26" s="51">
        <f>+D16</f>
        <v>26025</v>
      </c>
      <c r="E26" s="51">
        <f>+E16</f>
        <v>9965362</v>
      </c>
      <c r="F26" s="13"/>
    </row>
    <row r="27" spans="1:6" ht="24" customHeight="1" x14ac:dyDescent="0.25">
      <c r="A27" s="21">
        <v>7</v>
      </c>
      <c r="B27" s="48" t="s">
        <v>327</v>
      </c>
      <c r="C27" s="51">
        <f>+C25+C26</f>
        <v>386916970</v>
      </c>
      <c r="D27" s="51">
        <f>+D25+D26</f>
        <v>392623636</v>
      </c>
      <c r="E27" s="51">
        <f>+E25+E26</f>
        <v>418915635</v>
      </c>
      <c r="F27" s="13"/>
    </row>
    <row r="28" spans="1:6" ht="24" customHeight="1" x14ac:dyDescent="0.25">
      <c r="A28" s="21">
        <v>8</v>
      </c>
      <c r="B28" s="45" t="s">
        <v>322</v>
      </c>
      <c r="C28" s="51">
        <f>+C17</f>
        <v>5440434</v>
      </c>
      <c r="D28" s="51">
        <f>+D17</f>
        <v>24050250</v>
      </c>
      <c r="E28" s="51">
        <f>+E17</f>
        <v>29394141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328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329</v>
      </c>
      <c r="C31" s="51">
        <v>96622401</v>
      </c>
      <c r="D31" s="51">
        <v>128627309</v>
      </c>
      <c r="E31" s="51">
        <v>93203114</v>
      </c>
      <c r="F31" s="13"/>
    </row>
    <row r="32" spans="1:6" ht="24" customHeight="1" x14ac:dyDescent="0.25">
      <c r="A32" s="25">
        <v>2</v>
      </c>
      <c r="B32" s="48" t="s">
        <v>330</v>
      </c>
      <c r="C32" s="51">
        <v>133555140</v>
      </c>
      <c r="D32" s="51">
        <v>165443112</v>
      </c>
      <c r="E32" s="51">
        <v>135010987</v>
      </c>
      <c r="F32" s="13"/>
    </row>
    <row r="33" spans="1:6" ht="24" customHeight="1" x14ac:dyDescent="0.2">
      <c r="A33" s="25">
        <v>3</v>
      </c>
      <c r="B33" s="48" t="s">
        <v>331</v>
      </c>
      <c r="C33" s="51">
        <v>11069788</v>
      </c>
      <c r="D33" s="51">
        <f>+D32-C32</f>
        <v>31887972</v>
      </c>
      <c r="E33" s="51">
        <f>+E32-D32</f>
        <v>-30432125</v>
      </c>
      <c r="F33" s="5"/>
    </row>
    <row r="34" spans="1:6" ht="24" customHeight="1" x14ac:dyDescent="0.2">
      <c r="A34" s="25">
        <v>4</v>
      </c>
      <c r="B34" s="48" t="s">
        <v>332</v>
      </c>
      <c r="C34" s="171">
        <v>1.0903</v>
      </c>
      <c r="D34" s="171">
        <f>IF(C32=0,0,+D33/C32)</f>
        <v>0.23876259648262133</v>
      </c>
      <c r="E34" s="171">
        <f>IF(D32=0,0,+E33/D32)</f>
        <v>-0.18394313690134165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333</v>
      </c>
      <c r="B36" s="41" t="s">
        <v>334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335</v>
      </c>
      <c r="C38" s="172">
        <f>IF((C40+C41)=0,0,+C39/(C40+C41))</f>
        <v>0.46288177826631333</v>
      </c>
      <c r="D38" s="172">
        <f>IF((D40+D41)=0,0,+D39/(D40+D41))</f>
        <v>0.42702133759689431</v>
      </c>
      <c r="E38" s="172">
        <f>IF((E40+E41)=0,0,+E39/(E40+E41))</f>
        <v>0.43822457320738761</v>
      </c>
      <c r="F38" s="5"/>
    </row>
    <row r="39" spans="1:6" ht="24" customHeight="1" x14ac:dyDescent="0.2">
      <c r="A39" s="21">
        <v>2</v>
      </c>
      <c r="B39" s="48" t="s">
        <v>336</v>
      </c>
      <c r="C39" s="51">
        <v>381476536</v>
      </c>
      <c r="D39" s="51">
        <v>368573386</v>
      </c>
      <c r="E39" s="23">
        <v>389521494</v>
      </c>
      <c r="F39" s="5"/>
    </row>
    <row r="40" spans="1:6" ht="24" customHeight="1" x14ac:dyDescent="0.2">
      <c r="A40" s="21">
        <v>3</v>
      </c>
      <c r="B40" s="48" t="s">
        <v>337</v>
      </c>
      <c r="C40" s="51">
        <v>800740049</v>
      </c>
      <c r="D40" s="51">
        <v>841847719</v>
      </c>
      <c r="E40" s="23">
        <v>860748119</v>
      </c>
      <c r="F40" s="5"/>
    </row>
    <row r="41" spans="1:6" ht="24" customHeight="1" x14ac:dyDescent="0.2">
      <c r="A41" s="21">
        <v>4</v>
      </c>
      <c r="B41" s="48" t="s">
        <v>338</v>
      </c>
      <c r="C41" s="51">
        <v>23393788</v>
      </c>
      <c r="D41" s="51">
        <v>21278672</v>
      </c>
      <c r="E41" s="23">
        <v>28114619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339</v>
      </c>
      <c r="C43" s="173">
        <f>IF(C38=0,0,IF((C46-C47)=0,0,((+C44-C45)/(C46-C47)/C38)))</f>
        <v>1.2762817626732383</v>
      </c>
      <c r="D43" s="173">
        <f>IF(D38=0,0,IF((D46-D47)=0,0,((+D44-D45)/(D46-D47)/D38)))</f>
        <v>1.5098101190591817</v>
      </c>
      <c r="E43" s="173">
        <f>IF(E38=0,0,IF((E46-E47)=0,0,((+E44-E45)/(E46-E47)/E38)))</f>
        <v>1.4258632386479215</v>
      </c>
      <c r="F43" s="5"/>
    </row>
    <row r="44" spans="1:6" ht="24" customHeight="1" x14ac:dyDescent="0.2">
      <c r="A44" s="21">
        <v>6</v>
      </c>
      <c r="B44" s="48" t="s">
        <v>340</v>
      </c>
      <c r="C44" s="51">
        <v>165689668</v>
      </c>
      <c r="D44" s="51">
        <v>174807350</v>
      </c>
      <c r="E44" s="23">
        <v>168114296</v>
      </c>
      <c r="F44" s="5"/>
    </row>
    <row r="45" spans="1:6" ht="24" customHeight="1" x14ac:dyDescent="0.2">
      <c r="A45" s="21">
        <v>7</v>
      </c>
      <c r="B45" s="48" t="s">
        <v>341</v>
      </c>
      <c r="C45" s="51">
        <v>6083766</v>
      </c>
      <c r="D45" s="51">
        <v>3532090</v>
      </c>
      <c r="E45" s="23">
        <v>4546615</v>
      </c>
      <c r="F45" s="5"/>
    </row>
    <row r="46" spans="1:6" ht="24" customHeight="1" x14ac:dyDescent="0.2">
      <c r="A46" s="21">
        <v>8</v>
      </c>
      <c r="B46" s="48" t="s">
        <v>342</v>
      </c>
      <c r="C46" s="51">
        <v>290748912</v>
      </c>
      <c r="D46" s="51">
        <v>283229097</v>
      </c>
      <c r="E46" s="23">
        <v>284837307</v>
      </c>
      <c r="F46" s="5"/>
    </row>
    <row r="47" spans="1:6" ht="24" customHeight="1" x14ac:dyDescent="0.2">
      <c r="A47" s="21">
        <v>9</v>
      </c>
      <c r="B47" s="48" t="s">
        <v>343</v>
      </c>
      <c r="C47" s="51">
        <v>20581913</v>
      </c>
      <c r="D47" s="51">
        <v>17571202</v>
      </c>
      <c r="E47" s="174">
        <v>23065484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344</v>
      </c>
      <c r="C49" s="175">
        <f>IF(C38=0,0,IF(C51=0,0,(C50/C51)/C38))</f>
        <v>0.78347978519264994</v>
      </c>
      <c r="D49" s="175">
        <f>IF(D38=0,0,IF(D51=0,0,(D50/D51)/D38))</f>
        <v>0.83747003651261531</v>
      </c>
      <c r="E49" s="175">
        <f>IF(E38=0,0,IF(E51=0,0,(E50/E51)/E38))</f>
        <v>0.83107884922746367</v>
      </c>
      <c r="F49" s="7"/>
    </row>
    <row r="50" spans="1:6" ht="24" customHeight="1" x14ac:dyDescent="0.25">
      <c r="A50" s="21">
        <v>11</v>
      </c>
      <c r="B50" s="48" t="s">
        <v>345</v>
      </c>
      <c r="C50" s="176">
        <v>128895993</v>
      </c>
      <c r="D50" s="176">
        <v>137749529</v>
      </c>
      <c r="E50" s="176">
        <v>140674134</v>
      </c>
      <c r="F50" s="11"/>
    </row>
    <row r="51" spans="1:6" ht="24" customHeight="1" x14ac:dyDescent="0.25">
      <c r="A51" s="21">
        <v>12</v>
      </c>
      <c r="B51" s="48" t="s">
        <v>346</v>
      </c>
      <c r="C51" s="176">
        <v>355419733</v>
      </c>
      <c r="D51" s="176">
        <v>385186687</v>
      </c>
      <c r="E51" s="176">
        <v>386256049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347</v>
      </c>
      <c r="C53" s="175">
        <f>IF(C38=0,0,IF(C55=0,0,(C54/C55)/C38))</f>
        <v>0.8233446451002685</v>
      </c>
      <c r="D53" s="175">
        <f>IF(D38=0,0,IF(D55=0,0,(D54/D55)/D38))</f>
        <v>0.80754282333383487</v>
      </c>
      <c r="E53" s="175">
        <f>IF(E38=0,0,IF(E55=0,0,(E54/E55)/E38))</f>
        <v>0.67819279485166661</v>
      </c>
      <c r="F53" s="13"/>
    </row>
    <row r="54" spans="1:6" ht="24" customHeight="1" x14ac:dyDescent="0.25">
      <c r="A54" s="21">
        <v>14</v>
      </c>
      <c r="B54" s="48" t="s">
        <v>348</v>
      </c>
      <c r="C54" s="176">
        <v>49292970</v>
      </c>
      <c r="D54" s="176">
        <v>59380843</v>
      </c>
      <c r="E54" s="176">
        <v>55954658</v>
      </c>
      <c r="F54" s="13"/>
    </row>
    <row r="55" spans="1:6" ht="24" customHeight="1" x14ac:dyDescent="0.25">
      <c r="A55" s="21">
        <v>15</v>
      </c>
      <c r="B55" s="48" t="s">
        <v>349</v>
      </c>
      <c r="C55" s="176">
        <v>129340113</v>
      </c>
      <c r="D55" s="176">
        <v>172199236</v>
      </c>
      <c r="E55" s="176">
        <v>188272265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350</v>
      </c>
      <c r="C57" s="53">
        <f>+C60*C38</f>
        <v>8317479.6256620055</v>
      </c>
      <c r="D57" s="53">
        <f>+D60*D38</f>
        <v>7858309.2725806711</v>
      </c>
      <c r="E57" s="53">
        <f>+E60*E38</f>
        <v>10554538.492272666</v>
      </c>
      <c r="F57" s="13"/>
    </row>
    <row r="58" spans="1:6" ht="24" customHeight="1" x14ac:dyDescent="0.25">
      <c r="A58" s="21">
        <v>17</v>
      </c>
      <c r="B58" s="48" t="s">
        <v>351</v>
      </c>
      <c r="C58" s="51">
        <v>8420571</v>
      </c>
      <c r="D58" s="51">
        <v>17262086</v>
      </c>
      <c r="E58" s="52">
        <v>6791581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9548336</v>
      </c>
      <c r="D59" s="51">
        <v>1140529</v>
      </c>
      <c r="E59" s="52">
        <v>17293190</v>
      </c>
      <c r="F59" s="28"/>
    </row>
    <row r="60" spans="1:6" ht="24" customHeight="1" x14ac:dyDescent="0.25">
      <c r="A60" s="21">
        <v>19</v>
      </c>
      <c r="B60" s="48" t="s">
        <v>352</v>
      </c>
      <c r="C60" s="51">
        <v>17968907</v>
      </c>
      <c r="D60" s="51">
        <v>18402615</v>
      </c>
      <c r="E60" s="52">
        <v>24084771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353</v>
      </c>
      <c r="C62" s="178">
        <f>IF(C63=0,0,+C57/C63)</f>
        <v>2.1803384587884601E-2</v>
      </c>
      <c r="D62" s="178">
        <f>IF(D63=0,0,+D57/D63)</f>
        <v>2.13208809183544E-2</v>
      </c>
      <c r="E62" s="178">
        <f>IF(E63=0,0,+E57/E63)</f>
        <v>2.7096164537386648E-2</v>
      </c>
      <c r="F62" s="13"/>
    </row>
    <row r="63" spans="1:6" ht="24" customHeight="1" x14ac:dyDescent="0.25">
      <c r="A63" s="21">
        <v>21</v>
      </c>
      <c r="B63" s="45" t="s">
        <v>336</v>
      </c>
      <c r="C63" s="176">
        <v>381476536</v>
      </c>
      <c r="D63" s="176">
        <v>368573386</v>
      </c>
      <c r="E63" s="176">
        <v>389521494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354</v>
      </c>
      <c r="B65" s="41" t="s">
        <v>355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356</v>
      </c>
      <c r="C67" s="179">
        <f>IF(C69=0,0,C68/C69)</f>
        <v>0.90622645286857406</v>
      </c>
      <c r="D67" s="179">
        <f>IF(D69=0,0,D68/D69)</f>
        <v>0.9983919972423656</v>
      </c>
      <c r="E67" s="179">
        <f>IF(E69=0,0,E68/E69)</f>
        <v>1.1913256909562158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69156292</v>
      </c>
      <c r="D68" s="180">
        <v>77628570</v>
      </c>
      <c r="E68" s="180">
        <v>92118717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76312374</v>
      </c>
      <c r="D69" s="180">
        <v>77753598</v>
      </c>
      <c r="E69" s="180">
        <v>77324545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357</v>
      </c>
      <c r="C71" s="181">
        <f>IF((C77/365)=0,0,+C74/(C77/365))</f>
        <v>23.358079575777662</v>
      </c>
      <c r="D71" s="181">
        <f>IF((D77/365)=0,0,+D74/(D77/365))</f>
        <v>17.911979346618644</v>
      </c>
      <c r="E71" s="181">
        <f>IF((E77/365)=0,0,+E74/(E77/365))</f>
        <v>26.774670031563684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23292786</v>
      </c>
      <c r="D72" s="182">
        <v>17170654</v>
      </c>
      <c r="E72" s="182">
        <v>27153802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0</v>
      </c>
      <c r="D73" s="184">
        <v>0</v>
      </c>
      <c r="E73" s="184">
        <v>0</v>
      </c>
      <c r="F73" s="28"/>
    </row>
    <row r="74" spans="1:6" ht="24" customHeight="1" x14ac:dyDescent="0.25">
      <c r="A74" s="21">
        <v>7</v>
      </c>
      <c r="B74" s="48" t="s">
        <v>358</v>
      </c>
      <c r="C74" s="180">
        <f>+C72+C73</f>
        <v>23292786</v>
      </c>
      <c r="D74" s="180">
        <f>+D72+D73</f>
        <v>17170654</v>
      </c>
      <c r="E74" s="180">
        <f>+E72+E73</f>
        <v>27153802</v>
      </c>
      <c r="F74" s="28"/>
    </row>
    <row r="75" spans="1:6" ht="24" customHeight="1" x14ac:dyDescent="0.25">
      <c r="A75" s="21">
        <v>8</v>
      </c>
      <c r="B75" s="48" t="s">
        <v>336</v>
      </c>
      <c r="C75" s="180">
        <f>+C14</f>
        <v>381476536</v>
      </c>
      <c r="D75" s="180">
        <f>+D14</f>
        <v>368573386</v>
      </c>
      <c r="E75" s="180">
        <f>+E14</f>
        <v>389521494</v>
      </c>
      <c r="F75" s="28"/>
    </row>
    <row r="76" spans="1:6" ht="24" customHeight="1" x14ac:dyDescent="0.25">
      <c r="A76" s="21">
        <v>9</v>
      </c>
      <c r="B76" s="45" t="s">
        <v>359</v>
      </c>
      <c r="C76" s="180">
        <v>17496832</v>
      </c>
      <c r="D76" s="180">
        <v>18679687</v>
      </c>
      <c r="E76" s="180">
        <v>19353058</v>
      </c>
      <c r="F76" s="28"/>
    </row>
    <row r="77" spans="1:6" ht="24" customHeight="1" x14ac:dyDescent="0.25">
      <c r="A77" s="21">
        <v>10</v>
      </c>
      <c r="B77" s="45" t="s">
        <v>360</v>
      </c>
      <c r="C77" s="180">
        <f>+C75-C76</f>
        <v>363979704</v>
      </c>
      <c r="D77" s="180">
        <f>+D75-D76</f>
        <v>349893699</v>
      </c>
      <c r="E77" s="180">
        <f>+E75-E76</f>
        <v>370168436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361</v>
      </c>
      <c r="C79" s="179">
        <f>IF((C84/365)=0,0,+C83/(C84/365))</f>
        <v>17.098263553350357</v>
      </c>
      <c r="D79" s="179">
        <f>IF((D84/365)=0,0,+D83/(D84/365))</f>
        <v>23.906774038278723</v>
      </c>
      <c r="E79" s="179">
        <f>IF((E84/365)=0,0,+E83/(E84/365))</f>
        <v>27.051787831964173</v>
      </c>
      <c r="F79" s="28"/>
    </row>
    <row r="80" spans="1:6" ht="24" customHeight="1" x14ac:dyDescent="0.25">
      <c r="A80" s="21">
        <v>12</v>
      </c>
      <c r="B80" s="188" t="s">
        <v>362</v>
      </c>
      <c r="C80" s="189">
        <v>36543623</v>
      </c>
      <c r="D80" s="189">
        <v>48945018</v>
      </c>
      <c r="E80" s="189">
        <v>48473300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0</v>
      </c>
      <c r="D81" s="190">
        <v>0</v>
      </c>
      <c r="E81" s="190">
        <v>0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19449485</v>
      </c>
      <c r="D82" s="190">
        <v>23838552</v>
      </c>
      <c r="E82" s="190">
        <v>19307101</v>
      </c>
      <c r="F82" s="28"/>
    </row>
    <row r="83" spans="1:6" ht="33.950000000000003" customHeight="1" x14ac:dyDescent="0.25">
      <c r="A83" s="21">
        <v>15</v>
      </c>
      <c r="B83" s="45" t="s">
        <v>363</v>
      </c>
      <c r="C83" s="191">
        <f>+C80+C81-C82</f>
        <v>17094138</v>
      </c>
      <c r="D83" s="191">
        <f>+D80+D81-D82</f>
        <v>25106466</v>
      </c>
      <c r="E83" s="191">
        <f>+E80+E81-E82</f>
        <v>29166199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364911931</v>
      </c>
      <c r="D84" s="191">
        <f>+D11</f>
        <v>383316464</v>
      </c>
      <c r="E84" s="191">
        <f>+E11</f>
        <v>393528986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364</v>
      </c>
      <c r="C86" s="179">
        <f>IF((C90/365)=0,0,+C87/(C90/365))</f>
        <v>76.526290350519105</v>
      </c>
      <c r="D86" s="179">
        <f>IF((D90/365)=0,0,+D87/(D90/365))</f>
        <v>81.110529715483665</v>
      </c>
      <c r="E86" s="179">
        <f>IF((E90/365)=0,0,+E87/(E90/365))</f>
        <v>76.24490956057636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76312374</v>
      </c>
      <c r="D87" s="51">
        <f>+D69</f>
        <v>77753598</v>
      </c>
      <c r="E87" s="51">
        <f>+E69</f>
        <v>77324545</v>
      </c>
      <c r="F87" s="28"/>
    </row>
    <row r="88" spans="1:6" ht="24" customHeight="1" x14ac:dyDescent="0.25">
      <c r="A88" s="21">
        <v>19</v>
      </c>
      <c r="B88" s="48" t="s">
        <v>336</v>
      </c>
      <c r="C88" s="51">
        <f t="shared" ref="C88:E89" si="0">+C75</f>
        <v>381476536</v>
      </c>
      <c r="D88" s="51">
        <f t="shared" si="0"/>
        <v>368573386</v>
      </c>
      <c r="E88" s="51">
        <f t="shared" si="0"/>
        <v>389521494</v>
      </c>
      <c r="F88" s="28"/>
    </row>
    <row r="89" spans="1:6" ht="24" customHeight="1" x14ac:dyDescent="0.25">
      <c r="A89" s="21">
        <v>20</v>
      </c>
      <c r="B89" s="48" t="s">
        <v>359</v>
      </c>
      <c r="C89" s="52">
        <f t="shared" si="0"/>
        <v>17496832</v>
      </c>
      <c r="D89" s="52">
        <f t="shared" si="0"/>
        <v>18679687</v>
      </c>
      <c r="E89" s="52">
        <f t="shared" si="0"/>
        <v>19353058</v>
      </c>
      <c r="F89" s="28"/>
    </row>
    <row r="90" spans="1:6" ht="24" customHeight="1" x14ac:dyDescent="0.25">
      <c r="A90" s="21">
        <v>21</v>
      </c>
      <c r="B90" s="48" t="s">
        <v>365</v>
      </c>
      <c r="C90" s="51">
        <f>+C88-C89</f>
        <v>363979704</v>
      </c>
      <c r="D90" s="51">
        <f>+D88-D89</f>
        <v>349893699</v>
      </c>
      <c r="E90" s="51">
        <f>+E88-E89</f>
        <v>370168436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366</v>
      </c>
      <c r="B92" s="41" t="s">
        <v>367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368</v>
      </c>
      <c r="C94" s="192">
        <f>IF(C96=0,0,(C95/C96)*100)</f>
        <v>39.67861670293825</v>
      </c>
      <c r="D94" s="192">
        <f>IF(D96=0,0,(D95/D96)*100)</f>
        <v>44.281694079220351</v>
      </c>
      <c r="E94" s="192">
        <f>IF(E96=0,0,(E95/E96)*100)</f>
        <v>33.767573331679543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133555140</v>
      </c>
      <c r="D95" s="51">
        <f>+D32</f>
        <v>165443112</v>
      </c>
      <c r="E95" s="51">
        <f>+E32</f>
        <v>135010987</v>
      </c>
      <c r="F95" s="28"/>
    </row>
    <row r="96" spans="1:6" ht="24" customHeight="1" x14ac:dyDescent="0.25">
      <c r="A96" s="21">
        <v>3</v>
      </c>
      <c r="B96" s="48" t="s">
        <v>43</v>
      </c>
      <c r="C96" s="51">
        <v>336592228</v>
      </c>
      <c r="D96" s="51">
        <v>373615137</v>
      </c>
      <c r="E96" s="51">
        <v>399824369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369</v>
      </c>
      <c r="C98" s="192">
        <f>IF(C104=0,0,(C101/C104)*100)</f>
        <v>20.752092829765068</v>
      </c>
      <c r="D98" s="192">
        <f>IF(D104=0,0,(D101/D104)*100)</f>
        <v>52.497673568247315</v>
      </c>
      <c r="E98" s="192">
        <f>IF(E104=0,0,(E101/E104)*100)</f>
        <v>61.94660427071593</v>
      </c>
      <c r="F98" s="28"/>
    </row>
    <row r="99" spans="1:6" ht="24" customHeight="1" x14ac:dyDescent="0.25">
      <c r="A99" s="21">
        <v>5</v>
      </c>
      <c r="B99" s="48" t="s">
        <v>370</v>
      </c>
      <c r="C99" s="51">
        <f>+C28</f>
        <v>5440434</v>
      </c>
      <c r="D99" s="51">
        <f>+D28</f>
        <v>24050250</v>
      </c>
      <c r="E99" s="51">
        <f>+E28</f>
        <v>29394141</v>
      </c>
      <c r="F99" s="28"/>
    </row>
    <row r="100" spans="1:6" ht="24" customHeight="1" x14ac:dyDescent="0.25">
      <c r="A100" s="21">
        <v>6</v>
      </c>
      <c r="B100" s="48" t="s">
        <v>359</v>
      </c>
      <c r="C100" s="52">
        <f>+C76</f>
        <v>17496832</v>
      </c>
      <c r="D100" s="52">
        <f>+D76</f>
        <v>18679687</v>
      </c>
      <c r="E100" s="52">
        <f>+E76</f>
        <v>19353058</v>
      </c>
      <c r="F100" s="28"/>
    </row>
    <row r="101" spans="1:6" ht="24" customHeight="1" x14ac:dyDescent="0.25">
      <c r="A101" s="21">
        <v>7</v>
      </c>
      <c r="B101" s="48" t="s">
        <v>371</v>
      </c>
      <c r="C101" s="51">
        <f>+C99+C100</f>
        <v>22937266</v>
      </c>
      <c r="D101" s="51">
        <f>+D99+D100</f>
        <v>42729937</v>
      </c>
      <c r="E101" s="51">
        <f>+E99+E100</f>
        <v>48747199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76312374</v>
      </c>
      <c r="D102" s="180">
        <f>+D69</f>
        <v>77753598</v>
      </c>
      <c r="E102" s="180">
        <f>+E69</f>
        <v>77324545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34217519</v>
      </c>
      <c r="D103" s="194">
        <v>3640365</v>
      </c>
      <c r="E103" s="194">
        <v>1367741</v>
      </c>
      <c r="F103" s="28"/>
    </row>
    <row r="104" spans="1:6" ht="24" customHeight="1" x14ac:dyDescent="0.25">
      <c r="A104" s="21">
        <v>10</v>
      </c>
      <c r="B104" s="195" t="s">
        <v>372</v>
      </c>
      <c r="C104" s="180">
        <f>+C102+C103</f>
        <v>110529893</v>
      </c>
      <c r="D104" s="180">
        <f>+D102+D103</f>
        <v>81393963</v>
      </c>
      <c r="E104" s="180">
        <f>+E102+E103</f>
        <v>78692286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373</v>
      </c>
      <c r="C106" s="197">
        <f>IF(C109=0,0,(C107/C109)*100)</f>
        <v>20.39516999012336</v>
      </c>
      <c r="D106" s="197">
        <f>IF(D109=0,0,(D107/D109)*100)</f>
        <v>2.1529986634944818</v>
      </c>
      <c r="E106" s="197">
        <f>IF(E109=0,0,(E107/E109)*100)</f>
        <v>1.0028990738203689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34217519</v>
      </c>
      <c r="D107" s="180">
        <f>+D103</f>
        <v>3640365</v>
      </c>
      <c r="E107" s="180">
        <f>+E103</f>
        <v>1367741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133555140</v>
      </c>
      <c r="D108" s="180">
        <f>+D32</f>
        <v>165443112</v>
      </c>
      <c r="E108" s="180">
        <f>+E32</f>
        <v>135010987</v>
      </c>
      <c r="F108" s="28"/>
    </row>
    <row r="109" spans="1:6" ht="24" customHeight="1" x14ac:dyDescent="0.25">
      <c r="A109" s="17">
        <v>14</v>
      </c>
      <c r="B109" s="48" t="s">
        <v>374</v>
      </c>
      <c r="C109" s="180">
        <f>+C107+C108</f>
        <v>167772659</v>
      </c>
      <c r="D109" s="180">
        <f>+D107+D108</f>
        <v>169083477</v>
      </c>
      <c r="E109" s="180">
        <f>+E107+E108</f>
        <v>136378728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375</v>
      </c>
      <c r="C111" s="197">
        <f>IF((+C113+C115)=0,0,((+C112+C113+C114)/(+C113+C115)))</f>
        <v>4.6931745579297193</v>
      </c>
      <c r="D111" s="197">
        <f>IF((+D113+D115)=0,0,((+D112+D113+D114)/(+D113+D115)))</f>
        <v>9.2171994715145722</v>
      </c>
      <c r="E111" s="197">
        <f>IF((+E113+E115)=0,0,((+E112+E113+E114)/(+E113+E115)))</f>
        <v>10.783066360485439</v>
      </c>
    </row>
    <row r="112" spans="1:6" ht="24" customHeight="1" x14ac:dyDescent="0.25">
      <c r="A112" s="17">
        <v>16</v>
      </c>
      <c r="B112" s="48" t="s">
        <v>376</v>
      </c>
      <c r="C112" s="180">
        <f>+C17</f>
        <v>5440434</v>
      </c>
      <c r="D112" s="180">
        <f>+D17</f>
        <v>24050250</v>
      </c>
      <c r="E112" s="180">
        <f>+E17</f>
        <v>29394141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1545904</v>
      </c>
      <c r="D113" s="180">
        <v>837138</v>
      </c>
      <c r="E113" s="180">
        <v>1957216</v>
      </c>
      <c r="F113" s="28"/>
    </row>
    <row r="114" spans="1:8" ht="24" customHeight="1" x14ac:dyDescent="0.25">
      <c r="A114" s="17">
        <v>18</v>
      </c>
      <c r="B114" s="48" t="s">
        <v>377</v>
      </c>
      <c r="C114" s="180">
        <v>17496832</v>
      </c>
      <c r="D114" s="180">
        <v>18679687</v>
      </c>
      <c r="E114" s="180">
        <v>19353058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3670857</v>
      </c>
      <c r="D115" s="180">
        <v>3889577</v>
      </c>
      <c r="E115" s="180">
        <v>2745010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378</v>
      </c>
      <c r="B117" s="30" t="s">
        <v>379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380</v>
      </c>
      <c r="C119" s="197">
        <f>IF(+C121=0,0,(+C120)/(+C121))</f>
        <v>14.064336618194654</v>
      </c>
      <c r="D119" s="197">
        <f>IF(+D121=0,0,(+D120)/(+D121))</f>
        <v>13.933579508050643</v>
      </c>
      <c r="E119" s="197">
        <f>IF(+E121=0,0,(+E120)/(+E121))</f>
        <v>14.190666818649538</v>
      </c>
    </row>
    <row r="120" spans="1:8" ht="24" customHeight="1" x14ac:dyDescent="0.25">
      <c r="A120" s="17">
        <v>21</v>
      </c>
      <c r="B120" s="48" t="s">
        <v>381</v>
      </c>
      <c r="C120" s="180">
        <v>246081335</v>
      </c>
      <c r="D120" s="180">
        <v>260274904</v>
      </c>
      <c r="E120" s="180">
        <v>274632798</v>
      </c>
      <c r="F120" s="28"/>
    </row>
    <row r="121" spans="1:8" ht="24" customHeight="1" x14ac:dyDescent="0.25">
      <c r="A121" s="17">
        <v>22</v>
      </c>
      <c r="B121" s="48" t="s">
        <v>377</v>
      </c>
      <c r="C121" s="180">
        <v>17496832</v>
      </c>
      <c r="D121" s="180">
        <v>18679687</v>
      </c>
      <c r="E121" s="180">
        <v>19353058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382</v>
      </c>
      <c r="B123" s="30" t="s">
        <v>383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384</v>
      </c>
      <c r="C124" s="198">
        <v>81872</v>
      </c>
      <c r="D124" s="198">
        <v>83137</v>
      </c>
      <c r="E124" s="198">
        <v>76771</v>
      </c>
    </row>
    <row r="125" spans="1:8" ht="24" customHeight="1" x14ac:dyDescent="0.2">
      <c r="A125" s="44">
        <v>2</v>
      </c>
      <c r="B125" s="48" t="s">
        <v>385</v>
      </c>
      <c r="C125" s="198">
        <v>19517</v>
      </c>
      <c r="D125" s="198">
        <v>20546</v>
      </c>
      <c r="E125" s="198">
        <v>18252</v>
      </c>
    </row>
    <row r="126" spans="1:8" ht="24" customHeight="1" x14ac:dyDescent="0.2">
      <c r="A126" s="44">
        <v>3</v>
      </c>
      <c r="B126" s="48" t="s">
        <v>386</v>
      </c>
      <c r="C126" s="199">
        <f>IF(C125=0,0,C124/C125)</f>
        <v>4.1949070041502283</v>
      </c>
      <c r="D126" s="199">
        <f>IF(D125=0,0,D124/D125)</f>
        <v>4.0463837243259029</v>
      </c>
      <c r="E126" s="199">
        <f>IF(E125=0,0,E124/E125)</f>
        <v>4.2061691869384177</v>
      </c>
    </row>
    <row r="127" spans="1:8" ht="24" customHeight="1" x14ac:dyDescent="0.2">
      <c r="A127" s="44">
        <v>4</v>
      </c>
      <c r="B127" s="48" t="s">
        <v>387</v>
      </c>
      <c r="C127" s="198">
        <v>341</v>
      </c>
      <c r="D127" s="198">
        <v>356</v>
      </c>
      <c r="E127" s="198">
        <v>356</v>
      </c>
    </row>
    <row r="128" spans="1:8" ht="24" customHeight="1" x14ac:dyDescent="0.2">
      <c r="A128" s="44">
        <v>5</v>
      </c>
      <c r="B128" s="48" t="s">
        <v>388</v>
      </c>
      <c r="C128" s="198">
        <v>0</v>
      </c>
      <c r="D128" s="198">
        <v>383</v>
      </c>
      <c r="E128" s="198">
        <v>383</v>
      </c>
      <c r="G128" s="6"/>
      <c r="H128" s="12"/>
    </row>
    <row r="129" spans="1:8" ht="24" customHeight="1" x14ac:dyDescent="0.2">
      <c r="A129" s="44">
        <v>6</v>
      </c>
      <c r="B129" s="48" t="s">
        <v>389</v>
      </c>
      <c r="C129" s="198">
        <v>446</v>
      </c>
      <c r="D129" s="198">
        <v>464</v>
      </c>
      <c r="E129" s="198">
        <v>446</v>
      </c>
      <c r="G129" s="6"/>
      <c r="H129" s="12"/>
    </row>
    <row r="130" spans="1:8" ht="24" customHeight="1" x14ac:dyDescent="0.2">
      <c r="A130" s="44">
        <v>6</v>
      </c>
      <c r="B130" s="48" t="s">
        <v>390</v>
      </c>
      <c r="C130" s="171">
        <v>0.65769999999999995</v>
      </c>
      <c r="D130" s="171">
        <v>0.63980000000000004</v>
      </c>
      <c r="E130" s="171">
        <v>0.59079999999999999</v>
      </c>
    </row>
    <row r="131" spans="1:8" ht="24" customHeight="1" x14ac:dyDescent="0.2">
      <c r="A131" s="44">
        <v>7</v>
      </c>
      <c r="B131" s="48" t="s">
        <v>391</v>
      </c>
      <c r="C131" s="171">
        <v>0.63</v>
      </c>
      <c r="D131" s="171">
        <v>0.59470000000000001</v>
      </c>
      <c r="E131" s="171">
        <v>0.54910000000000003</v>
      </c>
    </row>
    <row r="132" spans="1:8" ht="24" customHeight="1" x14ac:dyDescent="0.2">
      <c r="A132" s="44">
        <v>8</v>
      </c>
      <c r="B132" s="48" t="s">
        <v>392</v>
      </c>
      <c r="C132" s="199">
        <v>2166.1</v>
      </c>
      <c r="D132" s="199">
        <v>2172</v>
      </c>
      <c r="E132" s="199">
        <v>2299.5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393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394</v>
      </c>
      <c r="C135" s="203">
        <f>IF(C149=0,0,C143/C149)</f>
        <v>0.33739663619597476</v>
      </c>
      <c r="D135" s="203">
        <f>IF(D149=0,0,D143/D149)</f>
        <v>0.31556526079985731</v>
      </c>
      <c r="E135" s="203">
        <f>IF(E149=0,0,E143/E149)</f>
        <v>0.30412128382472831</v>
      </c>
      <c r="G135" s="6"/>
    </row>
    <row r="136" spans="1:8" ht="20.100000000000001" customHeight="1" x14ac:dyDescent="0.2">
      <c r="A136" s="202">
        <v>2</v>
      </c>
      <c r="B136" s="195" t="s">
        <v>395</v>
      </c>
      <c r="C136" s="203">
        <f>IF(C149=0,0,C144/C149)</f>
        <v>0.44386406480338292</v>
      </c>
      <c r="D136" s="203">
        <f>IF(D149=0,0,D144/D149)</f>
        <v>0.45754912474853426</v>
      </c>
      <c r="E136" s="203">
        <f>IF(E149=0,0,E144/E149)</f>
        <v>0.44874457518274286</v>
      </c>
    </row>
    <row r="137" spans="1:8" ht="20.100000000000001" customHeight="1" x14ac:dyDescent="0.2">
      <c r="A137" s="202">
        <v>3</v>
      </c>
      <c r="B137" s="195" t="s">
        <v>396</v>
      </c>
      <c r="C137" s="203">
        <f>IF(C149=0,0,C145/C149)</f>
        <v>0.16152572006548907</v>
      </c>
      <c r="D137" s="203">
        <f>IF(D149=0,0,D145/D149)</f>
        <v>0.20454915077105532</v>
      </c>
      <c r="E137" s="203">
        <f>IF(E149=0,0,E145/E149)</f>
        <v>0.21873096303565667</v>
      </c>
      <c r="G137" s="6"/>
    </row>
    <row r="138" spans="1:8" ht="20.100000000000001" customHeight="1" x14ac:dyDescent="0.2">
      <c r="A138" s="202">
        <v>4</v>
      </c>
      <c r="B138" s="195" t="s">
        <v>397</v>
      </c>
      <c r="C138" s="203">
        <f>IF(C149=0,0,C146/C149)</f>
        <v>2.9731213056885582E-2</v>
      </c>
      <c r="D138" s="203">
        <f>IF(D149=0,0,D146/D149)</f>
        <v>0</v>
      </c>
      <c r="E138" s="203">
        <f>IF(E149=0,0,E146/E149)</f>
        <v>0</v>
      </c>
      <c r="G138" s="6"/>
    </row>
    <row r="139" spans="1:8" ht="20.100000000000001" customHeight="1" x14ac:dyDescent="0.2">
      <c r="A139" s="202">
        <v>5</v>
      </c>
      <c r="B139" s="195" t="s">
        <v>398</v>
      </c>
      <c r="C139" s="203">
        <f>IF(C149=0,0,C147/C149)</f>
        <v>2.5703613832858258E-2</v>
      </c>
      <c r="D139" s="203">
        <f>IF(D149=0,0,D147/D149)</f>
        <v>2.087218579254712E-2</v>
      </c>
      <c r="E139" s="203">
        <f>IF(E149=0,0,E147/E149)</f>
        <v>2.6797019349629272E-2</v>
      </c>
    </row>
    <row r="140" spans="1:8" ht="20.100000000000001" customHeight="1" x14ac:dyDescent="0.2">
      <c r="A140" s="202">
        <v>6</v>
      </c>
      <c r="B140" s="195" t="s">
        <v>399</v>
      </c>
      <c r="C140" s="203">
        <f>IF(C149=0,0,C148/C149)</f>
        <v>1.7787520454094336E-3</v>
      </c>
      <c r="D140" s="203">
        <f>IF(D149=0,0,D148/D149)</f>
        <v>1.4642778880060135E-3</v>
      </c>
      <c r="E140" s="203">
        <f>IF(E149=0,0,E148/E149)</f>
        <v>1.6061586072429162E-3</v>
      </c>
    </row>
    <row r="141" spans="1:8" ht="20.100000000000001" customHeight="1" x14ac:dyDescent="0.2">
      <c r="A141" s="202">
        <v>7</v>
      </c>
      <c r="B141" s="195" t="s">
        <v>400</v>
      </c>
      <c r="C141" s="203">
        <f>SUM(C135:C140)</f>
        <v>1</v>
      </c>
      <c r="D141" s="203">
        <f>SUM(D135:D140)</f>
        <v>0.99999999999999989</v>
      </c>
      <c r="E141" s="203">
        <f>SUM(E135:E140)</f>
        <v>1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401</v>
      </c>
      <c r="C143" s="204">
        <f>+C46-C147</f>
        <v>270166999</v>
      </c>
      <c r="D143" s="205">
        <f>+D46-D147</f>
        <v>265657895</v>
      </c>
      <c r="E143" s="205">
        <f>+E46-E147</f>
        <v>261771823</v>
      </c>
    </row>
    <row r="144" spans="1:8" ht="20.100000000000001" customHeight="1" x14ac:dyDescent="0.2">
      <c r="A144" s="202">
        <v>9</v>
      </c>
      <c r="B144" s="201" t="s">
        <v>402</v>
      </c>
      <c r="C144" s="206">
        <f>+C51</f>
        <v>355419733</v>
      </c>
      <c r="D144" s="205">
        <f>+D51</f>
        <v>385186687</v>
      </c>
      <c r="E144" s="205">
        <f>+E51</f>
        <v>386256049</v>
      </c>
    </row>
    <row r="145" spans="1:7" ht="20.100000000000001" customHeight="1" x14ac:dyDescent="0.2">
      <c r="A145" s="202">
        <v>10</v>
      </c>
      <c r="B145" s="201" t="s">
        <v>403</v>
      </c>
      <c r="C145" s="206">
        <f>+C55</f>
        <v>129340113</v>
      </c>
      <c r="D145" s="205">
        <f>+D55</f>
        <v>172199236</v>
      </c>
      <c r="E145" s="205">
        <f>+E55</f>
        <v>188272265</v>
      </c>
    </row>
    <row r="146" spans="1:7" ht="20.100000000000001" customHeight="1" x14ac:dyDescent="0.2">
      <c r="A146" s="202">
        <v>11</v>
      </c>
      <c r="B146" s="201" t="s">
        <v>404</v>
      </c>
      <c r="C146" s="204">
        <v>23806973</v>
      </c>
      <c r="D146" s="205">
        <v>0</v>
      </c>
      <c r="E146" s="205">
        <v>0</v>
      </c>
    </row>
    <row r="147" spans="1:7" ht="20.100000000000001" customHeight="1" x14ac:dyDescent="0.2">
      <c r="A147" s="202">
        <v>12</v>
      </c>
      <c r="B147" s="201" t="s">
        <v>405</v>
      </c>
      <c r="C147" s="206">
        <f>+C47</f>
        <v>20581913</v>
      </c>
      <c r="D147" s="205">
        <f>+D47</f>
        <v>17571202</v>
      </c>
      <c r="E147" s="205">
        <f>+E47</f>
        <v>23065484</v>
      </c>
    </row>
    <row r="148" spans="1:7" ht="20.100000000000001" customHeight="1" x14ac:dyDescent="0.2">
      <c r="A148" s="202">
        <v>13</v>
      </c>
      <c r="B148" s="201" t="s">
        <v>406</v>
      </c>
      <c r="C148" s="206">
        <v>1424318</v>
      </c>
      <c r="D148" s="205">
        <v>1232699</v>
      </c>
      <c r="E148" s="205">
        <v>1382498</v>
      </c>
    </row>
    <row r="149" spans="1:7" ht="20.100000000000001" customHeight="1" x14ac:dyDescent="0.2">
      <c r="A149" s="202">
        <v>14</v>
      </c>
      <c r="B149" s="201" t="s">
        <v>407</v>
      </c>
      <c r="C149" s="204">
        <f>SUM(C143:C148)</f>
        <v>800740049</v>
      </c>
      <c r="D149" s="205">
        <f>SUM(D143:D148)</f>
        <v>841847719</v>
      </c>
      <c r="E149" s="205">
        <f>SUM(E143:E148)</f>
        <v>860748119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408</v>
      </c>
      <c r="B151" s="30" t="s">
        <v>409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410</v>
      </c>
      <c r="C152" s="203">
        <f>IF(C166=0,0,C160/C166)</f>
        <v>0.45769967285949853</v>
      </c>
      <c r="D152" s="203">
        <f>IF(D166=0,0,D160/D166)</f>
        <v>0.4599206945134317</v>
      </c>
      <c r="E152" s="203">
        <f>IF(E166=0,0,E160/E166)</f>
        <v>0.44781460581527582</v>
      </c>
    </row>
    <row r="153" spans="1:7" ht="20.100000000000001" customHeight="1" x14ac:dyDescent="0.2">
      <c r="A153" s="202">
        <v>2</v>
      </c>
      <c r="B153" s="195" t="s">
        <v>411</v>
      </c>
      <c r="C153" s="203">
        <f>IF(C166=0,0,C161/C166)</f>
        <v>0.36963328479544705</v>
      </c>
      <c r="D153" s="203">
        <f>IF(D166=0,0,D161/D166)</f>
        <v>0.36989498101814644</v>
      </c>
      <c r="E153" s="203">
        <f>IF(E166=0,0,E161/E166)</f>
        <v>0.38513679157446323</v>
      </c>
    </row>
    <row r="154" spans="1:7" ht="20.100000000000001" customHeight="1" x14ac:dyDescent="0.2">
      <c r="A154" s="202">
        <v>3</v>
      </c>
      <c r="B154" s="195" t="s">
        <v>412</v>
      </c>
      <c r="C154" s="203">
        <f>IF(C166=0,0,C162/C166)</f>
        <v>0.14135677917019054</v>
      </c>
      <c r="D154" s="203">
        <f>IF(D166=0,0,D162/D166)</f>
        <v>0.15945372702019572</v>
      </c>
      <c r="E154" s="203">
        <f>IF(E166=0,0,E162/E166)</f>
        <v>0.15319232358499091</v>
      </c>
    </row>
    <row r="155" spans="1:7" ht="20.100000000000001" customHeight="1" x14ac:dyDescent="0.2">
      <c r="A155" s="202">
        <v>4</v>
      </c>
      <c r="B155" s="195" t="s">
        <v>413</v>
      </c>
      <c r="C155" s="203">
        <f>IF(C166=0,0,C163/C166)</f>
        <v>1.2764740290878492E-2</v>
      </c>
      <c r="D155" s="203">
        <f>IF(D166=0,0,D163/D166)</f>
        <v>0</v>
      </c>
      <c r="E155" s="203">
        <f>IF(E166=0,0,E163/E166)</f>
        <v>0</v>
      </c>
      <c r="G155" s="6"/>
    </row>
    <row r="156" spans="1:7" ht="20.100000000000001" customHeight="1" x14ac:dyDescent="0.2">
      <c r="A156" s="202">
        <v>5</v>
      </c>
      <c r="B156" s="195" t="s">
        <v>414</v>
      </c>
      <c r="C156" s="203">
        <f>IF(C166=0,0,C164/C166)</f>
        <v>1.7446332955492711E-2</v>
      </c>
      <c r="D156" s="203">
        <f>IF(D166=0,0,D164/D166)</f>
        <v>9.4846230908302055E-3</v>
      </c>
      <c r="E156" s="203">
        <f>IF(E166=0,0,E164/E166)</f>
        <v>1.2447694994335833E-2</v>
      </c>
    </row>
    <row r="157" spans="1:7" ht="20.100000000000001" customHeight="1" x14ac:dyDescent="0.2">
      <c r="A157" s="202">
        <v>6</v>
      </c>
      <c r="B157" s="195" t="s">
        <v>415</v>
      </c>
      <c r="C157" s="203">
        <f>IF(C166=0,0,C165/C166)</f>
        <v>1.0991899284926914E-3</v>
      </c>
      <c r="D157" s="203">
        <f>IF(D166=0,0,D165/D166)</f>
        <v>1.2459743573959008E-3</v>
      </c>
      <c r="E157" s="203">
        <f>IF(E166=0,0,E165/E166)</f>
        <v>1.4085840309341804E-3</v>
      </c>
    </row>
    <row r="158" spans="1:7" ht="20.100000000000001" customHeight="1" x14ac:dyDescent="0.2">
      <c r="A158" s="202">
        <v>7</v>
      </c>
      <c r="B158" s="195" t="s">
        <v>416</v>
      </c>
      <c r="C158" s="203">
        <f>SUM(C152:C157)</f>
        <v>0.99999999999999989</v>
      </c>
      <c r="D158" s="203">
        <f>SUM(D152:D157)</f>
        <v>1</v>
      </c>
      <c r="E158" s="203">
        <f>SUM(E152:E157)</f>
        <v>1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417</v>
      </c>
      <c r="C160" s="207">
        <f>+C44-C164</f>
        <v>159605902</v>
      </c>
      <c r="D160" s="208">
        <f>+D44-D164</f>
        <v>171275260</v>
      </c>
      <c r="E160" s="208">
        <f>+E44-E164</f>
        <v>163567681</v>
      </c>
    </row>
    <row r="161" spans="1:6" ht="20.100000000000001" customHeight="1" x14ac:dyDescent="0.2">
      <c r="A161" s="202">
        <v>9</v>
      </c>
      <c r="B161" s="201" t="s">
        <v>418</v>
      </c>
      <c r="C161" s="209">
        <f>+C50</f>
        <v>128895993</v>
      </c>
      <c r="D161" s="208">
        <f>+D50</f>
        <v>137749529</v>
      </c>
      <c r="E161" s="208">
        <f>+E50</f>
        <v>140674134</v>
      </c>
    </row>
    <row r="162" spans="1:6" ht="20.100000000000001" customHeight="1" x14ac:dyDescent="0.2">
      <c r="A162" s="202">
        <v>10</v>
      </c>
      <c r="B162" s="201" t="s">
        <v>419</v>
      </c>
      <c r="C162" s="209">
        <f>+C54</f>
        <v>49292970</v>
      </c>
      <c r="D162" s="208">
        <f>+D54</f>
        <v>59380843</v>
      </c>
      <c r="E162" s="208">
        <f>+E54</f>
        <v>55954658</v>
      </c>
    </row>
    <row r="163" spans="1:6" ht="20.100000000000001" customHeight="1" x14ac:dyDescent="0.2">
      <c r="A163" s="202">
        <v>11</v>
      </c>
      <c r="B163" s="201" t="s">
        <v>420</v>
      </c>
      <c r="C163" s="207">
        <v>4451233</v>
      </c>
      <c r="D163" s="208">
        <v>0</v>
      </c>
      <c r="E163" s="208">
        <v>0</v>
      </c>
    </row>
    <row r="164" spans="1:6" ht="20.100000000000001" customHeight="1" x14ac:dyDescent="0.2">
      <c r="A164" s="202">
        <v>12</v>
      </c>
      <c r="B164" s="201" t="s">
        <v>421</v>
      </c>
      <c r="C164" s="209">
        <f>+C45</f>
        <v>6083766</v>
      </c>
      <c r="D164" s="208">
        <f>+D45</f>
        <v>3532090</v>
      </c>
      <c r="E164" s="208">
        <f>+E45</f>
        <v>4546615</v>
      </c>
    </row>
    <row r="165" spans="1:6" ht="20.100000000000001" customHeight="1" x14ac:dyDescent="0.2">
      <c r="A165" s="202">
        <v>13</v>
      </c>
      <c r="B165" s="201" t="s">
        <v>422</v>
      </c>
      <c r="C165" s="209">
        <v>383302</v>
      </c>
      <c r="D165" s="208">
        <v>464003</v>
      </c>
      <c r="E165" s="208">
        <v>514496</v>
      </c>
    </row>
    <row r="166" spans="1:6" ht="20.100000000000001" customHeight="1" x14ac:dyDescent="0.2">
      <c r="A166" s="202">
        <v>14</v>
      </c>
      <c r="B166" s="201" t="s">
        <v>423</v>
      </c>
      <c r="C166" s="207">
        <f>SUM(C160:C165)</f>
        <v>348713166</v>
      </c>
      <c r="D166" s="208">
        <f>SUM(D160:D165)</f>
        <v>372401725</v>
      </c>
      <c r="E166" s="208">
        <f>SUM(E160:E165)</f>
        <v>365257584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424</v>
      </c>
      <c r="B168" s="30" t="s">
        <v>385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425</v>
      </c>
      <c r="C169" s="198">
        <v>6207</v>
      </c>
      <c r="D169" s="198">
        <v>6033</v>
      </c>
      <c r="E169" s="198">
        <v>5345</v>
      </c>
    </row>
    <row r="170" spans="1:6" ht="20.100000000000001" customHeight="1" x14ac:dyDescent="0.2">
      <c r="A170" s="202">
        <v>2</v>
      </c>
      <c r="B170" s="201" t="s">
        <v>426</v>
      </c>
      <c r="C170" s="198">
        <v>8738</v>
      </c>
      <c r="D170" s="198">
        <v>9651</v>
      </c>
      <c r="E170" s="198">
        <v>8524</v>
      </c>
    </row>
    <row r="171" spans="1:6" ht="20.100000000000001" customHeight="1" x14ac:dyDescent="0.2">
      <c r="A171" s="202">
        <v>3</v>
      </c>
      <c r="B171" s="201" t="s">
        <v>427</v>
      </c>
      <c r="C171" s="198">
        <v>4535</v>
      </c>
      <c r="D171" s="198">
        <v>4816</v>
      </c>
      <c r="E171" s="198">
        <v>4352</v>
      </c>
    </row>
    <row r="172" spans="1:6" ht="20.100000000000001" customHeight="1" x14ac:dyDescent="0.2">
      <c r="A172" s="202">
        <v>4</v>
      </c>
      <c r="B172" s="201" t="s">
        <v>428</v>
      </c>
      <c r="C172" s="198">
        <v>4042</v>
      </c>
      <c r="D172" s="198">
        <v>4816</v>
      </c>
      <c r="E172" s="198">
        <v>4352</v>
      </c>
    </row>
    <row r="173" spans="1:6" ht="20.100000000000001" customHeight="1" x14ac:dyDescent="0.2">
      <c r="A173" s="202">
        <v>5</v>
      </c>
      <c r="B173" s="201" t="s">
        <v>429</v>
      </c>
      <c r="C173" s="198">
        <v>493</v>
      </c>
      <c r="D173" s="198">
        <v>0</v>
      </c>
      <c r="E173" s="198">
        <v>0</v>
      </c>
    </row>
    <row r="174" spans="1:6" ht="20.100000000000001" customHeight="1" x14ac:dyDescent="0.2">
      <c r="A174" s="202">
        <v>6</v>
      </c>
      <c r="B174" s="201" t="s">
        <v>430</v>
      </c>
      <c r="C174" s="198">
        <v>37</v>
      </c>
      <c r="D174" s="198">
        <v>46</v>
      </c>
      <c r="E174" s="198">
        <v>31</v>
      </c>
    </row>
    <row r="175" spans="1:6" ht="20.100000000000001" customHeight="1" x14ac:dyDescent="0.2">
      <c r="A175" s="202">
        <v>7</v>
      </c>
      <c r="B175" s="201" t="s">
        <v>431</v>
      </c>
      <c r="C175" s="198">
        <v>334</v>
      </c>
      <c r="D175" s="198">
        <v>187</v>
      </c>
      <c r="E175" s="198">
        <v>200</v>
      </c>
    </row>
    <row r="176" spans="1:6" ht="20.100000000000001" customHeight="1" x14ac:dyDescent="0.2">
      <c r="A176" s="202">
        <v>8</v>
      </c>
      <c r="B176" s="201" t="s">
        <v>432</v>
      </c>
      <c r="C176" s="198">
        <f>+C169+C170+C171+C174</f>
        <v>19517</v>
      </c>
      <c r="D176" s="198">
        <f>+D169+D170+D171+D174</f>
        <v>20546</v>
      </c>
      <c r="E176" s="198">
        <f>+E169+E170+E171+E174</f>
        <v>18252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433</v>
      </c>
      <c r="B178" s="30" t="s">
        <v>434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425</v>
      </c>
      <c r="C179" s="210">
        <v>1.1018399999999999</v>
      </c>
      <c r="D179" s="210">
        <v>1.09074</v>
      </c>
      <c r="E179" s="210">
        <v>1.0782</v>
      </c>
    </row>
    <row r="180" spans="1:6" ht="20.100000000000001" customHeight="1" x14ac:dyDescent="0.2">
      <c r="A180" s="202">
        <v>2</v>
      </c>
      <c r="B180" s="201" t="s">
        <v>426</v>
      </c>
      <c r="C180" s="210">
        <v>1.3634299999999999</v>
      </c>
      <c r="D180" s="210">
        <v>1.3198799999999999</v>
      </c>
      <c r="E180" s="210">
        <v>1.3797999999999999</v>
      </c>
    </row>
    <row r="181" spans="1:6" ht="20.100000000000001" customHeight="1" x14ac:dyDescent="0.2">
      <c r="A181" s="202">
        <v>3</v>
      </c>
      <c r="B181" s="201" t="s">
        <v>427</v>
      </c>
      <c r="C181" s="210">
        <v>0.96284700000000001</v>
      </c>
      <c r="D181" s="210">
        <v>0.97274000000000005</v>
      </c>
      <c r="E181" s="210">
        <v>0.99860000000000004</v>
      </c>
    </row>
    <row r="182" spans="1:6" ht="20.100000000000001" customHeight="1" x14ac:dyDescent="0.2">
      <c r="A182" s="202">
        <v>4</v>
      </c>
      <c r="B182" s="201" t="s">
        <v>428</v>
      </c>
      <c r="C182" s="210">
        <v>0.92566999999999999</v>
      </c>
      <c r="D182" s="210">
        <v>0.97274000000000005</v>
      </c>
      <c r="E182" s="210">
        <v>0.99860000000000004</v>
      </c>
    </row>
    <row r="183" spans="1:6" ht="20.100000000000001" customHeight="1" x14ac:dyDescent="0.2">
      <c r="A183" s="202">
        <v>5</v>
      </c>
      <c r="B183" s="201" t="s">
        <v>429</v>
      </c>
      <c r="C183" s="210">
        <v>1.26766</v>
      </c>
      <c r="D183" s="210">
        <v>0</v>
      </c>
      <c r="E183" s="210">
        <v>0</v>
      </c>
    </row>
    <row r="184" spans="1:6" ht="20.100000000000001" customHeight="1" x14ac:dyDescent="0.2">
      <c r="A184" s="202">
        <v>6</v>
      </c>
      <c r="B184" s="201" t="s">
        <v>430</v>
      </c>
      <c r="C184" s="210">
        <v>0.96677999999999997</v>
      </c>
      <c r="D184" s="210">
        <v>0.76080999999999999</v>
      </c>
      <c r="E184" s="210">
        <v>1.1358999999999999</v>
      </c>
    </row>
    <row r="185" spans="1:6" ht="20.100000000000001" customHeight="1" x14ac:dyDescent="0.2">
      <c r="A185" s="202">
        <v>7</v>
      </c>
      <c r="B185" s="201" t="s">
        <v>431</v>
      </c>
      <c r="C185" s="210">
        <v>0.91161000000000003</v>
      </c>
      <c r="D185" s="210">
        <v>1.0122800000000001</v>
      </c>
      <c r="E185" s="210">
        <v>0.99860000000000004</v>
      </c>
    </row>
    <row r="186" spans="1:6" ht="20.100000000000001" customHeight="1" x14ac:dyDescent="0.2">
      <c r="A186" s="202">
        <v>8</v>
      </c>
      <c r="B186" s="201" t="s">
        <v>435</v>
      </c>
      <c r="C186" s="210">
        <v>1.186404</v>
      </c>
      <c r="D186" s="210">
        <v>1.169975</v>
      </c>
      <c r="E186" s="210">
        <v>1.20017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436</v>
      </c>
      <c r="B188" s="30" t="s">
        <v>437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438</v>
      </c>
      <c r="C189" s="198">
        <v>15051</v>
      </c>
      <c r="D189" s="198">
        <v>14219</v>
      </c>
      <c r="E189" s="198">
        <v>14064</v>
      </c>
    </row>
    <row r="190" spans="1:6" ht="20.100000000000001" customHeight="1" x14ac:dyDescent="0.2">
      <c r="A190" s="202">
        <v>2</v>
      </c>
      <c r="B190" s="201" t="s">
        <v>439</v>
      </c>
      <c r="C190" s="198">
        <v>90611</v>
      </c>
      <c r="D190" s="198">
        <v>94835</v>
      </c>
      <c r="E190" s="198">
        <v>96434</v>
      </c>
    </row>
    <row r="191" spans="1:6" ht="20.100000000000001" customHeight="1" x14ac:dyDescent="0.2">
      <c r="A191" s="202">
        <v>3</v>
      </c>
      <c r="B191" s="201" t="s">
        <v>440</v>
      </c>
      <c r="C191" s="198">
        <f>+C190+C189</f>
        <v>105662</v>
      </c>
      <c r="D191" s="198">
        <f>+D190+D189</f>
        <v>109054</v>
      </c>
      <c r="E191" s="198">
        <f>+E190+E189</f>
        <v>110498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FILING&amp;RTHE HOSPITAL OF CENTRAL CONNECTICUT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workbookViewId="0"/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4" width="21.140625" style="211" customWidth="1"/>
    <col min="5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4" t="s">
        <v>0</v>
      </c>
      <c r="B2" s="674"/>
      <c r="C2" s="674"/>
      <c r="D2" s="674"/>
      <c r="E2" s="674"/>
      <c r="F2" s="674"/>
    </row>
    <row r="3" spans="1:7" ht="20.25" customHeight="1" x14ac:dyDescent="0.3">
      <c r="A3" s="674" t="s">
        <v>1</v>
      </c>
      <c r="B3" s="674"/>
      <c r="C3" s="674"/>
      <c r="D3" s="674"/>
      <c r="E3" s="674"/>
      <c r="F3" s="674"/>
    </row>
    <row r="4" spans="1:7" ht="20.25" customHeight="1" x14ac:dyDescent="0.3">
      <c r="A4" s="674" t="s">
        <v>2</v>
      </c>
      <c r="B4" s="674"/>
      <c r="C4" s="674"/>
      <c r="D4" s="674"/>
      <c r="E4" s="674"/>
      <c r="F4" s="674"/>
    </row>
    <row r="5" spans="1:7" ht="20.25" customHeight="1" x14ac:dyDescent="0.3">
      <c r="A5" s="674" t="s">
        <v>441</v>
      </c>
      <c r="B5" s="674"/>
      <c r="C5" s="674"/>
      <c r="D5" s="674"/>
      <c r="E5" s="674"/>
      <c r="F5" s="674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442</v>
      </c>
      <c r="D8" s="223" t="s">
        <v>443</v>
      </c>
      <c r="E8" s="223" t="s">
        <v>444</v>
      </c>
      <c r="F8" s="224" t="s">
        <v>108</v>
      </c>
      <c r="G8" s="212"/>
    </row>
    <row r="9" spans="1:7" ht="20.25" customHeight="1" x14ac:dyDescent="0.3">
      <c r="A9" s="225"/>
      <c r="B9" s="226"/>
      <c r="C9" s="675"/>
      <c r="D9" s="676"/>
      <c r="E9" s="676"/>
      <c r="F9" s="677"/>
      <c r="G9" s="212"/>
    </row>
    <row r="10" spans="1:7" ht="20.25" customHeight="1" x14ac:dyDescent="0.3">
      <c r="A10" s="678" t="s">
        <v>12</v>
      </c>
      <c r="B10" s="680" t="s">
        <v>113</v>
      </c>
      <c r="C10" s="682"/>
      <c r="D10" s="683"/>
      <c r="E10" s="683"/>
      <c r="F10" s="684"/>
    </row>
    <row r="11" spans="1:7" ht="20.25" customHeight="1" x14ac:dyDescent="0.3">
      <c r="A11" s="679"/>
      <c r="B11" s="681"/>
      <c r="C11" s="685"/>
      <c r="D11" s="686"/>
      <c r="E11" s="686"/>
      <c r="F11" s="687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445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446</v>
      </c>
      <c r="C14" s="237">
        <v>1869156</v>
      </c>
      <c r="D14" s="237">
        <v>2246334</v>
      </c>
      <c r="E14" s="237">
        <f t="shared" ref="E14:E24" si="0">D14-C14</f>
        <v>377178</v>
      </c>
      <c r="F14" s="238">
        <f t="shared" ref="F14:F24" si="1">IF(C14=0,0,E14/C14)</f>
        <v>0.20179054075743277</v>
      </c>
    </row>
    <row r="15" spans="1:7" ht="20.25" customHeight="1" x14ac:dyDescent="0.3">
      <c r="A15" s="235">
        <v>2</v>
      </c>
      <c r="B15" s="236" t="s">
        <v>447</v>
      </c>
      <c r="C15" s="237">
        <v>693389</v>
      </c>
      <c r="D15" s="237">
        <v>865157</v>
      </c>
      <c r="E15" s="237">
        <f t="shared" si="0"/>
        <v>171768</v>
      </c>
      <c r="F15" s="238">
        <f t="shared" si="1"/>
        <v>0.24772241844044252</v>
      </c>
    </row>
    <row r="16" spans="1:7" ht="20.25" customHeight="1" x14ac:dyDescent="0.3">
      <c r="A16" s="235">
        <v>3</v>
      </c>
      <c r="B16" s="236" t="s">
        <v>448</v>
      </c>
      <c r="C16" s="237">
        <v>1106564</v>
      </c>
      <c r="D16" s="237">
        <v>1814548</v>
      </c>
      <c r="E16" s="237">
        <f t="shared" si="0"/>
        <v>707984</v>
      </c>
      <c r="F16" s="238">
        <f t="shared" si="1"/>
        <v>0.63980393361793808</v>
      </c>
    </row>
    <row r="17" spans="1:6" ht="20.25" customHeight="1" x14ac:dyDescent="0.3">
      <c r="A17" s="235">
        <v>4</v>
      </c>
      <c r="B17" s="236" t="s">
        <v>449</v>
      </c>
      <c r="C17" s="237">
        <v>416806</v>
      </c>
      <c r="D17" s="237">
        <v>497733</v>
      </c>
      <c r="E17" s="237">
        <f t="shared" si="0"/>
        <v>80927</v>
      </c>
      <c r="F17" s="238">
        <f t="shared" si="1"/>
        <v>0.19415987293848938</v>
      </c>
    </row>
    <row r="18" spans="1:6" ht="20.25" customHeight="1" x14ac:dyDescent="0.3">
      <c r="A18" s="235">
        <v>5</v>
      </c>
      <c r="B18" s="236" t="s">
        <v>385</v>
      </c>
      <c r="C18" s="239">
        <v>68</v>
      </c>
      <c r="D18" s="239">
        <v>69</v>
      </c>
      <c r="E18" s="239">
        <f t="shared" si="0"/>
        <v>1</v>
      </c>
      <c r="F18" s="238">
        <f t="shared" si="1"/>
        <v>1.4705882352941176E-2</v>
      </c>
    </row>
    <row r="19" spans="1:6" ht="20.25" customHeight="1" x14ac:dyDescent="0.3">
      <c r="A19" s="235">
        <v>6</v>
      </c>
      <c r="B19" s="236" t="s">
        <v>384</v>
      </c>
      <c r="C19" s="239">
        <v>330</v>
      </c>
      <c r="D19" s="239">
        <v>338</v>
      </c>
      <c r="E19" s="239">
        <f t="shared" si="0"/>
        <v>8</v>
      </c>
      <c r="F19" s="238">
        <f t="shared" si="1"/>
        <v>2.4242424242424242E-2</v>
      </c>
    </row>
    <row r="20" spans="1:6" ht="20.25" customHeight="1" x14ac:dyDescent="0.3">
      <c r="A20" s="235">
        <v>7</v>
      </c>
      <c r="B20" s="236" t="s">
        <v>450</v>
      </c>
      <c r="C20" s="239">
        <v>525</v>
      </c>
      <c r="D20" s="239">
        <v>860</v>
      </c>
      <c r="E20" s="239">
        <f t="shared" si="0"/>
        <v>335</v>
      </c>
      <c r="F20" s="238">
        <f t="shared" si="1"/>
        <v>0.63809523809523805</v>
      </c>
    </row>
    <row r="21" spans="1:6" ht="20.25" customHeight="1" x14ac:dyDescent="0.3">
      <c r="A21" s="235">
        <v>8</v>
      </c>
      <c r="B21" s="236" t="s">
        <v>451</v>
      </c>
      <c r="C21" s="239">
        <v>89</v>
      </c>
      <c r="D21" s="239">
        <v>133</v>
      </c>
      <c r="E21" s="239">
        <f t="shared" si="0"/>
        <v>44</v>
      </c>
      <c r="F21" s="238">
        <f t="shared" si="1"/>
        <v>0.4943820224719101</v>
      </c>
    </row>
    <row r="22" spans="1:6" ht="20.25" customHeight="1" x14ac:dyDescent="0.3">
      <c r="A22" s="235">
        <v>9</v>
      </c>
      <c r="B22" s="236" t="s">
        <v>452</v>
      </c>
      <c r="C22" s="239">
        <v>32</v>
      </c>
      <c r="D22" s="239">
        <v>50</v>
      </c>
      <c r="E22" s="239">
        <f t="shared" si="0"/>
        <v>18</v>
      </c>
      <c r="F22" s="238">
        <f t="shared" si="1"/>
        <v>0.5625</v>
      </c>
    </row>
    <row r="23" spans="1:6" s="240" customFormat="1" ht="20.25" customHeight="1" x14ac:dyDescent="0.3">
      <c r="A23" s="241"/>
      <c r="B23" s="242" t="s">
        <v>453</v>
      </c>
      <c r="C23" s="243">
        <f>+C14+C16</f>
        <v>2975720</v>
      </c>
      <c r="D23" s="243">
        <f>+D14+D16</f>
        <v>4060882</v>
      </c>
      <c r="E23" s="243">
        <f t="shared" si="0"/>
        <v>1085162</v>
      </c>
      <c r="F23" s="244">
        <f t="shared" si="1"/>
        <v>0.36467207936230561</v>
      </c>
    </row>
    <row r="24" spans="1:6" s="240" customFormat="1" ht="20.25" customHeight="1" x14ac:dyDescent="0.3">
      <c r="A24" s="241"/>
      <c r="B24" s="242" t="s">
        <v>454</v>
      </c>
      <c r="C24" s="243">
        <f>+C15+C17</f>
        <v>1110195</v>
      </c>
      <c r="D24" s="243">
        <f>+D15+D17</f>
        <v>1362890</v>
      </c>
      <c r="E24" s="243">
        <f t="shared" si="0"/>
        <v>252695</v>
      </c>
      <c r="F24" s="244">
        <f t="shared" si="1"/>
        <v>0.22761316705623788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455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446</v>
      </c>
      <c r="C27" s="237">
        <v>11303</v>
      </c>
      <c r="D27" s="237">
        <v>0</v>
      </c>
      <c r="E27" s="237">
        <f t="shared" ref="E27:E37" si="2">D27-C27</f>
        <v>-11303</v>
      </c>
      <c r="F27" s="238">
        <f t="shared" ref="F27:F37" si="3">IF(C27=0,0,E27/C27)</f>
        <v>-1</v>
      </c>
    </row>
    <row r="28" spans="1:6" ht="20.25" customHeight="1" x14ac:dyDescent="0.3">
      <c r="A28" s="235">
        <v>2</v>
      </c>
      <c r="B28" s="236" t="s">
        <v>447</v>
      </c>
      <c r="C28" s="237">
        <v>5324</v>
      </c>
      <c r="D28" s="237">
        <v>0</v>
      </c>
      <c r="E28" s="237">
        <f t="shared" si="2"/>
        <v>-5324</v>
      </c>
      <c r="F28" s="238">
        <f t="shared" si="3"/>
        <v>-1</v>
      </c>
    </row>
    <row r="29" spans="1:6" ht="20.25" customHeight="1" x14ac:dyDescent="0.3">
      <c r="A29" s="235">
        <v>3</v>
      </c>
      <c r="B29" s="236" t="s">
        <v>448</v>
      </c>
      <c r="C29" s="237">
        <v>12094</v>
      </c>
      <c r="D29" s="237">
        <v>1342</v>
      </c>
      <c r="E29" s="237">
        <f t="shared" si="2"/>
        <v>-10752</v>
      </c>
      <c r="F29" s="238">
        <f t="shared" si="3"/>
        <v>-0.8890358855630891</v>
      </c>
    </row>
    <row r="30" spans="1:6" ht="20.25" customHeight="1" x14ac:dyDescent="0.3">
      <c r="A30" s="235">
        <v>4</v>
      </c>
      <c r="B30" s="236" t="s">
        <v>449</v>
      </c>
      <c r="C30" s="237">
        <v>2970</v>
      </c>
      <c r="D30" s="237">
        <v>433</v>
      </c>
      <c r="E30" s="237">
        <f t="shared" si="2"/>
        <v>-2537</v>
      </c>
      <c r="F30" s="238">
        <f t="shared" si="3"/>
        <v>-0.8542087542087542</v>
      </c>
    </row>
    <row r="31" spans="1:6" ht="20.25" customHeight="1" x14ac:dyDescent="0.3">
      <c r="A31" s="235">
        <v>5</v>
      </c>
      <c r="B31" s="236" t="s">
        <v>385</v>
      </c>
      <c r="C31" s="239">
        <v>1</v>
      </c>
      <c r="D31" s="239">
        <v>0</v>
      </c>
      <c r="E31" s="239">
        <f t="shared" si="2"/>
        <v>-1</v>
      </c>
      <c r="F31" s="238">
        <f t="shared" si="3"/>
        <v>-1</v>
      </c>
    </row>
    <row r="32" spans="1:6" ht="20.25" customHeight="1" x14ac:dyDescent="0.3">
      <c r="A32" s="235">
        <v>6</v>
      </c>
      <c r="B32" s="236" t="s">
        <v>384</v>
      </c>
      <c r="C32" s="239">
        <v>2</v>
      </c>
      <c r="D32" s="239">
        <v>0</v>
      </c>
      <c r="E32" s="239">
        <f t="shared" si="2"/>
        <v>-2</v>
      </c>
      <c r="F32" s="238">
        <f t="shared" si="3"/>
        <v>-1</v>
      </c>
    </row>
    <row r="33" spans="1:6" ht="20.25" customHeight="1" x14ac:dyDescent="0.3">
      <c r="A33" s="235">
        <v>7</v>
      </c>
      <c r="B33" s="236" t="s">
        <v>450</v>
      </c>
      <c r="C33" s="239">
        <v>12</v>
      </c>
      <c r="D33" s="239">
        <v>1</v>
      </c>
      <c r="E33" s="239">
        <f t="shared" si="2"/>
        <v>-11</v>
      </c>
      <c r="F33" s="238">
        <f t="shared" si="3"/>
        <v>-0.91666666666666663</v>
      </c>
    </row>
    <row r="34" spans="1:6" ht="20.25" customHeight="1" x14ac:dyDescent="0.3">
      <c r="A34" s="235">
        <v>8</v>
      </c>
      <c r="B34" s="236" t="s">
        <v>451</v>
      </c>
      <c r="C34" s="239">
        <v>2</v>
      </c>
      <c r="D34" s="239">
        <v>0</v>
      </c>
      <c r="E34" s="239">
        <f t="shared" si="2"/>
        <v>-2</v>
      </c>
      <c r="F34" s="238">
        <f t="shared" si="3"/>
        <v>-1</v>
      </c>
    </row>
    <row r="35" spans="1:6" ht="20.25" customHeight="1" x14ac:dyDescent="0.3">
      <c r="A35" s="235">
        <v>9</v>
      </c>
      <c r="B35" s="236" t="s">
        <v>452</v>
      </c>
      <c r="C35" s="239">
        <v>1</v>
      </c>
      <c r="D35" s="239">
        <v>0</v>
      </c>
      <c r="E35" s="239">
        <f t="shared" si="2"/>
        <v>-1</v>
      </c>
      <c r="F35" s="238">
        <f t="shared" si="3"/>
        <v>-1</v>
      </c>
    </row>
    <row r="36" spans="1:6" s="240" customFormat="1" ht="20.25" customHeight="1" x14ac:dyDescent="0.3">
      <c r="A36" s="241"/>
      <c r="B36" s="242" t="s">
        <v>453</v>
      </c>
      <c r="C36" s="243">
        <f>+C27+C29</f>
        <v>23397</v>
      </c>
      <c r="D36" s="243">
        <f>+D27+D29</f>
        <v>1342</v>
      </c>
      <c r="E36" s="243">
        <f t="shared" si="2"/>
        <v>-22055</v>
      </c>
      <c r="F36" s="244">
        <f t="shared" si="3"/>
        <v>-0.94264221908791723</v>
      </c>
    </row>
    <row r="37" spans="1:6" s="240" customFormat="1" ht="20.25" customHeight="1" x14ac:dyDescent="0.3">
      <c r="A37" s="241"/>
      <c r="B37" s="242" t="s">
        <v>454</v>
      </c>
      <c r="C37" s="243">
        <f>+C28+C30</f>
        <v>8294</v>
      </c>
      <c r="D37" s="243">
        <f>+D28+D30</f>
        <v>433</v>
      </c>
      <c r="E37" s="243">
        <f t="shared" si="2"/>
        <v>-7861</v>
      </c>
      <c r="F37" s="244">
        <f t="shared" si="3"/>
        <v>-0.94779358572462025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456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446</v>
      </c>
      <c r="C40" s="237">
        <v>9218293</v>
      </c>
      <c r="D40" s="237">
        <v>12832086</v>
      </c>
      <c r="E40" s="237">
        <f t="shared" ref="E40:E50" si="4">D40-C40</f>
        <v>3613793</v>
      </c>
      <c r="F40" s="238">
        <f t="shared" ref="F40:F50" si="5">IF(C40=0,0,E40/C40)</f>
        <v>0.39202409817088696</v>
      </c>
    </row>
    <row r="41" spans="1:6" ht="20.25" customHeight="1" x14ac:dyDescent="0.3">
      <c r="A41" s="235">
        <v>2</v>
      </c>
      <c r="B41" s="236" t="s">
        <v>447</v>
      </c>
      <c r="C41" s="237">
        <v>3802971</v>
      </c>
      <c r="D41" s="237">
        <v>5370096</v>
      </c>
      <c r="E41" s="237">
        <f t="shared" si="4"/>
        <v>1567125</v>
      </c>
      <c r="F41" s="238">
        <f t="shared" si="5"/>
        <v>0.41207913497105292</v>
      </c>
    </row>
    <row r="42" spans="1:6" ht="20.25" customHeight="1" x14ac:dyDescent="0.3">
      <c r="A42" s="235">
        <v>3</v>
      </c>
      <c r="B42" s="236" t="s">
        <v>448</v>
      </c>
      <c r="C42" s="237">
        <v>6609848</v>
      </c>
      <c r="D42" s="237">
        <v>10600518</v>
      </c>
      <c r="E42" s="237">
        <f t="shared" si="4"/>
        <v>3990670</v>
      </c>
      <c r="F42" s="238">
        <f t="shared" si="5"/>
        <v>0.60374610732349665</v>
      </c>
    </row>
    <row r="43" spans="1:6" ht="20.25" customHeight="1" x14ac:dyDescent="0.3">
      <c r="A43" s="235">
        <v>4</v>
      </c>
      <c r="B43" s="236" t="s">
        <v>449</v>
      </c>
      <c r="C43" s="237">
        <v>1800084</v>
      </c>
      <c r="D43" s="237">
        <v>2859712</v>
      </c>
      <c r="E43" s="237">
        <f t="shared" si="4"/>
        <v>1059628</v>
      </c>
      <c r="F43" s="238">
        <f t="shared" si="5"/>
        <v>0.58865475166714443</v>
      </c>
    </row>
    <row r="44" spans="1:6" ht="20.25" customHeight="1" x14ac:dyDescent="0.3">
      <c r="A44" s="235">
        <v>5</v>
      </c>
      <c r="B44" s="236" t="s">
        <v>385</v>
      </c>
      <c r="C44" s="239">
        <v>378</v>
      </c>
      <c r="D44" s="239">
        <v>502</v>
      </c>
      <c r="E44" s="239">
        <f t="shared" si="4"/>
        <v>124</v>
      </c>
      <c r="F44" s="238">
        <f t="shared" si="5"/>
        <v>0.32804232804232802</v>
      </c>
    </row>
    <row r="45" spans="1:6" ht="20.25" customHeight="1" x14ac:dyDescent="0.3">
      <c r="A45" s="235">
        <v>6</v>
      </c>
      <c r="B45" s="236" t="s">
        <v>384</v>
      </c>
      <c r="C45" s="239">
        <v>1419</v>
      </c>
      <c r="D45" s="239">
        <v>2142</v>
      </c>
      <c r="E45" s="239">
        <f t="shared" si="4"/>
        <v>723</v>
      </c>
      <c r="F45" s="238">
        <f t="shared" si="5"/>
        <v>0.5095137420718816</v>
      </c>
    </row>
    <row r="46" spans="1:6" ht="20.25" customHeight="1" x14ac:dyDescent="0.3">
      <c r="A46" s="235">
        <v>7</v>
      </c>
      <c r="B46" s="236" t="s">
        <v>450</v>
      </c>
      <c r="C46" s="239">
        <v>3943</v>
      </c>
      <c r="D46" s="239">
        <v>5848</v>
      </c>
      <c r="E46" s="239">
        <f t="shared" si="4"/>
        <v>1905</v>
      </c>
      <c r="F46" s="238">
        <f t="shared" si="5"/>
        <v>0.48313466903373065</v>
      </c>
    </row>
    <row r="47" spans="1:6" ht="20.25" customHeight="1" x14ac:dyDescent="0.3">
      <c r="A47" s="235">
        <v>8</v>
      </c>
      <c r="B47" s="236" t="s">
        <v>451</v>
      </c>
      <c r="C47" s="239">
        <v>672</v>
      </c>
      <c r="D47" s="239">
        <v>902</v>
      </c>
      <c r="E47" s="239">
        <f t="shared" si="4"/>
        <v>230</v>
      </c>
      <c r="F47" s="238">
        <f t="shared" si="5"/>
        <v>0.34226190476190477</v>
      </c>
    </row>
    <row r="48" spans="1:6" ht="20.25" customHeight="1" x14ac:dyDescent="0.3">
      <c r="A48" s="235">
        <v>9</v>
      </c>
      <c r="B48" s="236" t="s">
        <v>452</v>
      </c>
      <c r="C48" s="239">
        <v>242</v>
      </c>
      <c r="D48" s="239">
        <v>334</v>
      </c>
      <c r="E48" s="239">
        <f t="shared" si="4"/>
        <v>92</v>
      </c>
      <c r="F48" s="238">
        <f t="shared" si="5"/>
        <v>0.38016528925619836</v>
      </c>
    </row>
    <row r="49" spans="1:6" s="240" customFormat="1" ht="20.25" customHeight="1" x14ac:dyDescent="0.3">
      <c r="A49" s="241"/>
      <c r="B49" s="242" t="s">
        <v>453</v>
      </c>
      <c r="C49" s="243">
        <f>+C40+C42</f>
        <v>15828141</v>
      </c>
      <c r="D49" s="243">
        <f>+D40+D42</f>
        <v>23432604</v>
      </c>
      <c r="E49" s="243">
        <f t="shared" si="4"/>
        <v>7604463</v>
      </c>
      <c r="F49" s="244">
        <f t="shared" si="5"/>
        <v>0.48043942747287882</v>
      </c>
    </row>
    <row r="50" spans="1:6" s="240" customFormat="1" ht="20.25" customHeight="1" x14ac:dyDescent="0.3">
      <c r="A50" s="241"/>
      <c r="B50" s="242" t="s">
        <v>454</v>
      </c>
      <c r="C50" s="243">
        <f>+C41+C43</f>
        <v>5603055</v>
      </c>
      <c r="D50" s="243">
        <f>+D41+D43</f>
        <v>8229808</v>
      </c>
      <c r="E50" s="243">
        <f t="shared" si="4"/>
        <v>2626753</v>
      </c>
      <c r="F50" s="244">
        <f t="shared" si="5"/>
        <v>0.46880728459742049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457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446</v>
      </c>
      <c r="C53" s="237">
        <v>7299855</v>
      </c>
      <c r="D53" s="237">
        <v>0</v>
      </c>
      <c r="E53" s="237">
        <f t="shared" ref="E53:E63" si="6">D53-C53</f>
        <v>-7299855</v>
      </c>
      <c r="F53" s="238">
        <f t="shared" ref="F53:F63" si="7">IF(C53=0,0,E53/C53)</f>
        <v>-1</v>
      </c>
    </row>
    <row r="54" spans="1:6" ht="20.25" customHeight="1" x14ac:dyDescent="0.3">
      <c r="A54" s="235">
        <v>2</v>
      </c>
      <c r="B54" s="236" t="s">
        <v>447</v>
      </c>
      <c r="C54" s="237">
        <v>2737121</v>
      </c>
      <c r="D54" s="237">
        <v>0</v>
      </c>
      <c r="E54" s="237">
        <f t="shared" si="6"/>
        <v>-2737121</v>
      </c>
      <c r="F54" s="238">
        <f t="shared" si="7"/>
        <v>-1</v>
      </c>
    </row>
    <row r="55" spans="1:6" ht="20.25" customHeight="1" x14ac:dyDescent="0.3">
      <c r="A55" s="235">
        <v>3</v>
      </c>
      <c r="B55" s="236" t="s">
        <v>448</v>
      </c>
      <c r="C55" s="237">
        <v>2922940</v>
      </c>
      <c r="D55" s="237">
        <v>0</v>
      </c>
      <c r="E55" s="237">
        <f t="shared" si="6"/>
        <v>-2922940</v>
      </c>
      <c r="F55" s="238">
        <f t="shared" si="7"/>
        <v>-1</v>
      </c>
    </row>
    <row r="56" spans="1:6" ht="20.25" customHeight="1" x14ac:dyDescent="0.3">
      <c r="A56" s="235">
        <v>4</v>
      </c>
      <c r="B56" s="236" t="s">
        <v>449</v>
      </c>
      <c r="C56" s="237">
        <v>847601</v>
      </c>
      <c r="D56" s="237">
        <v>0</v>
      </c>
      <c r="E56" s="237">
        <f t="shared" si="6"/>
        <v>-847601</v>
      </c>
      <c r="F56" s="238">
        <f t="shared" si="7"/>
        <v>-1</v>
      </c>
    </row>
    <row r="57" spans="1:6" ht="20.25" customHeight="1" x14ac:dyDescent="0.3">
      <c r="A57" s="235">
        <v>5</v>
      </c>
      <c r="B57" s="236" t="s">
        <v>385</v>
      </c>
      <c r="C57" s="239">
        <v>254</v>
      </c>
      <c r="D57" s="239">
        <v>0</v>
      </c>
      <c r="E57" s="239">
        <f t="shared" si="6"/>
        <v>-254</v>
      </c>
      <c r="F57" s="238">
        <f t="shared" si="7"/>
        <v>-1</v>
      </c>
    </row>
    <row r="58" spans="1:6" ht="20.25" customHeight="1" x14ac:dyDescent="0.3">
      <c r="A58" s="235">
        <v>6</v>
      </c>
      <c r="B58" s="236" t="s">
        <v>384</v>
      </c>
      <c r="C58" s="239">
        <v>1227</v>
      </c>
      <c r="D58" s="239">
        <v>0</v>
      </c>
      <c r="E58" s="239">
        <f t="shared" si="6"/>
        <v>-1227</v>
      </c>
      <c r="F58" s="238">
        <f t="shared" si="7"/>
        <v>-1</v>
      </c>
    </row>
    <row r="59" spans="1:6" ht="20.25" customHeight="1" x14ac:dyDescent="0.3">
      <c r="A59" s="235">
        <v>7</v>
      </c>
      <c r="B59" s="236" t="s">
        <v>450</v>
      </c>
      <c r="C59" s="239">
        <v>1866</v>
      </c>
      <c r="D59" s="239">
        <v>0</v>
      </c>
      <c r="E59" s="239">
        <f t="shared" si="6"/>
        <v>-1866</v>
      </c>
      <c r="F59" s="238">
        <f t="shared" si="7"/>
        <v>-1</v>
      </c>
    </row>
    <row r="60" spans="1:6" ht="20.25" customHeight="1" x14ac:dyDescent="0.3">
      <c r="A60" s="235">
        <v>8</v>
      </c>
      <c r="B60" s="236" t="s">
        <v>451</v>
      </c>
      <c r="C60" s="239">
        <v>317</v>
      </c>
      <c r="D60" s="239">
        <v>0</v>
      </c>
      <c r="E60" s="239">
        <f t="shared" si="6"/>
        <v>-317</v>
      </c>
      <c r="F60" s="238">
        <f t="shared" si="7"/>
        <v>-1</v>
      </c>
    </row>
    <row r="61" spans="1:6" ht="20.25" customHeight="1" x14ac:dyDescent="0.3">
      <c r="A61" s="235">
        <v>9</v>
      </c>
      <c r="B61" s="236" t="s">
        <v>452</v>
      </c>
      <c r="C61" s="239">
        <v>115</v>
      </c>
      <c r="D61" s="239">
        <v>0</v>
      </c>
      <c r="E61" s="239">
        <f t="shared" si="6"/>
        <v>-115</v>
      </c>
      <c r="F61" s="238">
        <f t="shared" si="7"/>
        <v>-1</v>
      </c>
    </row>
    <row r="62" spans="1:6" s="240" customFormat="1" ht="20.25" customHeight="1" x14ac:dyDescent="0.3">
      <c r="A62" s="241"/>
      <c r="B62" s="242" t="s">
        <v>453</v>
      </c>
      <c r="C62" s="243">
        <f>+C53+C55</f>
        <v>10222795</v>
      </c>
      <c r="D62" s="243">
        <f>+D53+D55</f>
        <v>0</v>
      </c>
      <c r="E62" s="243">
        <f t="shared" si="6"/>
        <v>-10222795</v>
      </c>
      <c r="F62" s="244">
        <f t="shared" si="7"/>
        <v>-1</v>
      </c>
    </row>
    <row r="63" spans="1:6" s="240" customFormat="1" ht="20.25" customHeight="1" x14ac:dyDescent="0.3">
      <c r="A63" s="241"/>
      <c r="B63" s="242" t="s">
        <v>454</v>
      </c>
      <c r="C63" s="243">
        <f>+C54+C56</f>
        <v>3584722</v>
      </c>
      <c r="D63" s="243">
        <f>+D54+D56</f>
        <v>0</v>
      </c>
      <c r="E63" s="243">
        <f t="shared" si="6"/>
        <v>-3584722</v>
      </c>
      <c r="F63" s="244">
        <f t="shared" si="7"/>
        <v>-1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458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446</v>
      </c>
      <c r="C66" s="237">
        <v>3443699</v>
      </c>
      <c r="D66" s="237">
        <v>2015426</v>
      </c>
      <c r="E66" s="237">
        <f t="shared" ref="E66:E76" si="8">D66-C66</f>
        <v>-1428273</v>
      </c>
      <c r="F66" s="238">
        <f t="shared" ref="F66:F76" si="9">IF(C66=0,0,E66/C66)</f>
        <v>-0.41474966308030986</v>
      </c>
    </row>
    <row r="67" spans="1:6" ht="20.25" customHeight="1" x14ac:dyDescent="0.3">
      <c r="A67" s="235">
        <v>2</v>
      </c>
      <c r="B67" s="236" t="s">
        <v>447</v>
      </c>
      <c r="C67" s="237">
        <v>1129885</v>
      </c>
      <c r="D67" s="237">
        <v>646790</v>
      </c>
      <c r="E67" s="237">
        <f t="shared" si="8"/>
        <v>-483095</v>
      </c>
      <c r="F67" s="238">
        <f t="shared" si="9"/>
        <v>-0.42756121198175034</v>
      </c>
    </row>
    <row r="68" spans="1:6" ht="20.25" customHeight="1" x14ac:dyDescent="0.3">
      <c r="A68" s="235">
        <v>3</v>
      </c>
      <c r="B68" s="236" t="s">
        <v>448</v>
      </c>
      <c r="C68" s="237">
        <v>879675</v>
      </c>
      <c r="D68" s="237">
        <v>1141271</v>
      </c>
      <c r="E68" s="237">
        <f t="shared" si="8"/>
        <v>261596</v>
      </c>
      <c r="F68" s="238">
        <f t="shared" si="9"/>
        <v>0.29737800892375027</v>
      </c>
    </row>
    <row r="69" spans="1:6" ht="20.25" customHeight="1" x14ac:dyDescent="0.3">
      <c r="A69" s="235">
        <v>4</v>
      </c>
      <c r="B69" s="236" t="s">
        <v>449</v>
      </c>
      <c r="C69" s="237">
        <v>176943</v>
      </c>
      <c r="D69" s="237">
        <v>241108</v>
      </c>
      <c r="E69" s="237">
        <f t="shared" si="8"/>
        <v>64165</v>
      </c>
      <c r="F69" s="238">
        <f t="shared" si="9"/>
        <v>0.36263090373736173</v>
      </c>
    </row>
    <row r="70" spans="1:6" ht="20.25" customHeight="1" x14ac:dyDescent="0.3">
      <c r="A70" s="235">
        <v>5</v>
      </c>
      <c r="B70" s="236" t="s">
        <v>385</v>
      </c>
      <c r="C70" s="239">
        <v>116</v>
      </c>
      <c r="D70" s="239">
        <v>82</v>
      </c>
      <c r="E70" s="239">
        <f t="shared" si="8"/>
        <v>-34</v>
      </c>
      <c r="F70" s="238">
        <f t="shared" si="9"/>
        <v>-0.29310344827586204</v>
      </c>
    </row>
    <row r="71" spans="1:6" ht="20.25" customHeight="1" x14ac:dyDescent="0.3">
      <c r="A71" s="235">
        <v>6</v>
      </c>
      <c r="B71" s="236" t="s">
        <v>384</v>
      </c>
      <c r="C71" s="239">
        <v>642</v>
      </c>
      <c r="D71" s="239">
        <v>339</v>
      </c>
      <c r="E71" s="239">
        <f t="shared" si="8"/>
        <v>-303</v>
      </c>
      <c r="F71" s="238">
        <f t="shared" si="9"/>
        <v>-0.4719626168224299</v>
      </c>
    </row>
    <row r="72" spans="1:6" ht="20.25" customHeight="1" x14ac:dyDescent="0.3">
      <c r="A72" s="235">
        <v>7</v>
      </c>
      <c r="B72" s="236" t="s">
        <v>450</v>
      </c>
      <c r="C72" s="239">
        <v>520</v>
      </c>
      <c r="D72" s="239">
        <v>488</v>
      </c>
      <c r="E72" s="239">
        <f t="shared" si="8"/>
        <v>-32</v>
      </c>
      <c r="F72" s="238">
        <f t="shared" si="9"/>
        <v>-6.1538461538461542E-2</v>
      </c>
    </row>
    <row r="73" spans="1:6" ht="20.25" customHeight="1" x14ac:dyDescent="0.3">
      <c r="A73" s="235">
        <v>8</v>
      </c>
      <c r="B73" s="236" t="s">
        <v>451</v>
      </c>
      <c r="C73" s="239">
        <v>88</v>
      </c>
      <c r="D73" s="239">
        <v>75</v>
      </c>
      <c r="E73" s="239">
        <f t="shared" si="8"/>
        <v>-13</v>
      </c>
      <c r="F73" s="238">
        <f t="shared" si="9"/>
        <v>-0.14772727272727273</v>
      </c>
    </row>
    <row r="74" spans="1:6" ht="20.25" customHeight="1" x14ac:dyDescent="0.3">
      <c r="A74" s="235">
        <v>9</v>
      </c>
      <c r="B74" s="236" t="s">
        <v>452</v>
      </c>
      <c r="C74" s="239">
        <v>32</v>
      </c>
      <c r="D74" s="239">
        <v>28</v>
      </c>
      <c r="E74" s="239">
        <f t="shared" si="8"/>
        <v>-4</v>
      </c>
      <c r="F74" s="238">
        <f t="shared" si="9"/>
        <v>-0.125</v>
      </c>
    </row>
    <row r="75" spans="1:6" s="240" customFormat="1" ht="20.25" customHeight="1" x14ac:dyDescent="0.3">
      <c r="A75" s="241"/>
      <c r="B75" s="242" t="s">
        <v>453</v>
      </c>
      <c r="C75" s="243">
        <f>+C66+C68</f>
        <v>4323374</v>
      </c>
      <c r="D75" s="243">
        <f>+D66+D68</f>
        <v>3156697</v>
      </c>
      <c r="E75" s="243">
        <f t="shared" si="8"/>
        <v>-1166677</v>
      </c>
      <c r="F75" s="244">
        <f t="shared" si="9"/>
        <v>-0.26985335989900483</v>
      </c>
    </row>
    <row r="76" spans="1:6" s="240" customFormat="1" ht="20.25" customHeight="1" x14ac:dyDescent="0.3">
      <c r="A76" s="241"/>
      <c r="B76" s="242" t="s">
        <v>454</v>
      </c>
      <c r="C76" s="243">
        <f>+C67+C69</f>
        <v>1306828</v>
      </c>
      <c r="D76" s="243">
        <f>+D67+D69</f>
        <v>887898</v>
      </c>
      <c r="E76" s="243">
        <f t="shared" si="8"/>
        <v>-418930</v>
      </c>
      <c r="F76" s="244">
        <f t="shared" si="9"/>
        <v>-0.32057011328193152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459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446</v>
      </c>
      <c r="C79" s="237">
        <v>0</v>
      </c>
      <c r="D79" s="237">
        <v>0</v>
      </c>
      <c r="E79" s="237">
        <f t="shared" ref="E79:E89" si="10">D79-C79</f>
        <v>0</v>
      </c>
      <c r="F79" s="238">
        <f t="shared" ref="F79:F89" si="11">IF(C79=0,0,E79/C79)</f>
        <v>0</v>
      </c>
    </row>
    <row r="80" spans="1:6" ht="20.25" customHeight="1" x14ac:dyDescent="0.3">
      <c r="A80" s="235">
        <v>2</v>
      </c>
      <c r="B80" s="236" t="s">
        <v>447</v>
      </c>
      <c r="C80" s="237">
        <v>0</v>
      </c>
      <c r="D80" s="237">
        <v>0</v>
      </c>
      <c r="E80" s="237">
        <f t="shared" si="10"/>
        <v>0</v>
      </c>
      <c r="F80" s="238">
        <f t="shared" si="11"/>
        <v>0</v>
      </c>
    </row>
    <row r="81" spans="1:6" ht="20.25" customHeight="1" x14ac:dyDescent="0.3">
      <c r="A81" s="235">
        <v>3</v>
      </c>
      <c r="B81" s="236" t="s">
        <v>448</v>
      </c>
      <c r="C81" s="237">
        <v>0</v>
      </c>
      <c r="D81" s="237">
        <v>0</v>
      </c>
      <c r="E81" s="237">
        <f t="shared" si="10"/>
        <v>0</v>
      </c>
      <c r="F81" s="238">
        <f t="shared" si="11"/>
        <v>0</v>
      </c>
    </row>
    <row r="82" spans="1:6" ht="20.25" customHeight="1" x14ac:dyDescent="0.3">
      <c r="A82" s="235">
        <v>4</v>
      </c>
      <c r="B82" s="236" t="s">
        <v>449</v>
      </c>
      <c r="C82" s="237">
        <v>0</v>
      </c>
      <c r="D82" s="237">
        <v>0</v>
      </c>
      <c r="E82" s="237">
        <f t="shared" si="10"/>
        <v>0</v>
      </c>
      <c r="F82" s="238">
        <f t="shared" si="11"/>
        <v>0</v>
      </c>
    </row>
    <row r="83" spans="1:6" ht="20.25" customHeight="1" x14ac:dyDescent="0.3">
      <c r="A83" s="235">
        <v>5</v>
      </c>
      <c r="B83" s="236" t="s">
        <v>385</v>
      </c>
      <c r="C83" s="239">
        <v>0</v>
      </c>
      <c r="D83" s="239">
        <v>0</v>
      </c>
      <c r="E83" s="239">
        <f t="shared" si="10"/>
        <v>0</v>
      </c>
      <c r="F83" s="238">
        <f t="shared" si="11"/>
        <v>0</v>
      </c>
    </row>
    <row r="84" spans="1:6" ht="20.25" customHeight="1" x14ac:dyDescent="0.3">
      <c r="A84" s="235">
        <v>6</v>
      </c>
      <c r="B84" s="236" t="s">
        <v>384</v>
      </c>
      <c r="C84" s="239">
        <v>0</v>
      </c>
      <c r="D84" s="239">
        <v>0</v>
      </c>
      <c r="E84" s="239">
        <f t="shared" si="10"/>
        <v>0</v>
      </c>
      <c r="F84" s="238">
        <f t="shared" si="11"/>
        <v>0</v>
      </c>
    </row>
    <row r="85" spans="1:6" ht="20.25" customHeight="1" x14ac:dyDescent="0.3">
      <c r="A85" s="235">
        <v>7</v>
      </c>
      <c r="B85" s="236" t="s">
        <v>450</v>
      </c>
      <c r="C85" s="239">
        <v>0</v>
      </c>
      <c r="D85" s="239">
        <v>0</v>
      </c>
      <c r="E85" s="239">
        <f t="shared" si="10"/>
        <v>0</v>
      </c>
      <c r="F85" s="238">
        <f t="shared" si="11"/>
        <v>0</v>
      </c>
    </row>
    <row r="86" spans="1:6" ht="20.25" customHeight="1" x14ac:dyDescent="0.3">
      <c r="A86" s="235">
        <v>8</v>
      </c>
      <c r="B86" s="236" t="s">
        <v>451</v>
      </c>
      <c r="C86" s="239">
        <v>0</v>
      </c>
      <c r="D86" s="239">
        <v>0</v>
      </c>
      <c r="E86" s="239">
        <f t="shared" si="10"/>
        <v>0</v>
      </c>
      <c r="F86" s="238">
        <f t="shared" si="11"/>
        <v>0</v>
      </c>
    </row>
    <row r="87" spans="1:6" ht="20.25" customHeight="1" x14ac:dyDescent="0.3">
      <c r="A87" s="235">
        <v>9</v>
      </c>
      <c r="B87" s="236" t="s">
        <v>452</v>
      </c>
      <c r="C87" s="239">
        <v>0</v>
      </c>
      <c r="D87" s="239">
        <v>0</v>
      </c>
      <c r="E87" s="239">
        <f t="shared" si="10"/>
        <v>0</v>
      </c>
      <c r="F87" s="238">
        <f t="shared" si="11"/>
        <v>0</v>
      </c>
    </row>
    <row r="88" spans="1:6" s="240" customFormat="1" ht="20.25" customHeight="1" x14ac:dyDescent="0.3">
      <c r="A88" s="241"/>
      <c r="B88" s="242" t="s">
        <v>453</v>
      </c>
      <c r="C88" s="243">
        <f>+C79+C81</f>
        <v>0</v>
      </c>
      <c r="D88" s="243">
        <f>+D79+D81</f>
        <v>0</v>
      </c>
      <c r="E88" s="243">
        <f t="shared" si="10"/>
        <v>0</v>
      </c>
      <c r="F88" s="244">
        <f t="shared" si="11"/>
        <v>0</v>
      </c>
    </row>
    <row r="89" spans="1:6" s="240" customFormat="1" ht="20.25" customHeight="1" x14ac:dyDescent="0.3">
      <c r="A89" s="241"/>
      <c r="B89" s="242" t="s">
        <v>454</v>
      </c>
      <c r="C89" s="243">
        <f>+C80+C82</f>
        <v>0</v>
      </c>
      <c r="D89" s="243">
        <f>+D80+D82</f>
        <v>0</v>
      </c>
      <c r="E89" s="243">
        <f t="shared" si="10"/>
        <v>0</v>
      </c>
      <c r="F89" s="244">
        <f t="shared" si="11"/>
        <v>0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460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446</v>
      </c>
      <c r="C92" s="237">
        <v>0</v>
      </c>
      <c r="D92" s="237">
        <v>0</v>
      </c>
      <c r="E92" s="237">
        <f t="shared" ref="E92:E102" si="12">D92-C92</f>
        <v>0</v>
      </c>
      <c r="F92" s="238">
        <f t="shared" ref="F92:F102" si="13">IF(C92=0,0,E92/C92)</f>
        <v>0</v>
      </c>
    </row>
    <row r="93" spans="1:6" ht="20.25" customHeight="1" x14ac:dyDescent="0.3">
      <c r="A93" s="235">
        <v>2</v>
      </c>
      <c r="B93" s="236" t="s">
        <v>447</v>
      </c>
      <c r="C93" s="237">
        <v>0</v>
      </c>
      <c r="D93" s="237">
        <v>0</v>
      </c>
      <c r="E93" s="237">
        <f t="shared" si="12"/>
        <v>0</v>
      </c>
      <c r="F93" s="238">
        <f t="shared" si="13"/>
        <v>0</v>
      </c>
    </row>
    <row r="94" spans="1:6" ht="20.25" customHeight="1" x14ac:dyDescent="0.3">
      <c r="A94" s="235">
        <v>3</v>
      </c>
      <c r="B94" s="236" t="s">
        <v>448</v>
      </c>
      <c r="C94" s="237">
        <v>0</v>
      </c>
      <c r="D94" s="237">
        <v>0</v>
      </c>
      <c r="E94" s="237">
        <f t="shared" si="12"/>
        <v>0</v>
      </c>
      <c r="F94" s="238">
        <f t="shared" si="13"/>
        <v>0</v>
      </c>
    </row>
    <row r="95" spans="1:6" ht="20.25" customHeight="1" x14ac:dyDescent="0.3">
      <c r="A95" s="235">
        <v>4</v>
      </c>
      <c r="B95" s="236" t="s">
        <v>449</v>
      </c>
      <c r="C95" s="237">
        <v>0</v>
      </c>
      <c r="D95" s="237">
        <v>0</v>
      </c>
      <c r="E95" s="237">
        <f t="shared" si="12"/>
        <v>0</v>
      </c>
      <c r="F95" s="238">
        <f t="shared" si="13"/>
        <v>0</v>
      </c>
    </row>
    <row r="96" spans="1:6" ht="20.25" customHeight="1" x14ac:dyDescent="0.3">
      <c r="A96" s="235">
        <v>5</v>
      </c>
      <c r="B96" s="236" t="s">
        <v>385</v>
      </c>
      <c r="C96" s="239">
        <v>0</v>
      </c>
      <c r="D96" s="239">
        <v>0</v>
      </c>
      <c r="E96" s="239">
        <f t="shared" si="12"/>
        <v>0</v>
      </c>
      <c r="F96" s="238">
        <f t="shared" si="13"/>
        <v>0</v>
      </c>
    </row>
    <row r="97" spans="1:6" ht="20.25" customHeight="1" x14ac:dyDescent="0.3">
      <c r="A97" s="235">
        <v>6</v>
      </c>
      <c r="B97" s="236" t="s">
        <v>384</v>
      </c>
      <c r="C97" s="239">
        <v>0</v>
      </c>
      <c r="D97" s="239">
        <v>0</v>
      </c>
      <c r="E97" s="239">
        <f t="shared" si="12"/>
        <v>0</v>
      </c>
      <c r="F97" s="238">
        <f t="shared" si="13"/>
        <v>0</v>
      </c>
    </row>
    <row r="98" spans="1:6" ht="20.25" customHeight="1" x14ac:dyDescent="0.3">
      <c r="A98" s="235">
        <v>7</v>
      </c>
      <c r="B98" s="236" t="s">
        <v>450</v>
      </c>
      <c r="C98" s="239">
        <v>0</v>
      </c>
      <c r="D98" s="239">
        <v>0</v>
      </c>
      <c r="E98" s="239">
        <f t="shared" si="12"/>
        <v>0</v>
      </c>
      <c r="F98" s="238">
        <f t="shared" si="13"/>
        <v>0</v>
      </c>
    </row>
    <row r="99" spans="1:6" ht="20.25" customHeight="1" x14ac:dyDescent="0.3">
      <c r="A99" s="235">
        <v>8</v>
      </c>
      <c r="B99" s="236" t="s">
        <v>451</v>
      </c>
      <c r="C99" s="239">
        <v>0</v>
      </c>
      <c r="D99" s="239">
        <v>0</v>
      </c>
      <c r="E99" s="239">
        <f t="shared" si="12"/>
        <v>0</v>
      </c>
      <c r="F99" s="238">
        <f t="shared" si="13"/>
        <v>0</v>
      </c>
    </row>
    <row r="100" spans="1:6" ht="20.25" customHeight="1" x14ac:dyDescent="0.3">
      <c r="A100" s="235">
        <v>9</v>
      </c>
      <c r="B100" s="236" t="s">
        <v>452</v>
      </c>
      <c r="C100" s="239">
        <v>0</v>
      </c>
      <c r="D100" s="239">
        <v>0</v>
      </c>
      <c r="E100" s="239">
        <f t="shared" si="12"/>
        <v>0</v>
      </c>
      <c r="F100" s="238">
        <f t="shared" si="13"/>
        <v>0</v>
      </c>
    </row>
    <row r="101" spans="1:6" s="240" customFormat="1" ht="20.25" customHeight="1" x14ac:dyDescent="0.3">
      <c r="A101" s="241"/>
      <c r="B101" s="242" t="s">
        <v>453</v>
      </c>
      <c r="C101" s="243">
        <f>+C92+C94</f>
        <v>0</v>
      </c>
      <c r="D101" s="243">
        <f>+D92+D94</f>
        <v>0</v>
      </c>
      <c r="E101" s="243">
        <f t="shared" si="12"/>
        <v>0</v>
      </c>
      <c r="F101" s="244">
        <f t="shared" si="13"/>
        <v>0</v>
      </c>
    </row>
    <row r="102" spans="1:6" s="240" customFormat="1" ht="20.25" customHeight="1" x14ac:dyDescent="0.3">
      <c r="A102" s="241"/>
      <c r="B102" s="242" t="s">
        <v>454</v>
      </c>
      <c r="C102" s="243">
        <f>+C93+C95</f>
        <v>0</v>
      </c>
      <c r="D102" s="243">
        <f>+D93+D95</f>
        <v>0</v>
      </c>
      <c r="E102" s="243">
        <f t="shared" si="12"/>
        <v>0</v>
      </c>
      <c r="F102" s="244">
        <f t="shared" si="13"/>
        <v>0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461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446</v>
      </c>
      <c r="C105" s="237">
        <v>2415073</v>
      </c>
      <c r="D105" s="237">
        <v>3523878</v>
      </c>
      <c r="E105" s="237">
        <f t="shared" ref="E105:E115" si="14">D105-C105</f>
        <v>1108805</v>
      </c>
      <c r="F105" s="238">
        <f t="shared" ref="F105:F115" si="15">IF(C105=0,0,E105/C105)</f>
        <v>0.45911862705599377</v>
      </c>
    </row>
    <row r="106" spans="1:6" ht="20.25" customHeight="1" x14ac:dyDescent="0.3">
      <c r="A106" s="235">
        <v>2</v>
      </c>
      <c r="B106" s="236" t="s">
        <v>447</v>
      </c>
      <c r="C106" s="237">
        <v>900072</v>
      </c>
      <c r="D106" s="237">
        <v>1136130</v>
      </c>
      <c r="E106" s="237">
        <f t="shared" si="14"/>
        <v>236058</v>
      </c>
      <c r="F106" s="238">
        <f t="shared" si="15"/>
        <v>0.2622656854118337</v>
      </c>
    </row>
    <row r="107" spans="1:6" ht="20.25" customHeight="1" x14ac:dyDescent="0.3">
      <c r="A107" s="235">
        <v>3</v>
      </c>
      <c r="B107" s="236" t="s">
        <v>448</v>
      </c>
      <c r="C107" s="237">
        <v>1622487</v>
      </c>
      <c r="D107" s="237">
        <v>3553018</v>
      </c>
      <c r="E107" s="237">
        <f t="shared" si="14"/>
        <v>1930531</v>
      </c>
      <c r="F107" s="238">
        <f t="shared" si="15"/>
        <v>1.1898591483321592</v>
      </c>
    </row>
    <row r="108" spans="1:6" ht="20.25" customHeight="1" x14ac:dyDescent="0.3">
      <c r="A108" s="235">
        <v>4</v>
      </c>
      <c r="B108" s="236" t="s">
        <v>449</v>
      </c>
      <c r="C108" s="237">
        <v>371441</v>
      </c>
      <c r="D108" s="237">
        <v>785537</v>
      </c>
      <c r="E108" s="237">
        <f t="shared" si="14"/>
        <v>414096</v>
      </c>
      <c r="F108" s="238">
        <f t="shared" si="15"/>
        <v>1.1148365420080175</v>
      </c>
    </row>
    <row r="109" spans="1:6" ht="20.25" customHeight="1" x14ac:dyDescent="0.3">
      <c r="A109" s="235">
        <v>5</v>
      </c>
      <c r="B109" s="236" t="s">
        <v>385</v>
      </c>
      <c r="C109" s="239">
        <v>96</v>
      </c>
      <c r="D109" s="239">
        <v>167</v>
      </c>
      <c r="E109" s="239">
        <f t="shared" si="14"/>
        <v>71</v>
      </c>
      <c r="F109" s="238">
        <f t="shared" si="15"/>
        <v>0.73958333333333337</v>
      </c>
    </row>
    <row r="110" spans="1:6" ht="20.25" customHeight="1" x14ac:dyDescent="0.3">
      <c r="A110" s="235">
        <v>6</v>
      </c>
      <c r="B110" s="236" t="s">
        <v>384</v>
      </c>
      <c r="C110" s="239">
        <v>394</v>
      </c>
      <c r="D110" s="239">
        <v>652</v>
      </c>
      <c r="E110" s="239">
        <f t="shared" si="14"/>
        <v>258</v>
      </c>
      <c r="F110" s="238">
        <f t="shared" si="15"/>
        <v>0.65482233502538068</v>
      </c>
    </row>
    <row r="111" spans="1:6" ht="20.25" customHeight="1" x14ac:dyDescent="0.3">
      <c r="A111" s="235">
        <v>7</v>
      </c>
      <c r="B111" s="236" t="s">
        <v>450</v>
      </c>
      <c r="C111" s="239">
        <v>858</v>
      </c>
      <c r="D111" s="239">
        <v>1624</v>
      </c>
      <c r="E111" s="239">
        <f t="shared" si="14"/>
        <v>766</v>
      </c>
      <c r="F111" s="238">
        <f t="shared" si="15"/>
        <v>0.89277389277389274</v>
      </c>
    </row>
    <row r="112" spans="1:6" ht="20.25" customHeight="1" x14ac:dyDescent="0.3">
      <c r="A112" s="235">
        <v>8</v>
      </c>
      <c r="B112" s="236" t="s">
        <v>451</v>
      </c>
      <c r="C112" s="239">
        <v>146</v>
      </c>
      <c r="D112" s="239">
        <v>251</v>
      </c>
      <c r="E112" s="239">
        <f t="shared" si="14"/>
        <v>105</v>
      </c>
      <c r="F112" s="238">
        <f t="shared" si="15"/>
        <v>0.71917808219178081</v>
      </c>
    </row>
    <row r="113" spans="1:6" ht="20.25" customHeight="1" x14ac:dyDescent="0.3">
      <c r="A113" s="235">
        <v>9</v>
      </c>
      <c r="B113" s="236" t="s">
        <v>452</v>
      </c>
      <c r="C113" s="239">
        <v>53</v>
      </c>
      <c r="D113" s="239">
        <v>93</v>
      </c>
      <c r="E113" s="239">
        <f t="shared" si="14"/>
        <v>40</v>
      </c>
      <c r="F113" s="238">
        <f t="shared" si="15"/>
        <v>0.75471698113207553</v>
      </c>
    </row>
    <row r="114" spans="1:6" s="240" customFormat="1" ht="20.25" customHeight="1" x14ac:dyDescent="0.3">
      <c r="A114" s="241"/>
      <c r="B114" s="242" t="s">
        <v>453</v>
      </c>
      <c r="C114" s="243">
        <f>+C105+C107</f>
        <v>4037560</v>
      </c>
      <c r="D114" s="243">
        <f>+D105+D107</f>
        <v>7076896</v>
      </c>
      <c r="E114" s="243">
        <f t="shared" si="14"/>
        <v>3039336</v>
      </c>
      <c r="F114" s="244">
        <f t="shared" si="15"/>
        <v>0.75276553165773386</v>
      </c>
    </row>
    <row r="115" spans="1:6" s="240" customFormat="1" ht="20.25" customHeight="1" x14ac:dyDescent="0.3">
      <c r="A115" s="241"/>
      <c r="B115" s="242" t="s">
        <v>454</v>
      </c>
      <c r="C115" s="243">
        <f>+C106+C108</f>
        <v>1271513</v>
      </c>
      <c r="D115" s="243">
        <f>+D106+D108</f>
        <v>1921667</v>
      </c>
      <c r="E115" s="243">
        <f t="shared" si="14"/>
        <v>650154</v>
      </c>
      <c r="F115" s="244">
        <f t="shared" si="15"/>
        <v>0.51132312449813722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462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446</v>
      </c>
      <c r="C118" s="237">
        <v>2663070</v>
      </c>
      <c r="D118" s="237">
        <v>4223658</v>
      </c>
      <c r="E118" s="237">
        <f t="shared" ref="E118:E128" si="16">D118-C118</f>
        <v>1560588</v>
      </c>
      <c r="F118" s="238">
        <f t="shared" ref="F118:F128" si="17">IF(C118=0,0,E118/C118)</f>
        <v>0.58601088217733666</v>
      </c>
    </row>
    <row r="119" spans="1:6" ht="20.25" customHeight="1" x14ac:dyDescent="0.3">
      <c r="A119" s="235">
        <v>2</v>
      </c>
      <c r="B119" s="236" t="s">
        <v>447</v>
      </c>
      <c r="C119" s="237">
        <v>1095080</v>
      </c>
      <c r="D119" s="237">
        <v>1687648</v>
      </c>
      <c r="E119" s="237">
        <f t="shared" si="16"/>
        <v>592568</v>
      </c>
      <c r="F119" s="238">
        <f t="shared" si="17"/>
        <v>0.54111845709902473</v>
      </c>
    </row>
    <row r="120" spans="1:6" ht="20.25" customHeight="1" x14ac:dyDescent="0.3">
      <c r="A120" s="235">
        <v>3</v>
      </c>
      <c r="B120" s="236" t="s">
        <v>448</v>
      </c>
      <c r="C120" s="237">
        <v>2108781</v>
      </c>
      <c r="D120" s="237">
        <v>2638522</v>
      </c>
      <c r="E120" s="237">
        <f t="shared" si="16"/>
        <v>529741</v>
      </c>
      <c r="F120" s="238">
        <f t="shared" si="17"/>
        <v>0.25120721402554369</v>
      </c>
    </row>
    <row r="121" spans="1:6" ht="20.25" customHeight="1" x14ac:dyDescent="0.3">
      <c r="A121" s="235">
        <v>4</v>
      </c>
      <c r="B121" s="236" t="s">
        <v>449</v>
      </c>
      <c r="C121" s="237">
        <v>654465</v>
      </c>
      <c r="D121" s="237">
        <v>736663</v>
      </c>
      <c r="E121" s="237">
        <f t="shared" si="16"/>
        <v>82198</v>
      </c>
      <c r="F121" s="238">
        <f t="shared" si="17"/>
        <v>0.12559571558448504</v>
      </c>
    </row>
    <row r="122" spans="1:6" ht="20.25" customHeight="1" x14ac:dyDescent="0.3">
      <c r="A122" s="235">
        <v>5</v>
      </c>
      <c r="B122" s="236" t="s">
        <v>385</v>
      </c>
      <c r="C122" s="239">
        <v>115</v>
      </c>
      <c r="D122" s="239">
        <v>157</v>
      </c>
      <c r="E122" s="239">
        <f t="shared" si="16"/>
        <v>42</v>
      </c>
      <c r="F122" s="238">
        <f t="shared" si="17"/>
        <v>0.36521739130434783</v>
      </c>
    </row>
    <row r="123" spans="1:6" ht="20.25" customHeight="1" x14ac:dyDescent="0.3">
      <c r="A123" s="235">
        <v>6</v>
      </c>
      <c r="B123" s="236" t="s">
        <v>384</v>
      </c>
      <c r="C123" s="239">
        <v>467</v>
      </c>
      <c r="D123" s="239">
        <v>694</v>
      </c>
      <c r="E123" s="239">
        <f t="shared" si="16"/>
        <v>227</v>
      </c>
      <c r="F123" s="238">
        <f t="shared" si="17"/>
        <v>0.48608137044967881</v>
      </c>
    </row>
    <row r="124" spans="1:6" ht="20.25" customHeight="1" x14ac:dyDescent="0.3">
      <c r="A124" s="235">
        <v>7</v>
      </c>
      <c r="B124" s="236" t="s">
        <v>450</v>
      </c>
      <c r="C124" s="239">
        <v>1106</v>
      </c>
      <c r="D124" s="239">
        <v>1402</v>
      </c>
      <c r="E124" s="239">
        <f t="shared" si="16"/>
        <v>296</v>
      </c>
      <c r="F124" s="238">
        <f t="shared" si="17"/>
        <v>0.26763110307414106</v>
      </c>
    </row>
    <row r="125" spans="1:6" ht="20.25" customHeight="1" x14ac:dyDescent="0.3">
      <c r="A125" s="235">
        <v>8</v>
      </c>
      <c r="B125" s="236" t="s">
        <v>451</v>
      </c>
      <c r="C125" s="239">
        <v>188</v>
      </c>
      <c r="D125" s="239">
        <v>216</v>
      </c>
      <c r="E125" s="239">
        <f t="shared" si="16"/>
        <v>28</v>
      </c>
      <c r="F125" s="238">
        <f t="shared" si="17"/>
        <v>0.14893617021276595</v>
      </c>
    </row>
    <row r="126" spans="1:6" ht="20.25" customHeight="1" x14ac:dyDescent="0.3">
      <c r="A126" s="235">
        <v>9</v>
      </c>
      <c r="B126" s="236" t="s">
        <v>452</v>
      </c>
      <c r="C126" s="239">
        <v>68</v>
      </c>
      <c r="D126" s="239">
        <v>80</v>
      </c>
      <c r="E126" s="239">
        <f t="shared" si="16"/>
        <v>12</v>
      </c>
      <c r="F126" s="238">
        <f t="shared" si="17"/>
        <v>0.17647058823529413</v>
      </c>
    </row>
    <row r="127" spans="1:6" s="240" customFormat="1" ht="20.25" customHeight="1" x14ac:dyDescent="0.3">
      <c r="A127" s="241"/>
      <c r="B127" s="242" t="s">
        <v>453</v>
      </c>
      <c r="C127" s="243">
        <f>+C118+C120</f>
        <v>4771851</v>
      </c>
      <c r="D127" s="243">
        <f>+D118+D120</f>
        <v>6862180</v>
      </c>
      <c r="E127" s="243">
        <f t="shared" si="16"/>
        <v>2090329</v>
      </c>
      <c r="F127" s="244">
        <f t="shared" si="17"/>
        <v>0.43805412197488985</v>
      </c>
    </row>
    <row r="128" spans="1:6" s="240" customFormat="1" ht="20.25" customHeight="1" x14ac:dyDescent="0.3">
      <c r="A128" s="241"/>
      <c r="B128" s="242" t="s">
        <v>454</v>
      </c>
      <c r="C128" s="243">
        <f>+C119+C121</f>
        <v>1749545</v>
      </c>
      <c r="D128" s="243">
        <f>+D119+D121</f>
        <v>2424311</v>
      </c>
      <c r="E128" s="243">
        <f t="shared" si="16"/>
        <v>674766</v>
      </c>
      <c r="F128" s="244">
        <f t="shared" si="17"/>
        <v>0.38568084844916822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463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446</v>
      </c>
      <c r="C131" s="237">
        <v>0</v>
      </c>
      <c r="D131" s="237">
        <v>0</v>
      </c>
      <c r="E131" s="237">
        <f t="shared" ref="E131:E141" si="18">D131-C131</f>
        <v>0</v>
      </c>
      <c r="F131" s="238">
        <f t="shared" ref="F131:F141" si="19">IF(C131=0,0,E131/C131)</f>
        <v>0</v>
      </c>
    </row>
    <row r="132" spans="1:6" ht="20.25" customHeight="1" x14ac:dyDescent="0.3">
      <c r="A132" s="235">
        <v>2</v>
      </c>
      <c r="B132" s="236" t="s">
        <v>447</v>
      </c>
      <c r="C132" s="237">
        <v>0</v>
      </c>
      <c r="D132" s="237">
        <v>0</v>
      </c>
      <c r="E132" s="237">
        <f t="shared" si="18"/>
        <v>0</v>
      </c>
      <c r="F132" s="238">
        <f t="shared" si="19"/>
        <v>0</v>
      </c>
    </row>
    <row r="133" spans="1:6" ht="20.25" customHeight="1" x14ac:dyDescent="0.3">
      <c r="A133" s="235">
        <v>3</v>
      </c>
      <c r="B133" s="236" t="s">
        <v>448</v>
      </c>
      <c r="C133" s="237">
        <v>0</v>
      </c>
      <c r="D133" s="237">
        <v>0</v>
      </c>
      <c r="E133" s="237">
        <f t="shared" si="18"/>
        <v>0</v>
      </c>
      <c r="F133" s="238">
        <f t="shared" si="19"/>
        <v>0</v>
      </c>
    </row>
    <row r="134" spans="1:6" ht="20.25" customHeight="1" x14ac:dyDescent="0.3">
      <c r="A134" s="235">
        <v>4</v>
      </c>
      <c r="B134" s="236" t="s">
        <v>449</v>
      </c>
      <c r="C134" s="237">
        <v>0</v>
      </c>
      <c r="D134" s="237">
        <v>0</v>
      </c>
      <c r="E134" s="237">
        <f t="shared" si="18"/>
        <v>0</v>
      </c>
      <c r="F134" s="238">
        <f t="shared" si="19"/>
        <v>0</v>
      </c>
    </row>
    <row r="135" spans="1:6" ht="20.25" customHeight="1" x14ac:dyDescent="0.3">
      <c r="A135" s="235">
        <v>5</v>
      </c>
      <c r="B135" s="236" t="s">
        <v>385</v>
      </c>
      <c r="C135" s="239">
        <v>0</v>
      </c>
      <c r="D135" s="239">
        <v>0</v>
      </c>
      <c r="E135" s="239">
        <f t="shared" si="18"/>
        <v>0</v>
      </c>
      <c r="F135" s="238">
        <f t="shared" si="19"/>
        <v>0</v>
      </c>
    </row>
    <row r="136" spans="1:6" ht="20.25" customHeight="1" x14ac:dyDescent="0.3">
      <c r="A136" s="235">
        <v>6</v>
      </c>
      <c r="B136" s="236" t="s">
        <v>384</v>
      </c>
      <c r="C136" s="239">
        <v>0</v>
      </c>
      <c r="D136" s="239">
        <v>0</v>
      </c>
      <c r="E136" s="239">
        <f t="shared" si="18"/>
        <v>0</v>
      </c>
      <c r="F136" s="238">
        <f t="shared" si="19"/>
        <v>0</v>
      </c>
    </row>
    <row r="137" spans="1:6" ht="20.25" customHeight="1" x14ac:dyDescent="0.3">
      <c r="A137" s="235">
        <v>7</v>
      </c>
      <c r="B137" s="236" t="s">
        <v>450</v>
      </c>
      <c r="C137" s="239">
        <v>0</v>
      </c>
      <c r="D137" s="239">
        <v>0</v>
      </c>
      <c r="E137" s="239">
        <f t="shared" si="18"/>
        <v>0</v>
      </c>
      <c r="F137" s="238">
        <f t="shared" si="19"/>
        <v>0</v>
      </c>
    </row>
    <row r="138" spans="1:6" ht="20.25" customHeight="1" x14ac:dyDescent="0.3">
      <c r="A138" s="235">
        <v>8</v>
      </c>
      <c r="B138" s="236" t="s">
        <v>451</v>
      </c>
      <c r="C138" s="239">
        <v>0</v>
      </c>
      <c r="D138" s="239">
        <v>0</v>
      </c>
      <c r="E138" s="239">
        <f t="shared" si="18"/>
        <v>0</v>
      </c>
      <c r="F138" s="238">
        <f t="shared" si="19"/>
        <v>0</v>
      </c>
    </row>
    <row r="139" spans="1:6" ht="20.25" customHeight="1" x14ac:dyDescent="0.3">
      <c r="A139" s="235">
        <v>9</v>
      </c>
      <c r="B139" s="236" t="s">
        <v>452</v>
      </c>
      <c r="C139" s="239">
        <v>0</v>
      </c>
      <c r="D139" s="239">
        <v>0</v>
      </c>
      <c r="E139" s="239">
        <f t="shared" si="18"/>
        <v>0</v>
      </c>
      <c r="F139" s="238">
        <f t="shared" si="19"/>
        <v>0</v>
      </c>
    </row>
    <row r="140" spans="1:6" s="240" customFormat="1" ht="20.25" customHeight="1" x14ac:dyDescent="0.3">
      <c r="A140" s="241"/>
      <c r="B140" s="242" t="s">
        <v>453</v>
      </c>
      <c r="C140" s="243">
        <f>+C131+C133</f>
        <v>0</v>
      </c>
      <c r="D140" s="243">
        <f>+D131+D133</f>
        <v>0</v>
      </c>
      <c r="E140" s="243">
        <f t="shared" si="18"/>
        <v>0</v>
      </c>
      <c r="F140" s="244">
        <f t="shared" si="19"/>
        <v>0</v>
      </c>
    </row>
    <row r="141" spans="1:6" s="240" customFormat="1" ht="20.25" customHeight="1" x14ac:dyDescent="0.3">
      <c r="A141" s="241"/>
      <c r="B141" s="242" t="s">
        <v>454</v>
      </c>
      <c r="C141" s="243">
        <f>+C132+C134</f>
        <v>0</v>
      </c>
      <c r="D141" s="243">
        <f>+D132+D134</f>
        <v>0</v>
      </c>
      <c r="E141" s="243">
        <f t="shared" si="18"/>
        <v>0</v>
      </c>
      <c r="F141" s="244">
        <f t="shared" si="19"/>
        <v>0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230</v>
      </c>
      <c r="B143" s="231" t="s">
        <v>464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446</v>
      </c>
      <c r="C144" s="237">
        <v>24591558</v>
      </c>
      <c r="D144" s="237">
        <v>25735857</v>
      </c>
      <c r="E144" s="237">
        <f t="shared" ref="E144:E154" si="20">D144-C144</f>
        <v>1144299</v>
      </c>
      <c r="F144" s="238">
        <f t="shared" ref="F144:F154" si="21">IF(C144=0,0,E144/C144)</f>
        <v>4.6532187997198063E-2</v>
      </c>
    </row>
    <row r="145" spans="1:6" ht="20.25" customHeight="1" x14ac:dyDescent="0.3">
      <c r="A145" s="235">
        <v>2</v>
      </c>
      <c r="B145" s="236" t="s">
        <v>447</v>
      </c>
      <c r="C145" s="237">
        <v>8735182</v>
      </c>
      <c r="D145" s="237">
        <v>10196127</v>
      </c>
      <c r="E145" s="237">
        <f t="shared" si="20"/>
        <v>1460945</v>
      </c>
      <c r="F145" s="238">
        <f t="shared" si="21"/>
        <v>0.1672483755919453</v>
      </c>
    </row>
    <row r="146" spans="1:6" ht="20.25" customHeight="1" x14ac:dyDescent="0.3">
      <c r="A146" s="235">
        <v>3</v>
      </c>
      <c r="B146" s="236" t="s">
        <v>448</v>
      </c>
      <c r="C146" s="237">
        <v>13217901</v>
      </c>
      <c r="D146" s="237">
        <v>17933021</v>
      </c>
      <c r="E146" s="237">
        <f t="shared" si="20"/>
        <v>4715120</v>
      </c>
      <c r="F146" s="238">
        <f t="shared" si="21"/>
        <v>0.35672229652801907</v>
      </c>
    </row>
    <row r="147" spans="1:6" ht="20.25" customHeight="1" x14ac:dyDescent="0.3">
      <c r="A147" s="235">
        <v>4</v>
      </c>
      <c r="B147" s="236" t="s">
        <v>449</v>
      </c>
      <c r="C147" s="237">
        <v>3450163</v>
      </c>
      <c r="D147" s="237">
        <v>4852902</v>
      </c>
      <c r="E147" s="237">
        <f t="shared" si="20"/>
        <v>1402739</v>
      </c>
      <c r="F147" s="238">
        <f t="shared" si="21"/>
        <v>0.40657180544803245</v>
      </c>
    </row>
    <row r="148" spans="1:6" ht="20.25" customHeight="1" x14ac:dyDescent="0.3">
      <c r="A148" s="235">
        <v>5</v>
      </c>
      <c r="B148" s="236" t="s">
        <v>385</v>
      </c>
      <c r="C148" s="239">
        <v>878</v>
      </c>
      <c r="D148" s="239">
        <v>982</v>
      </c>
      <c r="E148" s="239">
        <f t="shared" si="20"/>
        <v>104</v>
      </c>
      <c r="F148" s="238">
        <f t="shared" si="21"/>
        <v>0.11845102505694761</v>
      </c>
    </row>
    <row r="149" spans="1:6" ht="20.25" customHeight="1" x14ac:dyDescent="0.3">
      <c r="A149" s="235">
        <v>6</v>
      </c>
      <c r="B149" s="236" t="s">
        <v>384</v>
      </c>
      <c r="C149" s="239">
        <v>4173</v>
      </c>
      <c r="D149" s="239">
        <v>4410</v>
      </c>
      <c r="E149" s="239">
        <f t="shared" si="20"/>
        <v>237</v>
      </c>
      <c r="F149" s="238">
        <f t="shared" si="21"/>
        <v>5.6793673616103525E-2</v>
      </c>
    </row>
    <row r="150" spans="1:6" ht="20.25" customHeight="1" x14ac:dyDescent="0.3">
      <c r="A150" s="235">
        <v>7</v>
      </c>
      <c r="B150" s="236" t="s">
        <v>450</v>
      </c>
      <c r="C150" s="239">
        <v>7666</v>
      </c>
      <c r="D150" s="239">
        <v>10492</v>
      </c>
      <c r="E150" s="239">
        <f t="shared" si="20"/>
        <v>2826</v>
      </c>
      <c r="F150" s="238">
        <f t="shared" si="21"/>
        <v>0.36864075136968433</v>
      </c>
    </row>
    <row r="151" spans="1:6" ht="20.25" customHeight="1" x14ac:dyDescent="0.3">
      <c r="A151" s="235">
        <v>8</v>
      </c>
      <c r="B151" s="236" t="s">
        <v>451</v>
      </c>
      <c r="C151" s="239">
        <v>1303</v>
      </c>
      <c r="D151" s="239">
        <v>1619</v>
      </c>
      <c r="E151" s="239">
        <f t="shared" si="20"/>
        <v>316</v>
      </c>
      <c r="F151" s="238">
        <f t="shared" si="21"/>
        <v>0.24251726784343822</v>
      </c>
    </row>
    <row r="152" spans="1:6" ht="20.25" customHeight="1" x14ac:dyDescent="0.3">
      <c r="A152" s="235">
        <v>9</v>
      </c>
      <c r="B152" s="236" t="s">
        <v>452</v>
      </c>
      <c r="C152" s="239">
        <v>472</v>
      </c>
      <c r="D152" s="239">
        <v>600</v>
      </c>
      <c r="E152" s="239">
        <f t="shared" si="20"/>
        <v>128</v>
      </c>
      <c r="F152" s="238">
        <f t="shared" si="21"/>
        <v>0.2711864406779661</v>
      </c>
    </row>
    <row r="153" spans="1:6" s="240" customFormat="1" ht="20.25" customHeight="1" x14ac:dyDescent="0.3">
      <c r="A153" s="241"/>
      <c r="B153" s="242" t="s">
        <v>453</v>
      </c>
      <c r="C153" s="243">
        <f>+C144+C146</f>
        <v>37809459</v>
      </c>
      <c r="D153" s="243">
        <f>+D144+D146</f>
        <v>43668878</v>
      </c>
      <c r="E153" s="243">
        <f t="shared" si="20"/>
        <v>5859419</v>
      </c>
      <c r="F153" s="244">
        <f t="shared" si="21"/>
        <v>0.15497230468174644</v>
      </c>
    </row>
    <row r="154" spans="1:6" s="240" customFormat="1" ht="20.25" customHeight="1" x14ac:dyDescent="0.3">
      <c r="A154" s="241"/>
      <c r="B154" s="242" t="s">
        <v>454</v>
      </c>
      <c r="C154" s="243">
        <f>+C145+C147</f>
        <v>12185345</v>
      </c>
      <c r="D154" s="243">
        <f>+D145+D147</f>
        <v>15049029</v>
      </c>
      <c r="E154" s="243">
        <f t="shared" si="20"/>
        <v>2863684</v>
      </c>
      <c r="F154" s="244">
        <f t="shared" si="21"/>
        <v>0.23501049826656528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465</v>
      </c>
      <c r="B156" s="231" t="s">
        <v>466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446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447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448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449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385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384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450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451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452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453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454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467</v>
      </c>
      <c r="B169" s="231" t="s">
        <v>468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446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447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448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449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385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384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450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451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452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453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454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469</v>
      </c>
      <c r="B182" s="231" t="s">
        <v>470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446</v>
      </c>
      <c r="C183" s="237">
        <v>0</v>
      </c>
      <c r="D183" s="237">
        <v>0</v>
      </c>
      <c r="E183" s="237">
        <f t="shared" ref="E183:E193" si="26">D183-C183</f>
        <v>0</v>
      </c>
      <c r="F183" s="238">
        <f t="shared" ref="F183:F193" si="27">IF(C183=0,0,E183/C183)</f>
        <v>0</v>
      </c>
    </row>
    <row r="184" spans="1:6" ht="20.25" customHeight="1" x14ac:dyDescent="0.3">
      <c r="A184" s="235">
        <v>2</v>
      </c>
      <c r="B184" s="236" t="s">
        <v>447</v>
      </c>
      <c r="C184" s="237">
        <v>0</v>
      </c>
      <c r="D184" s="237">
        <v>0</v>
      </c>
      <c r="E184" s="237">
        <f t="shared" si="26"/>
        <v>0</v>
      </c>
      <c r="F184" s="238">
        <f t="shared" si="27"/>
        <v>0</v>
      </c>
    </row>
    <row r="185" spans="1:6" ht="20.25" customHeight="1" x14ac:dyDescent="0.3">
      <c r="A185" s="235">
        <v>3</v>
      </c>
      <c r="B185" s="236" t="s">
        <v>448</v>
      </c>
      <c r="C185" s="237">
        <v>2106</v>
      </c>
      <c r="D185" s="237">
        <v>0</v>
      </c>
      <c r="E185" s="237">
        <f t="shared" si="26"/>
        <v>-2106</v>
      </c>
      <c r="F185" s="238">
        <f t="shared" si="27"/>
        <v>-1</v>
      </c>
    </row>
    <row r="186" spans="1:6" ht="20.25" customHeight="1" x14ac:dyDescent="0.3">
      <c r="A186" s="235">
        <v>4</v>
      </c>
      <c r="B186" s="236" t="s">
        <v>449</v>
      </c>
      <c r="C186" s="237">
        <v>403</v>
      </c>
      <c r="D186" s="237">
        <v>0</v>
      </c>
      <c r="E186" s="237">
        <f t="shared" si="26"/>
        <v>-403</v>
      </c>
      <c r="F186" s="238">
        <f t="shared" si="27"/>
        <v>-1</v>
      </c>
    </row>
    <row r="187" spans="1:6" ht="20.25" customHeight="1" x14ac:dyDescent="0.3">
      <c r="A187" s="235">
        <v>5</v>
      </c>
      <c r="B187" s="236" t="s">
        <v>385</v>
      </c>
      <c r="C187" s="239">
        <v>0</v>
      </c>
      <c r="D187" s="239">
        <v>0</v>
      </c>
      <c r="E187" s="239">
        <f t="shared" si="26"/>
        <v>0</v>
      </c>
      <c r="F187" s="238">
        <f t="shared" si="27"/>
        <v>0</v>
      </c>
    </row>
    <row r="188" spans="1:6" ht="20.25" customHeight="1" x14ac:dyDescent="0.3">
      <c r="A188" s="235">
        <v>6</v>
      </c>
      <c r="B188" s="236" t="s">
        <v>384</v>
      </c>
      <c r="C188" s="239">
        <v>0</v>
      </c>
      <c r="D188" s="239">
        <v>0</v>
      </c>
      <c r="E188" s="239">
        <f t="shared" si="26"/>
        <v>0</v>
      </c>
      <c r="F188" s="238">
        <f t="shared" si="27"/>
        <v>0</v>
      </c>
    </row>
    <row r="189" spans="1:6" ht="20.25" customHeight="1" x14ac:dyDescent="0.3">
      <c r="A189" s="235">
        <v>7</v>
      </c>
      <c r="B189" s="236" t="s">
        <v>450</v>
      </c>
      <c r="C189" s="239">
        <v>3</v>
      </c>
      <c r="D189" s="239">
        <v>0</v>
      </c>
      <c r="E189" s="239">
        <f t="shared" si="26"/>
        <v>-3</v>
      </c>
      <c r="F189" s="238">
        <f t="shared" si="27"/>
        <v>-1</v>
      </c>
    </row>
    <row r="190" spans="1:6" ht="20.25" customHeight="1" x14ac:dyDescent="0.3">
      <c r="A190" s="235">
        <v>8</v>
      </c>
      <c r="B190" s="236" t="s">
        <v>451</v>
      </c>
      <c r="C190" s="239">
        <v>0</v>
      </c>
      <c r="D190" s="239">
        <v>0</v>
      </c>
      <c r="E190" s="239">
        <f t="shared" si="26"/>
        <v>0</v>
      </c>
      <c r="F190" s="238">
        <f t="shared" si="27"/>
        <v>0</v>
      </c>
    </row>
    <row r="191" spans="1:6" ht="20.25" customHeight="1" x14ac:dyDescent="0.3">
      <c r="A191" s="235">
        <v>9</v>
      </c>
      <c r="B191" s="236" t="s">
        <v>452</v>
      </c>
      <c r="C191" s="239">
        <v>0</v>
      </c>
      <c r="D191" s="239">
        <v>0</v>
      </c>
      <c r="E191" s="239">
        <f t="shared" si="26"/>
        <v>0</v>
      </c>
      <c r="F191" s="238">
        <f t="shared" si="27"/>
        <v>0</v>
      </c>
    </row>
    <row r="192" spans="1:6" s="240" customFormat="1" ht="20.25" customHeight="1" x14ac:dyDescent="0.3">
      <c r="A192" s="241"/>
      <c r="B192" s="242" t="s">
        <v>453</v>
      </c>
      <c r="C192" s="243">
        <f>+C183+C185</f>
        <v>2106</v>
      </c>
      <c r="D192" s="243">
        <f>+D183+D185</f>
        <v>0</v>
      </c>
      <c r="E192" s="243">
        <f t="shared" si="26"/>
        <v>-2106</v>
      </c>
      <c r="F192" s="244">
        <f t="shared" si="27"/>
        <v>-1</v>
      </c>
    </row>
    <row r="193" spans="1:9" s="240" customFormat="1" ht="20.25" customHeight="1" x14ac:dyDescent="0.3">
      <c r="A193" s="241"/>
      <c r="B193" s="242" t="s">
        <v>454</v>
      </c>
      <c r="C193" s="243">
        <f>+C184+C186</f>
        <v>403</v>
      </c>
      <c r="D193" s="243">
        <f>+D184+D186</f>
        <v>0</v>
      </c>
      <c r="E193" s="243">
        <f t="shared" si="26"/>
        <v>-403</v>
      </c>
      <c r="F193" s="244">
        <f t="shared" si="27"/>
        <v>-1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8" t="s">
        <v>44</v>
      </c>
      <c r="B195" s="689" t="s">
        <v>471</v>
      </c>
      <c r="C195" s="691"/>
      <c r="D195" s="692"/>
      <c r="E195" s="692"/>
      <c r="F195" s="693"/>
      <c r="G195" s="694"/>
      <c r="H195" s="694"/>
      <c r="I195" s="694"/>
    </row>
    <row r="196" spans="1:9" ht="20.25" customHeight="1" x14ac:dyDescent="0.3">
      <c r="A196" s="679"/>
      <c r="B196" s="690"/>
      <c r="C196" s="685"/>
      <c r="D196" s="686"/>
      <c r="E196" s="686"/>
      <c r="F196" s="687"/>
      <c r="G196" s="694"/>
      <c r="H196" s="694"/>
      <c r="I196" s="694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472</v>
      </c>
      <c r="C198" s="243">
        <f t="shared" ref="C198:D206" si="28">+C183+C170+C157+C144+C131+C118+C105+C92+C79+C66+C53+C40+C27+C14</f>
        <v>51512007</v>
      </c>
      <c r="D198" s="243">
        <f t="shared" si="28"/>
        <v>50577239</v>
      </c>
      <c r="E198" s="243">
        <f t="shared" ref="E198:E208" si="29">D198-C198</f>
        <v>-934768</v>
      </c>
      <c r="F198" s="251">
        <f t="shared" ref="F198:F208" si="30">IF(C198=0,0,E198/C198)</f>
        <v>-1.8146604149980022E-2</v>
      </c>
    </row>
    <row r="199" spans="1:9" ht="20.25" customHeight="1" x14ac:dyDescent="0.3">
      <c r="A199" s="249"/>
      <c r="B199" s="250" t="s">
        <v>473</v>
      </c>
      <c r="C199" s="243">
        <f t="shared" si="28"/>
        <v>19099024</v>
      </c>
      <c r="D199" s="243">
        <f t="shared" si="28"/>
        <v>19901948</v>
      </c>
      <c r="E199" s="243">
        <f t="shared" si="29"/>
        <v>802924</v>
      </c>
      <c r="F199" s="251">
        <f t="shared" si="30"/>
        <v>4.2040053983910385E-2</v>
      </c>
    </row>
    <row r="200" spans="1:9" ht="20.25" customHeight="1" x14ac:dyDescent="0.3">
      <c r="A200" s="249"/>
      <c r="B200" s="250" t="s">
        <v>474</v>
      </c>
      <c r="C200" s="243">
        <f t="shared" si="28"/>
        <v>28482396</v>
      </c>
      <c r="D200" s="243">
        <f t="shared" si="28"/>
        <v>37682240</v>
      </c>
      <c r="E200" s="243">
        <f t="shared" si="29"/>
        <v>9199844</v>
      </c>
      <c r="F200" s="251">
        <f t="shared" si="30"/>
        <v>0.32300105651224004</v>
      </c>
    </row>
    <row r="201" spans="1:9" ht="20.25" customHeight="1" x14ac:dyDescent="0.3">
      <c r="A201" s="249"/>
      <c r="B201" s="250" t="s">
        <v>475</v>
      </c>
      <c r="C201" s="243">
        <f t="shared" si="28"/>
        <v>7720876</v>
      </c>
      <c r="D201" s="243">
        <f t="shared" si="28"/>
        <v>9974088</v>
      </c>
      <c r="E201" s="243">
        <f t="shared" si="29"/>
        <v>2253212</v>
      </c>
      <c r="F201" s="251">
        <f t="shared" si="30"/>
        <v>0.29183372456700507</v>
      </c>
    </row>
    <row r="202" spans="1:9" ht="20.25" customHeight="1" x14ac:dyDescent="0.3">
      <c r="A202" s="249"/>
      <c r="B202" s="250" t="s">
        <v>476</v>
      </c>
      <c r="C202" s="252">
        <f t="shared" si="28"/>
        <v>1906</v>
      </c>
      <c r="D202" s="252">
        <f t="shared" si="28"/>
        <v>1959</v>
      </c>
      <c r="E202" s="252">
        <f t="shared" si="29"/>
        <v>53</v>
      </c>
      <c r="F202" s="251">
        <f t="shared" si="30"/>
        <v>2.7806925498426022E-2</v>
      </c>
    </row>
    <row r="203" spans="1:9" ht="20.25" customHeight="1" x14ac:dyDescent="0.3">
      <c r="A203" s="249"/>
      <c r="B203" s="250" t="s">
        <v>477</v>
      </c>
      <c r="C203" s="252">
        <f t="shared" si="28"/>
        <v>8654</v>
      </c>
      <c r="D203" s="252">
        <f t="shared" si="28"/>
        <v>8575</v>
      </c>
      <c r="E203" s="252">
        <f t="shared" si="29"/>
        <v>-79</v>
      </c>
      <c r="F203" s="251">
        <f t="shared" si="30"/>
        <v>-9.1287266004159932E-3</v>
      </c>
    </row>
    <row r="204" spans="1:9" ht="39.950000000000003" customHeight="1" x14ac:dyDescent="0.3">
      <c r="A204" s="249"/>
      <c r="B204" s="250" t="s">
        <v>478</v>
      </c>
      <c r="C204" s="252">
        <f t="shared" si="28"/>
        <v>16499</v>
      </c>
      <c r="D204" s="252">
        <f t="shared" si="28"/>
        <v>20715</v>
      </c>
      <c r="E204" s="252">
        <f t="shared" si="29"/>
        <v>4216</v>
      </c>
      <c r="F204" s="251">
        <f t="shared" si="30"/>
        <v>0.25553063822049821</v>
      </c>
    </row>
    <row r="205" spans="1:9" ht="39.950000000000003" customHeight="1" x14ac:dyDescent="0.3">
      <c r="A205" s="249"/>
      <c r="B205" s="250" t="s">
        <v>479</v>
      </c>
      <c r="C205" s="252">
        <f t="shared" si="28"/>
        <v>2805</v>
      </c>
      <c r="D205" s="252">
        <f t="shared" si="28"/>
        <v>3196</v>
      </c>
      <c r="E205" s="252">
        <f t="shared" si="29"/>
        <v>391</v>
      </c>
      <c r="F205" s="251">
        <f t="shared" si="30"/>
        <v>0.1393939393939394</v>
      </c>
    </row>
    <row r="206" spans="1:9" ht="39.950000000000003" customHeight="1" x14ac:dyDescent="0.3">
      <c r="A206" s="249"/>
      <c r="B206" s="250" t="s">
        <v>480</v>
      </c>
      <c r="C206" s="252">
        <f t="shared" si="28"/>
        <v>1015</v>
      </c>
      <c r="D206" s="252">
        <f t="shared" si="28"/>
        <v>1185</v>
      </c>
      <c r="E206" s="252">
        <f t="shared" si="29"/>
        <v>170</v>
      </c>
      <c r="F206" s="251">
        <f t="shared" si="30"/>
        <v>0.16748768472906403</v>
      </c>
    </row>
    <row r="207" spans="1:9" ht="20.25" customHeight="1" x14ac:dyDescent="0.3">
      <c r="A207" s="249"/>
      <c r="B207" s="242" t="s">
        <v>481</v>
      </c>
      <c r="C207" s="243">
        <f>+C198+C200</f>
        <v>79994403</v>
      </c>
      <c r="D207" s="243">
        <f>+D198+D200</f>
        <v>88259479</v>
      </c>
      <c r="E207" s="243">
        <f t="shared" si="29"/>
        <v>8265076</v>
      </c>
      <c r="F207" s="251">
        <f t="shared" si="30"/>
        <v>0.10332067857297467</v>
      </c>
    </row>
    <row r="208" spans="1:9" ht="20.25" customHeight="1" x14ac:dyDescent="0.3">
      <c r="A208" s="249"/>
      <c r="B208" s="242" t="s">
        <v>482</v>
      </c>
      <c r="C208" s="243">
        <f>+C199+C201</f>
        <v>26819900</v>
      </c>
      <c r="D208" s="243">
        <f>+D199+D201</f>
        <v>29876036</v>
      </c>
      <c r="E208" s="243">
        <f t="shared" si="29"/>
        <v>3056136</v>
      </c>
      <c r="F208" s="251">
        <f t="shared" si="30"/>
        <v>0.1139503130138442</v>
      </c>
    </row>
  </sheetData>
  <mergeCells count="12">
    <mergeCell ref="A195:A196"/>
    <mergeCell ref="B195:B196"/>
    <mergeCell ref="C195:F196"/>
    <mergeCell ref="G195:I196"/>
    <mergeCell ref="A2:F2"/>
    <mergeCell ref="A3:F3"/>
    <mergeCell ref="A4:F4"/>
    <mergeCell ref="A5:F5"/>
    <mergeCell ref="C9:F9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/>
  <headerFooter>
    <oddHeader>&amp;LOFFICE OF HEALTH CARE ACCESS&amp;CTWELVE MONTHS ACTUAL FILING&amp;RTHE HOSPITAL OF CENTRAL CONNECTICUT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workbookViewId="0"/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4" t="s">
        <v>0</v>
      </c>
      <c r="B2" s="674"/>
      <c r="C2" s="674"/>
      <c r="D2" s="674"/>
      <c r="E2" s="674"/>
      <c r="F2" s="674"/>
    </row>
    <row r="3" spans="1:7" ht="20.25" customHeight="1" x14ac:dyDescent="0.3">
      <c r="A3" s="674" t="s">
        <v>1</v>
      </c>
      <c r="B3" s="674"/>
      <c r="C3" s="674"/>
      <c r="D3" s="674"/>
      <c r="E3" s="674"/>
      <c r="F3" s="674"/>
    </row>
    <row r="4" spans="1:7" ht="20.25" customHeight="1" x14ac:dyDescent="0.3">
      <c r="A4" s="674" t="s">
        <v>2</v>
      </c>
      <c r="B4" s="674"/>
      <c r="C4" s="674"/>
      <c r="D4" s="674"/>
      <c r="E4" s="674"/>
      <c r="F4" s="674"/>
    </row>
    <row r="5" spans="1:7" ht="20.25" customHeight="1" x14ac:dyDescent="0.3">
      <c r="A5" s="674" t="s">
        <v>483</v>
      </c>
      <c r="B5" s="674"/>
      <c r="C5" s="674"/>
      <c r="D5" s="674"/>
      <c r="E5" s="674"/>
      <c r="F5" s="674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442</v>
      </c>
      <c r="D8" s="223" t="s">
        <v>443</v>
      </c>
      <c r="E8" s="223" t="s">
        <v>444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8" t="s">
        <v>12</v>
      </c>
      <c r="B10" s="689" t="s">
        <v>115</v>
      </c>
      <c r="C10" s="691"/>
      <c r="D10" s="692"/>
      <c r="E10" s="692"/>
      <c r="F10" s="693"/>
    </row>
    <row r="11" spans="1:7" ht="20.25" customHeight="1" x14ac:dyDescent="0.3">
      <c r="A11" s="679"/>
      <c r="B11" s="690"/>
      <c r="C11" s="685"/>
      <c r="D11" s="686"/>
      <c r="E11" s="686"/>
      <c r="F11" s="687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484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446</v>
      </c>
      <c r="C14" s="237">
        <v>0</v>
      </c>
      <c r="D14" s="237">
        <v>0</v>
      </c>
      <c r="E14" s="237">
        <f t="shared" ref="E14:E24" si="0">D14-C14</f>
        <v>0</v>
      </c>
      <c r="F14" s="238">
        <f t="shared" ref="F14:F24" si="1">IF(C14=0,0,E14/C14)</f>
        <v>0</v>
      </c>
    </row>
    <row r="15" spans="1:7" ht="20.25" customHeight="1" x14ac:dyDescent="0.3">
      <c r="A15" s="235">
        <v>2</v>
      </c>
      <c r="B15" s="236" t="s">
        <v>447</v>
      </c>
      <c r="C15" s="237">
        <v>0</v>
      </c>
      <c r="D15" s="237">
        <v>0</v>
      </c>
      <c r="E15" s="237">
        <f t="shared" si="0"/>
        <v>0</v>
      </c>
      <c r="F15" s="238">
        <f t="shared" si="1"/>
        <v>0</v>
      </c>
    </row>
    <row r="16" spans="1:7" ht="20.25" customHeight="1" x14ac:dyDescent="0.3">
      <c r="A16" s="235">
        <v>3</v>
      </c>
      <c r="B16" s="236" t="s">
        <v>448</v>
      </c>
      <c r="C16" s="237">
        <v>0</v>
      </c>
      <c r="D16" s="237">
        <v>0</v>
      </c>
      <c r="E16" s="237">
        <f t="shared" si="0"/>
        <v>0</v>
      </c>
      <c r="F16" s="238">
        <f t="shared" si="1"/>
        <v>0</v>
      </c>
    </row>
    <row r="17" spans="1:6" ht="20.25" customHeight="1" x14ac:dyDescent="0.3">
      <c r="A17" s="235">
        <v>4</v>
      </c>
      <c r="B17" s="236" t="s">
        <v>449</v>
      </c>
      <c r="C17" s="237">
        <v>0</v>
      </c>
      <c r="D17" s="237">
        <v>0</v>
      </c>
      <c r="E17" s="237">
        <f t="shared" si="0"/>
        <v>0</v>
      </c>
      <c r="F17" s="238">
        <f t="shared" si="1"/>
        <v>0</v>
      </c>
    </row>
    <row r="18" spans="1:6" ht="20.25" customHeight="1" x14ac:dyDescent="0.3">
      <c r="A18" s="235">
        <v>5</v>
      </c>
      <c r="B18" s="236" t="s">
        <v>385</v>
      </c>
      <c r="C18" s="239">
        <v>0</v>
      </c>
      <c r="D18" s="239">
        <v>0</v>
      </c>
      <c r="E18" s="239">
        <f t="shared" si="0"/>
        <v>0</v>
      </c>
      <c r="F18" s="238">
        <f t="shared" si="1"/>
        <v>0</v>
      </c>
    </row>
    <row r="19" spans="1:6" ht="20.25" customHeight="1" x14ac:dyDescent="0.3">
      <c r="A19" s="235">
        <v>6</v>
      </c>
      <c r="B19" s="236" t="s">
        <v>384</v>
      </c>
      <c r="C19" s="239">
        <v>0</v>
      </c>
      <c r="D19" s="239">
        <v>0</v>
      </c>
      <c r="E19" s="239">
        <f t="shared" si="0"/>
        <v>0</v>
      </c>
      <c r="F19" s="238">
        <f t="shared" si="1"/>
        <v>0</v>
      </c>
    </row>
    <row r="20" spans="1:6" ht="20.25" customHeight="1" x14ac:dyDescent="0.3">
      <c r="A20" s="235">
        <v>7</v>
      </c>
      <c r="B20" s="236" t="s">
        <v>450</v>
      </c>
      <c r="C20" s="239">
        <v>0</v>
      </c>
      <c r="D20" s="239">
        <v>0</v>
      </c>
      <c r="E20" s="239">
        <f t="shared" si="0"/>
        <v>0</v>
      </c>
      <c r="F20" s="238">
        <f t="shared" si="1"/>
        <v>0</v>
      </c>
    </row>
    <row r="21" spans="1:6" ht="20.25" customHeight="1" x14ac:dyDescent="0.3">
      <c r="A21" s="235">
        <v>8</v>
      </c>
      <c r="B21" s="236" t="s">
        <v>451</v>
      </c>
      <c r="C21" s="239">
        <v>0</v>
      </c>
      <c r="D21" s="239">
        <v>0</v>
      </c>
      <c r="E21" s="239">
        <f t="shared" si="0"/>
        <v>0</v>
      </c>
      <c r="F21" s="238">
        <f t="shared" si="1"/>
        <v>0</v>
      </c>
    </row>
    <row r="22" spans="1:6" ht="20.25" customHeight="1" x14ac:dyDescent="0.3">
      <c r="A22" s="235">
        <v>9</v>
      </c>
      <c r="B22" s="236" t="s">
        <v>452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39.950000000000003" customHeight="1" x14ac:dyDescent="0.3">
      <c r="A23" s="245"/>
      <c r="B23" s="242" t="s">
        <v>453</v>
      </c>
      <c r="C23" s="243">
        <f>+C14+C16</f>
        <v>0</v>
      </c>
      <c r="D23" s="243">
        <f>+D14+D16</f>
        <v>0</v>
      </c>
      <c r="E23" s="243">
        <f t="shared" si="0"/>
        <v>0</v>
      </c>
      <c r="F23" s="244">
        <f t="shared" si="1"/>
        <v>0</v>
      </c>
    </row>
    <row r="24" spans="1:6" s="240" customFormat="1" ht="39.950000000000003" customHeight="1" x14ac:dyDescent="0.3">
      <c r="A24" s="245"/>
      <c r="B24" s="242" t="s">
        <v>482</v>
      </c>
      <c r="C24" s="243">
        <f>+C15+C17</f>
        <v>0</v>
      </c>
      <c r="D24" s="243">
        <f>+D15+D17</f>
        <v>0</v>
      </c>
      <c r="E24" s="243">
        <f t="shared" si="0"/>
        <v>0</v>
      </c>
      <c r="F24" s="244">
        <f t="shared" si="1"/>
        <v>0</v>
      </c>
    </row>
    <row r="25" spans="1:6" ht="42" customHeight="1" x14ac:dyDescent="0.3">
      <c r="A25" s="227" t="s">
        <v>124</v>
      </c>
      <c r="B25" s="261" t="s">
        <v>485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446</v>
      </c>
      <c r="C26" s="237">
        <v>22476467</v>
      </c>
      <c r="D26" s="237">
        <v>4892220</v>
      </c>
      <c r="E26" s="237">
        <f t="shared" ref="E26:E36" si="2">D26-C26</f>
        <v>-17584247</v>
      </c>
      <c r="F26" s="238">
        <f t="shared" ref="F26:F36" si="3">IF(C26=0,0,E26/C26)</f>
        <v>-0.78234034735085367</v>
      </c>
    </row>
    <row r="27" spans="1:6" ht="20.25" customHeight="1" x14ac:dyDescent="0.3">
      <c r="A27" s="235">
        <v>2</v>
      </c>
      <c r="B27" s="236" t="s">
        <v>447</v>
      </c>
      <c r="C27" s="237">
        <v>7681508</v>
      </c>
      <c r="D27" s="237">
        <v>837978</v>
      </c>
      <c r="E27" s="237">
        <f t="shared" si="2"/>
        <v>-6843530</v>
      </c>
      <c r="F27" s="238">
        <f t="shared" si="3"/>
        <v>-0.89090970158463678</v>
      </c>
    </row>
    <row r="28" spans="1:6" ht="20.25" customHeight="1" x14ac:dyDescent="0.3">
      <c r="A28" s="235">
        <v>3</v>
      </c>
      <c r="B28" s="236" t="s">
        <v>448</v>
      </c>
      <c r="C28" s="237">
        <v>40773829</v>
      </c>
      <c r="D28" s="237">
        <v>11092980</v>
      </c>
      <c r="E28" s="237">
        <f t="shared" si="2"/>
        <v>-29680849</v>
      </c>
      <c r="F28" s="238">
        <f t="shared" si="3"/>
        <v>-0.72793872265467141</v>
      </c>
    </row>
    <row r="29" spans="1:6" ht="20.25" customHeight="1" x14ac:dyDescent="0.3">
      <c r="A29" s="235">
        <v>4</v>
      </c>
      <c r="B29" s="236" t="s">
        <v>449</v>
      </c>
      <c r="C29" s="237">
        <v>17735703</v>
      </c>
      <c r="D29" s="237">
        <v>4229312</v>
      </c>
      <c r="E29" s="237">
        <f t="shared" si="2"/>
        <v>-13506391</v>
      </c>
      <c r="F29" s="238">
        <f t="shared" si="3"/>
        <v>-0.7615368277197696</v>
      </c>
    </row>
    <row r="30" spans="1:6" ht="20.25" customHeight="1" x14ac:dyDescent="0.3">
      <c r="A30" s="235">
        <v>5</v>
      </c>
      <c r="B30" s="236" t="s">
        <v>385</v>
      </c>
      <c r="C30" s="239">
        <v>2027</v>
      </c>
      <c r="D30" s="239">
        <v>342</v>
      </c>
      <c r="E30" s="239">
        <f t="shared" si="2"/>
        <v>-1685</v>
      </c>
      <c r="F30" s="238">
        <f t="shared" si="3"/>
        <v>-0.83127775037000495</v>
      </c>
    </row>
    <row r="31" spans="1:6" ht="20.25" customHeight="1" x14ac:dyDescent="0.3">
      <c r="A31" s="235">
        <v>6</v>
      </c>
      <c r="B31" s="236" t="s">
        <v>384</v>
      </c>
      <c r="C31" s="239">
        <v>6025</v>
      </c>
      <c r="D31" s="239">
        <v>940</v>
      </c>
      <c r="E31" s="239">
        <f t="shared" si="2"/>
        <v>-5085</v>
      </c>
      <c r="F31" s="238">
        <f t="shared" si="3"/>
        <v>-0.84398340248962656</v>
      </c>
    </row>
    <row r="32" spans="1:6" ht="20.25" customHeight="1" x14ac:dyDescent="0.3">
      <c r="A32" s="235">
        <v>7</v>
      </c>
      <c r="B32" s="236" t="s">
        <v>450</v>
      </c>
      <c r="C32" s="239">
        <v>7644</v>
      </c>
      <c r="D32" s="239">
        <v>2113</v>
      </c>
      <c r="E32" s="239">
        <f t="shared" si="2"/>
        <v>-5531</v>
      </c>
      <c r="F32" s="238">
        <f t="shared" si="3"/>
        <v>-0.72357404500261646</v>
      </c>
    </row>
    <row r="33" spans="1:6" ht="20.25" customHeight="1" x14ac:dyDescent="0.3">
      <c r="A33" s="235">
        <v>8</v>
      </c>
      <c r="B33" s="236" t="s">
        <v>451</v>
      </c>
      <c r="C33" s="239">
        <v>25284</v>
      </c>
      <c r="D33" s="239">
        <v>6314</v>
      </c>
      <c r="E33" s="239">
        <f t="shared" si="2"/>
        <v>-18970</v>
      </c>
      <c r="F33" s="238">
        <f t="shared" si="3"/>
        <v>-0.75027685492801777</v>
      </c>
    </row>
    <row r="34" spans="1:6" ht="20.25" customHeight="1" x14ac:dyDescent="0.3">
      <c r="A34" s="235">
        <v>9</v>
      </c>
      <c r="B34" s="236" t="s">
        <v>452</v>
      </c>
      <c r="C34" s="239">
        <v>1731</v>
      </c>
      <c r="D34" s="239">
        <v>418</v>
      </c>
      <c r="E34" s="239">
        <f t="shared" si="2"/>
        <v>-1313</v>
      </c>
      <c r="F34" s="238">
        <f t="shared" si="3"/>
        <v>-0.75852108607741187</v>
      </c>
    </row>
    <row r="35" spans="1:6" s="240" customFormat="1" ht="39.950000000000003" customHeight="1" x14ac:dyDescent="0.3">
      <c r="A35" s="245"/>
      <c r="B35" s="242" t="s">
        <v>453</v>
      </c>
      <c r="C35" s="243">
        <f>+C26+C28</f>
        <v>63250296</v>
      </c>
      <c r="D35" s="243">
        <f>+D26+D28</f>
        <v>15985200</v>
      </c>
      <c r="E35" s="243">
        <f t="shared" si="2"/>
        <v>-47265096</v>
      </c>
      <c r="F35" s="244">
        <f t="shared" si="3"/>
        <v>-0.74727074795033366</v>
      </c>
    </row>
    <row r="36" spans="1:6" s="240" customFormat="1" ht="39.950000000000003" customHeight="1" x14ac:dyDescent="0.3">
      <c r="A36" s="245"/>
      <c r="B36" s="242" t="s">
        <v>482</v>
      </c>
      <c r="C36" s="243">
        <f>+C27+C29</f>
        <v>25417211</v>
      </c>
      <c r="D36" s="243">
        <f>+D27+D29</f>
        <v>5067290</v>
      </c>
      <c r="E36" s="243">
        <f t="shared" si="2"/>
        <v>-20349921</v>
      </c>
      <c r="F36" s="244">
        <f t="shared" si="3"/>
        <v>-0.80063548278369334</v>
      </c>
    </row>
    <row r="37" spans="1:6" ht="42" customHeight="1" x14ac:dyDescent="0.3">
      <c r="A37" s="227" t="s">
        <v>141</v>
      </c>
      <c r="B37" s="261" t="s">
        <v>486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446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447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448</v>
      </c>
      <c r="C40" s="237">
        <v>0</v>
      </c>
      <c r="D40" s="237">
        <v>0</v>
      </c>
      <c r="E40" s="237">
        <f t="shared" si="4"/>
        <v>0</v>
      </c>
      <c r="F40" s="238">
        <f t="shared" si="5"/>
        <v>0</v>
      </c>
    </row>
    <row r="41" spans="1:6" ht="20.25" customHeight="1" x14ac:dyDescent="0.3">
      <c r="A41" s="235">
        <v>4</v>
      </c>
      <c r="B41" s="236" t="s">
        <v>449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5</v>
      </c>
      <c r="B42" s="236" t="s">
        <v>385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384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450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451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452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453</v>
      </c>
      <c r="C47" s="243">
        <f>+C38+C40</f>
        <v>0</v>
      </c>
      <c r="D47" s="243">
        <f>+D38+D40</f>
        <v>0</v>
      </c>
      <c r="E47" s="243">
        <f t="shared" si="4"/>
        <v>0</v>
      </c>
      <c r="F47" s="244">
        <f t="shared" si="5"/>
        <v>0</v>
      </c>
    </row>
    <row r="48" spans="1:6" s="240" customFormat="1" ht="39.950000000000003" customHeight="1" x14ac:dyDescent="0.3">
      <c r="A48" s="245"/>
      <c r="B48" s="242" t="s">
        <v>482</v>
      </c>
      <c r="C48" s="243">
        <f>+C39+C41</f>
        <v>0</v>
      </c>
      <c r="D48" s="243">
        <f>+D39+D41</f>
        <v>0</v>
      </c>
      <c r="E48" s="243">
        <f t="shared" si="4"/>
        <v>0</v>
      </c>
      <c r="F48" s="244">
        <f t="shared" si="5"/>
        <v>0</v>
      </c>
    </row>
    <row r="49" spans="1:6" ht="42" customHeight="1" x14ac:dyDescent="0.3">
      <c r="A49" s="227" t="s">
        <v>171</v>
      </c>
      <c r="B49" s="261" t="s">
        <v>487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446</v>
      </c>
      <c r="C50" s="237">
        <v>0</v>
      </c>
      <c r="D50" s="237">
        <v>0</v>
      </c>
      <c r="E50" s="237">
        <f t="shared" ref="E50:E60" si="6">D50-C50</f>
        <v>0</v>
      </c>
      <c r="F50" s="238">
        <f t="shared" ref="F50:F60" si="7">IF(C50=0,0,E50/C50)</f>
        <v>0</v>
      </c>
    </row>
    <row r="51" spans="1:6" ht="20.25" customHeight="1" x14ac:dyDescent="0.3">
      <c r="A51" s="235">
        <v>2</v>
      </c>
      <c r="B51" s="236" t="s">
        <v>447</v>
      </c>
      <c r="C51" s="237">
        <v>0</v>
      </c>
      <c r="D51" s="237">
        <v>0</v>
      </c>
      <c r="E51" s="237">
        <f t="shared" si="6"/>
        <v>0</v>
      </c>
      <c r="F51" s="238">
        <f t="shared" si="7"/>
        <v>0</v>
      </c>
    </row>
    <row r="52" spans="1:6" ht="20.25" customHeight="1" x14ac:dyDescent="0.3">
      <c r="A52" s="235">
        <v>3</v>
      </c>
      <c r="B52" s="236" t="s">
        <v>448</v>
      </c>
      <c r="C52" s="237">
        <v>0</v>
      </c>
      <c r="D52" s="237">
        <v>0</v>
      </c>
      <c r="E52" s="237">
        <f t="shared" si="6"/>
        <v>0</v>
      </c>
      <c r="F52" s="238">
        <f t="shared" si="7"/>
        <v>0</v>
      </c>
    </row>
    <row r="53" spans="1:6" ht="20.25" customHeight="1" x14ac:dyDescent="0.3">
      <c r="A53" s="235">
        <v>4</v>
      </c>
      <c r="B53" s="236" t="s">
        <v>449</v>
      </c>
      <c r="C53" s="237">
        <v>0</v>
      </c>
      <c r="D53" s="237">
        <v>0</v>
      </c>
      <c r="E53" s="237">
        <f t="shared" si="6"/>
        <v>0</v>
      </c>
      <c r="F53" s="238">
        <f t="shared" si="7"/>
        <v>0</v>
      </c>
    </row>
    <row r="54" spans="1:6" ht="20.25" customHeight="1" x14ac:dyDescent="0.3">
      <c r="A54" s="235">
        <v>5</v>
      </c>
      <c r="B54" s="236" t="s">
        <v>385</v>
      </c>
      <c r="C54" s="239">
        <v>0</v>
      </c>
      <c r="D54" s="239">
        <v>0</v>
      </c>
      <c r="E54" s="239">
        <f t="shared" si="6"/>
        <v>0</v>
      </c>
      <c r="F54" s="238">
        <f t="shared" si="7"/>
        <v>0</v>
      </c>
    </row>
    <row r="55" spans="1:6" ht="20.25" customHeight="1" x14ac:dyDescent="0.3">
      <c r="A55" s="235">
        <v>6</v>
      </c>
      <c r="B55" s="236" t="s">
        <v>384</v>
      </c>
      <c r="C55" s="239">
        <v>0</v>
      </c>
      <c r="D55" s="239">
        <v>0</v>
      </c>
      <c r="E55" s="239">
        <f t="shared" si="6"/>
        <v>0</v>
      </c>
      <c r="F55" s="238">
        <f t="shared" si="7"/>
        <v>0</v>
      </c>
    </row>
    <row r="56" spans="1:6" ht="20.25" customHeight="1" x14ac:dyDescent="0.3">
      <c r="A56" s="235">
        <v>7</v>
      </c>
      <c r="B56" s="236" t="s">
        <v>450</v>
      </c>
      <c r="C56" s="239">
        <v>0</v>
      </c>
      <c r="D56" s="239">
        <v>0</v>
      </c>
      <c r="E56" s="239">
        <f t="shared" si="6"/>
        <v>0</v>
      </c>
      <c r="F56" s="238">
        <f t="shared" si="7"/>
        <v>0</v>
      </c>
    </row>
    <row r="57" spans="1:6" ht="20.25" customHeight="1" x14ac:dyDescent="0.3">
      <c r="A57" s="235">
        <v>8</v>
      </c>
      <c r="B57" s="236" t="s">
        <v>451</v>
      </c>
      <c r="C57" s="239">
        <v>0</v>
      </c>
      <c r="D57" s="239">
        <v>0</v>
      </c>
      <c r="E57" s="239">
        <f t="shared" si="6"/>
        <v>0</v>
      </c>
      <c r="F57" s="238">
        <f t="shared" si="7"/>
        <v>0</v>
      </c>
    </row>
    <row r="58" spans="1:6" ht="20.25" customHeight="1" x14ac:dyDescent="0.3">
      <c r="A58" s="235">
        <v>9</v>
      </c>
      <c r="B58" s="236" t="s">
        <v>452</v>
      </c>
      <c r="C58" s="239">
        <v>0</v>
      </c>
      <c r="D58" s="239">
        <v>0</v>
      </c>
      <c r="E58" s="239">
        <f t="shared" si="6"/>
        <v>0</v>
      </c>
      <c r="F58" s="238">
        <f t="shared" si="7"/>
        <v>0</v>
      </c>
    </row>
    <row r="59" spans="1:6" s="240" customFormat="1" ht="39.950000000000003" customHeight="1" x14ac:dyDescent="0.3">
      <c r="A59" s="245"/>
      <c r="B59" s="242" t="s">
        <v>453</v>
      </c>
      <c r="C59" s="243">
        <f>+C50+C52</f>
        <v>0</v>
      </c>
      <c r="D59" s="243">
        <f>+D50+D52</f>
        <v>0</v>
      </c>
      <c r="E59" s="243">
        <f t="shared" si="6"/>
        <v>0</v>
      </c>
      <c r="F59" s="244">
        <f t="shared" si="7"/>
        <v>0</v>
      </c>
    </row>
    <row r="60" spans="1:6" s="240" customFormat="1" ht="39.950000000000003" customHeight="1" x14ac:dyDescent="0.3">
      <c r="A60" s="245"/>
      <c r="B60" s="242" t="s">
        <v>482</v>
      </c>
      <c r="C60" s="243">
        <f>+C51+C53</f>
        <v>0</v>
      </c>
      <c r="D60" s="243">
        <f>+D51+D53</f>
        <v>0</v>
      </c>
      <c r="E60" s="243">
        <f t="shared" si="6"/>
        <v>0</v>
      </c>
      <c r="F60" s="244">
        <f t="shared" si="7"/>
        <v>0</v>
      </c>
    </row>
    <row r="61" spans="1:6" ht="42" customHeight="1" x14ac:dyDescent="0.3">
      <c r="A61" s="227" t="s">
        <v>176</v>
      </c>
      <c r="B61" s="261" t="s">
        <v>461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446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447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448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449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385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384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450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451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452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453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482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488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446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447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448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449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385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384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450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451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452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453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482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489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446</v>
      </c>
      <c r="C86" s="237">
        <v>2535314</v>
      </c>
      <c r="D86" s="237">
        <v>522792</v>
      </c>
      <c r="E86" s="237">
        <f t="shared" ref="E86:E96" si="12">D86-C86</f>
        <v>-2012522</v>
      </c>
      <c r="F86" s="238">
        <f t="shared" ref="F86:F96" si="13">IF(C86=0,0,E86/C86)</f>
        <v>-0.7937959558461003</v>
      </c>
    </row>
    <row r="87" spans="1:6" ht="20.25" customHeight="1" x14ac:dyDescent="0.3">
      <c r="A87" s="235">
        <v>2</v>
      </c>
      <c r="B87" s="236" t="s">
        <v>447</v>
      </c>
      <c r="C87" s="237">
        <v>922581</v>
      </c>
      <c r="D87" s="237">
        <v>141330</v>
      </c>
      <c r="E87" s="237">
        <f t="shared" si="12"/>
        <v>-781251</v>
      </c>
      <c r="F87" s="238">
        <f t="shared" si="13"/>
        <v>-0.8468101987792942</v>
      </c>
    </row>
    <row r="88" spans="1:6" ht="20.25" customHeight="1" x14ac:dyDescent="0.3">
      <c r="A88" s="235">
        <v>3</v>
      </c>
      <c r="B88" s="236" t="s">
        <v>448</v>
      </c>
      <c r="C88" s="237">
        <v>3725908</v>
      </c>
      <c r="D88" s="237">
        <v>991318</v>
      </c>
      <c r="E88" s="237">
        <f t="shared" si="12"/>
        <v>-2734590</v>
      </c>
      <c r="F88" s="238">
        <f t="shared" si="13"/>
        <v>-0.73393921696402598</v>
      </c>
    </row>
    <row r="89" spans="1:6" ht="20.25" customHeight="1" x14ac:dyDescent="0.3">
      <c r="A89" s="235">
        <v>4</v>
      </c>
      <c r="B89" s="236" t="s">
        <v>449</v>
      </c>
      <c r="C89" s="237">
        <v>1239796</v>
      </c>
      <c r="D89" s="237">
        <v>304610</v>
      </c>
      <c r="E89" s="237">
        <f t="shared" si="12"/>
        <v>-935186</v>
      </c>
      <c r="F89" s="238">
        <f t="shared" si="13"/>
        <v>-0.75430635362591913</v>
      </c>
    </row>
    <row r="90" spans="1:6" ht="20.25" customHeight="1" x14ac:dyDescent="0.3">
      <c r="A90" s="235">
        <v>5</v>
      </c>
      <c r="B90" s="236" t="s">
        <v>385</v>
      </c>
      <c r="C90" s="239">
        <v>210</v>
      </c>
      <c r="D90" s="239">
        <v>33</v>
      </c>
      <c r="E90" s="239">
        <f t="shared" si="12"/>
        <v>-177</v>
      </c>
      <c r="F90" s="238">
        <f t="shared" si="13"/>
        <v>-0.84285714285714286</v>
      </c>
    </row>
    <row r="91" spans="1:6" ht="20.25" customHeight="1" x14ac:dyDescent="0.3">
      <c r="A91" s="235">
        <v>6</v>
      </c>
      <c r="B91" s="236" t="s">
        <v>384</v>
      </c>
      <c r="C91" s="239">
        <v>641</v>
      </c>
      <c r="D91" s="239">
        <v>106</v>
      </c>
      <c r="E91" s="239">
        <f t="shared" si="12"/>
        <v>-535</v>
      </c>
      <c r="F91" s="238">
        <f t="shared" si="13"/>
        <v>-0.83463338533541342</v>
      </c>
    </row>
    <row r="92" spans="1:6" ht="20.25" customHeight="1" x14ac:dyDescent="0.3">
      <c r="A92" s="235">
        <v>7</v>
      </c>
      <c r="B92" s="236" t="s">
        <v>450</v>
      </c>
      <c r="C92" s="239">
        <v>672</v>
      </c>
      <c r="D92" s="239">
        <v>182</v>
      </c>
      <c r="E92" s="239">
        <f t="shared" si="12"/>
        <v>-490</v>
      </c>
      <c r="F92" s="238">
        <f t="shared" si="13"/>
        <v>-0.72916666666666663</v>
      </c>
    </row>
    <row r="93" spans="1:6" ht="20.25" customHeight="1" x14ac:dyDescent="0.3">
      <c r="A93" s="235">
        <v>8</v>
      </c>
      <c r="B93" s="236" t="s">
        <v>451</v>
      </c>
      <c r="C93" s="239">
        <v>2221</v>
      </c>
      <c r="D93" s="239">
        <v>544</v>
      </c>
      <c r="E93" s="239">
        <f t="shared" si="12"/>
        <v>-1677</v>
      </c>
      <c r="F93" s="238">
        <f t="shared" si="13"/>
        <v>-0.75506528590724897</v>
      </c>
    </row>
    <row r="94" spans="1:6" ht="20.25" customHeight="1" x14ac:dyDescent="0.3">
      <c r="A94" s="235">
        <v>9</v>
      </c>
      <c r="B94" s="236" t="s">
        <v>452</v>
      </c>
      <c r="C94" s="239">
        <v>152</v>
      </c>
      <c r="D94" s="239">
        <v>36</v>
      </c>
      <c r="E94" s="239">
        <f t="shared" si="12"/>
        <v>-116</v>
      </c>
      <c r="F94" s="238">
        <f t="shared" si="13"/>
        <v>-0.76315789473684215</v>
      </c>
    </row>
    <row r="95" spans="1:6" s="240" customFormat="1" ht="39.950000000000003" customHeight="1" x14ac:dyDescent="0.3">
      <c r="A95" s="245"/>
      <c r="B95" s="242" t="s">
        <v>453</v>
      </c>
      <c r="C95" s="243">
        <f>+C86+C88</f>
        <v>6261222</v>
      </c>
      <c r="D95" s="243">
        <f>+D86+D88</f>
        <v>1514110</v>
      </c>
      <c r="E95" s="243">
        <f t="shared" si="12"/>
        <v>-4747112</v>
      </c>
      <c r="F95" s="244">
        <f t="shared" si="13"/>
        <v>-0.75817659875340626</v>
      </c>
    </row>
    <row r="96" spans="1:6" s="240" customFormat="1" ht="39.950000000000003" customHeight="1" x14ac:dyDescent="0.3">
      <c r="A96" s="245"/>
      <c r="B96" s="242" t="s">
        <v>482</v>
      </c>
      <c r="C96" s="243">
        <f>+C87+C89</f>
        <v>2162377</v>
      </c>
      <c r="D96" s="243">
        <f>+D87+D89</f>
        <v>445940</v>
      </c>
      <c r="E96" s="243">
        <f t="shared" si="12"/>
        <v>-1716437</v>
      </c>
      <c r="F96" s="244">
        <f t="shared" si="13"/>
        <v>-0.79377324120632065</v>
      </c>
    </row>
    <row r="97" spans="1:7" ht="42" customHeight="1" x14ac:dyDescent="0.3">
      <c r="A97" s="227" t="s">
        <v>187</v>
      </c>
      <c r="B97" s="261" t="s">
        <v>462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446</v>
      </c>
      <c r="C98" s="237">
        <v>1854306</v>
      </c>
      <c r="D98" s="237">
        <v>909846</v>
      </c>
      <c r="E98" s="237">
        <f t="shared" ref="E98:E108" si="14">D98-C98</f>
        <v>-944460</v>
      </c>
      <c r="F98" s="238">
        <f t="shared" ref="F98:F108" si="15">IF(C98=0,0,E98/C98)</f>
        <v>-0.50933341099041907</v>
      </c>
    </row>
    <row r="99" spans="1:7" ht="20.25" customHeight="1" x14ac:dyDescent="0.3">
      <c r="A99" s="235">
        <v>2</v>
      </c>
      <c r="B99" s="236" t="s">
        <v>447</v>
      </c>
      <c r="C99" s="237">
        <v>648581</v>
      </c>
      <c r="D99" s="237">
        <v>190664</v>
      </c>
      <c r="E99" s="237">
        <f t="shared" si="14"/>
        <v>-457917</v>
      </c>
      <c r="F99" s="238">
        <f t="shared" si="15"/>
        <v>-0.70602900794195333</v>
      </c>
    </row>
    <row r="100" spans="1:7" ht="20.25" customHeight="1" x14ac:dyDescent="0.3">
      <c r="A100" s="235">
        <v>3</v>
      </c>
      <c r="B100" s="236" t="s">
        <v>448</v>
      </c>
      <c r="C100" s="237">
        <v>3377711</v>
      </c>
      <c r="D100" s="237">
        <v>1095572</v>
      </c>
      <c r="E100" s="237">
        <f t="shared" si="14"/>
        <v>-2282139</v>
      </c>
      <c r="F100" s="238">
        <f t="shared" si="15"/>
        <v>-0.67564661393470316</v>
      </c>
    </row>
    <row r="101" spans="1:7" ht="20.25" customHeight="1" x14ac:dyDescent="0.3">
      <c r="A101" s="235">
        <v>4</v>
      </c>
      <c r="B101" s="236" t="s">
        <v>449</v>
      </c>
      <c r="C101" s="237">
        <v>938649</v>
      </c>
      <c r="D101" s="237">
        <v>264829</v>
      </c>
      <c r="E101" s="237">
        <f t="shared" si="14"/>
        <v>-673820</v>
      </c>
      <c r="F101" s="238">
        <f t="shared" si="15"/>
        <v>-0.71786152225166167</v>
      </c>
    </row>
    <row r="102" spans="1:7" ht="20.25" customHeight="1" x14ac:dyDescent="0.3">
      <c r="A102" s="235">
        <v>5</v>
      </c>
      <c r="B102" s="236" t="s">
        <v>385</v>
      </c>
      <c r="C102" s="239">
        <v>149</v>
      </c>
      <c r="D102" s="239">
        <v>30</v>
      </c>
      <c r="E102" s="239">
        <f t="shared" si="14"/>
        <v>-119</v>
      </c>
      <c r="F102" s="238">
        <f t="shared" si="15"/>
        <v>-0.79865771812080533</v>
      </c>
    </row>
    <row r="103" spans="1:7" ht="20.25" customHeight="1" x14ac:dyDescent="0.3">
      <c r="A103" s="235">
        <v>6</v>
      </c>
      <c r="B103" s="236" t="s">
        <v>384</v>
      </c>
      <c r="C103" s="239">
        <v>503</v>
      </c>
      <c r="D103" s="239">
        <v>171</v>
      </c>
      <c r="E103" s="239">
        <f t="shared" si="14"/>
        <v>-332</v>
      </c>
      <c r="F103" s="238">
        <f t="shared" si="15"/>
        <v>-0.66003976143141152</v>
      </c>
    </row>
    <row r="104" spans="1:7" ht="20.25" customHeight="1" x14ac:dyDescent="0.3">
      <c r="A104" s="235">
        <v>7</v>
      </c>
      <c r="B104" s="236" t="s">
        <v>450</v>
      </c>
      <c r="C104" s="239">
        <v>521</v>
      </c>
      <c r="D104" s="239">
        <v>159</v>
      </c>
      <c r="E104" s="239">
        <f t="shared" si="14"/>
        <v>-362</v>
      </c>
      <c r="F104" s="238">
        <f t="shared" si="15"/>
        <v>-0.69481765834932818</v>
      </c>
    </row>
    <row r="105" spans="1:7" ht="20.25" customHeight="1" x14ac:dyDescent="0.3">
      <c r="A105" s="235">
        <v>8</v>
      </c>
      <c r="B105" s="236" t="s">
        <v>451</v>
      </c>
      <c r="C105" s="239">
        <v>1722</v>
      </c>
      <c r="D105" s="239">
        <v>476</v>
      </c>
      <c r="E105" s="239">
        <f t="shared" si="14"/>
        <v>-1246</v>
      </c>
      <c r="F105" s="238">
        <f t="shared" si="15"/>
        <v>-0.72357723577235777</v>
      </c>
    </row>
    <row r="106" spans="1:7" ht="20.25" customHeight="1" x14ac:dyDescent="0.3">
      <c r="A106" s="235">
        <v>9</v>
      </c>
      <c r="B106" s="236" t="s">
        <v>452</v>
      </c>
      <c r="C106" s="239">
        <v>118</v>
      </c>
      <c r="D106" s="239">
        <v>31</v>
      </c>
      <c r="E106" s="239">
        <f t="shared" si="14"/>
        <v>-87</v>
      </c>
      <c r="F106" s="238">
        <f t="shared" si="15"/>
        <v>-0.73728813559322037</v>
      </c>
    </row>
    <row r="107" spans="1:7" s="240" customFormat="1" ht="39.950000000000003" customHeight="1" x14ac:dyDescent="0.3">
      <c r="A107" s="245"/>
      <c r="B107" s="242" t="s">
        <v>453</v>
      </c>
      <c r="C107" s="243">
        <f>+C98+C100</f>
        <v>5232017</v>
      </c>
      <c r="D107" s="243">
        <f>+D98+D100</f>
        <v>2005418</v>
      </c>
      <c r="E107" s="243">
        <f t="shared" si="14"/>
        <v>-3226599</v>
      </c>
      <c r="F107" s="244">
        <f t="shared" si="15"/>
        <v>-0.61670269802257904</v>
      </c>
    </row>
    <row r="108" spans="1:7" s="240" customFormat="1" ht="39.950000000000003" customHeight="1" x14ac:dyDescent="0.3">
      <c r="A108" s="245"/>
      <c r="B108" s="242" t="s">
        <v>482</v>
      </c>
      <c r="C108" s="243">
        <f>+C99+C101</f>
        <v>1587230</v>
      </c>
      <c r="D108" s="243">
        <f>+D99+D101</f>
        <v>455493</v>
      </c>
      <c r="E108" s="243">
        <f t="shared" si="14"/>
        <v>-1131737</v>
      </c>
      <c r="F108" s="244">
        <f t="shared" si="15"/>
        <v>-0.71302646749368392</v>
      </c>
    </row>
    <row r="109" spans="1:7" s="240" customFormat="1" ht="20.25" customHeight="1" x14ac:dyDescent="0.3">
      <c r="A109" s="688" t="s">
        <v>44</v>
      </c>
      <c r="B109" s="689" t="s">
        <v>490</v>
      </c>
      <c r="C109" s="691"/>
      <c r="D109" s="692"/>
      <c r="E109" s="692"/>
      <c r="F109" s="693"/>
      <c r="G109" s="212"/>
    </row>
    <row r="110" spans="1:7" ht="20.25" customHeight="1" x14ac:dyDescent="0.3">
      <c r="A110" s="679"/>
      <c r="B110" s="690"/>
      <c r="C110" s="685"/>
      <c r="D110" s="686"/>
      <c r="E110" s="686"/>
      <c r="F110" s="687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472</v>
      </c>
      <c r="C112" s="243">
        <f t="shared" ref="C112:D120" si="16">+C98+C86+C74+C62+C50+C38+C26+C14</f>
        <v>26866087</v>
      </c>
      <c r="D112" s="243">
        <f t="shared" si="16"/>
        <v>6324858</v>
      </c>
      <c r="E112" s="243">
        <f t="shared" ref="E112:E122" si="17">D112-C112</f>
        <v>-20541229</v>
      </c>
      <c r="F112" s="244">
        <f t="shared" ref="F112:F122" si="18">IF(C112=0,0,E112/C112)</f>
        <v>-0.76457836974919346</v>
      </c>
    </row>
    <row r="113" spans="1:6" ht="20.25" customHeight="1" x14ac:dyDescent="0.3">
      <c r="A113" s="249"/>
      <c r="B113" s="250" t="s">
        <v>473</v>
      </c>
      <c r="C113" s="243">
        <f t="shared" si="16"/>
        <v>9252670</v>
      </c>
      <c r="D113" s="243">
        <f t="shared" si="16"/>
        <v>1169972</v>
      </c>
      <c r="E113" s="243">
        <f t="shared" si="17"/>
        <v>-8082698</v>
      </c>
      <c r="F113" s="244">
        <f t="shared" si="18"/>
        <v>-0.87355303928487671</v>
      </c>
    </row>
    <row r="114" spans="1:6" ht="20.25" customHeight="1" x14ac:dyDescent="0.3">
      <c r="A114" s="249"/>
      <c r="B114" s="250" t="s">
        <v>474</v>
      </c>
      <c r="C114" s="243">
        <f t="shared" si="16"/>
        <v>47877448</v>
      </c>
      <c r="D114" s="243">
        <f t="shared" si="16"/>
        <v>13179870</v>
      </c>
      <c r="E114" s="243">
        <f t="shared" si="17"/>
        <v>-34697578</v>
      </c>
      <c r="F114" s="244">
        <f t="shared" si="18"/>
        <v>-0.72471653042158801</v>
      </c>
    </row>
    <row r="115" spans="1:6" ht="20.25" customHeight="1" x14ac:dyDescent="0.3">
      <c r="A115" s="249"/>
      <c r="B115" s="250" t="s">
        <v>475</v>
      </c>
      <c r="C115" s="243">
        <f t="shared" si="16"/>
        <v>19914148</v>
      </c>
      <c r="D115" s="243">
        <f t="shared" si="16"/>
        <v>4798751</v>
      </c>
      <c r="E115" s="243">
        <f t="shared" si="17"/>
        <v>-15115397</v>
      </c>
      <c r="F115" s="244">
        <f t="shared" si="18"/>
        <v>-0.7590280538238442</v>
      </c>
    </row>
    <row r="116" spans="1:6" ht="20.25" customHeight="1" x14ac:dyDescent="0.3">
      <c r="A116" s="249"/>
      <c r="B116" s="250" t="s">
        <v>476</v>
      </c>
      <c r="C116" s="252">
        <f t="shared" si="16"/>
        <v>2386</v>
      </c>
      <c r="D116" s="252">
        <f t="shared" si="16"/>
        <v>405</v>
      </c>
      <c r="E116" s="252">
        <f t="shared" si="17"/>
        <v>-1981</v>
      </c>
      <c r="F116" s="244">
        <f t="shared" si="18"/>
        <v>-0.83025984911986583</v>
      </c>
    </row>
    <row r="117" spans="1:6" ht="20.25" customHeight="1" x14ac:dyDescent="0.3">
      <c r="A117" s="249"/>
      <c r="B117" s="250" t="s">
        <v>477</v>
      </c>
      <c r="C117" s="252">
        <f t="shared" si="16"/>
        <v>7169</v>
      </c>
      <c r="D117" s="252">
        <f t="shared" si="16"/>
        <v>1217</v>
      </c>
      <c r="E117" s="252">
        <f t="shared" si="17"/>
        <v>-5952</v>
      </c>
      <c r="F117" s="244">
        <f t="shared" si="18"/>
        <v>-0.83024131678058311</v>
      </c>
    </row>
    <row r="118" spans="1:6" ht="39.950000000000003" customHeight="1" x14ac:dyDescent="0.3">
      <c r="A118" s="249"/>
      <c r="B118" s="250" t="s">
        <v>478</v>
      </c>
      <c r="C118" s="252">
        <f t="shared" si="16"/>
        <v>8837</v>
      </c>
      <c r="D118" s="252">
        <f t="shared" si="16"/>
        <v>2454</v>
      </c>
      <c r="E118" s="252">
        <f t="shared" si="17"/>
        <v>-6383</v>
      </c>
      <c r="F118" s="244">
        <f t="shared" si="18"/>
        <v>-0.7223039493040625</v>
      </c>
    </row>
    <row r="119" spans="1:6" ht="39.950000000000003" customHeight="1" x14ac:dyDescent="0.3">
      <c r="A119" s="249"/>
      <c r="B119" s="250" t="s">
        <v>479</v>
      </c>
      <c r="C119" s="252">
        <f t="shared" si="16"/>
        <v>29227</v>
      </c>
      <c r="D119" s="252">
        <f t="shared" si="16"/>
        <v>7334</v>
      </c>
      <c r="E119" s="252">
        <f t="shared" si="17"/>
        <v>-21893</v>
      </c>
      <c r="F119" s="244">
        <f t="shared" si="18"/>
        <v>-0.74906764293290451</v>
      </c>
    </row>
    <row r="120" spans="1:6" ht="39.950000000000003" customHeight="1" x14ac:dyDescent="0.3">
      <c r="A120" s="249"/>
      <c r="B120" s="250" t="s">
        <v>480</v>
      </c>
      <c r="C120" s="252">
        <f t="shared" si="16"/>
        <v>2001</v>
      </c>
      <c r="D120" s="252">
        <f t="shared" si="16"/>
        <v>485</v>
      </c>
      <c r="E120" s="252">
        <f t="shared" si="17"/>
        <v>-1516</v>
      </c>
      <c r="F120" s="244">
        <f t="shared" si="18"/>
        <v>-0.75762118940529732</v>
      </c>
    </row>
    <row r="121" spans="1:6" ht="39.950000000000003" customHeight="1" x14ac:dyDescent="0.3">
      <c r="A121" s="249"/>
      <c r="B121" s="242" t="s">
        <v>453</v>
      </c>
      <c r="C121" s="243">
        <f>+C112+C114</f>
        <v>74743535</v>
      </c>
      <c r="D121" s="243">
        <f>+D112+D114</f>
        <v>19504728</v>
      </c>
      <c r="E121" s="243">
        <f t="shared" si="17"/>
        <v>-55238807</v>
      </c>
      <c r="F121" s="244">
        <f t="shared" si="18"/>
        <v>-0.73904461436029212</v>
      </c>
    </row>
    <row r="122" spans="1:6" ht="39.950000000000003" customHeight="1" x14ac:dyDescent="0.3">
      <c r="A122" s="249"/>
      <c r="B122" s="242" t="s">
        <v>482</v>
      </c>
      <c r="C122" s="243">
        <f>+C113+C115</f>
        <v>29166818</v>
      </c>
      <c r="D122" s="243">
        <f>+D113+D115</f>
        <v>5968723</v>
      </c>
      <c r="E122" s="243">
        <f t="shared" si="17"/>
        <v>-23198095</v>
      </c>
      <c r="F122" s="244">
        <f t="shared" si="18"/>
        <v>-0.7953591303651979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/>
  <headerFooter>
    <oddHeader>&amp;LOFFICE OF HEALTH CARE ACCESS&amp;CTWELVE MONTHS ACTUAL FILING&amp;RTHE HOSPITAL OF CENTRAL CONNECTICUT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491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492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20299387</v>
      </c>
      <c r="D13" s="23">
        <v>32572707</v>
      </c>
      <c r="E13" s="23">
        <f t="shared" ref="E13:E22" si="0">D13-C13</f>
        <v>12273320</v>
      </c>
      <c r="F13" s="24">
        <f t="shared" ref="F13:F22" si="1">IF(C13=0,0,E13/C13)</f>
        <v>0.60461530193005331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35.1" customHeight="1" x14ac:dyDescent="0.2">
      <c r="A15" s="21">
        <v>3</v>
      </c>
      <c r="B15" s="22" t="s">
        <v>18</v>
      </c>
      <c r="C15" s="23">
        <v>48945018</v>
      </c>
      <c r="D15" s="23">
        <v>48473300</v>
      </c>
      <c r="E15" s="23">
        <f t="shared" si="0"/>
        <v>-471718</v>
      </c>
      <c r="F15" s="24">
        <f t="shared" si="1"/>
        <v>-9.6377122590903946E-3</v>
      </c>
    </row>
    <row r="16" spans="1:8" ht="35.1" customHeight="1" x14ac:dyDescent="0.2">
      <c r="A16" s="21">
        <v>4</v>
      </c>
      <c r="B16" s="22" t="s">
        <v>19</v>
      </c>
      <c r="C16" s="23">
        <v>0</v>
      </c>
      <c r="D16" s="23">
        <v>0</v>
      </c>
      <c r="E16" s="23">
        <f t="shared" si="0"/>
        <v>0</v>
      </c>
      <c r="F16" s="24">
        <f t="shared" si="1"/>
        <v>0</v>
      </c>
    </row>
    <row r="17" spans="1:11" ht="24" customHeight="1" x14ac:dyDescent="0.2">
      <c r="A17" s="21">
        <v>5</v>
      </c>
      <c r="B17" s="22" t="s">
        <v>20</v>
      </c>
      <c r="C17" s="23">
        <v>73947</v>
      </c>
      <c r="D17" s="23">
        <v>84758</v>
      </c>
      <c r="E17" s="23">
        <f t="shared" si="0"/>
        <v>10811</v>
      </c>
      <c r="F17" s="24">
        <f t="shared" si="1"/>
        <v>0.14619930490756894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5586310</v>
      </c>
      <c r="D19" s="23">
        <v>5943030</v>
      </c>
      <c r="E19" s="23">
        <f t="shared" si="0"/>
        <v>356720</v>
      </c>
      <c r="F19" s="24">
        <f t="shared" si="1"/>
        <v>6.3856105371882341E-2</v>
      </c>
    </row>
    <row r="20" spans="1:11" ht="24" customHeight="1" x14ac:dyDescent="0.2">
      <c r="A20" s="21">
        <v>8</v>
      </c>
      <c r="B20" s="22" t="s">
        <v>23</v>
      </c>
      <c r="C20" s="23">
        <v>4291812</v>
      </c>
      <c r="D20" s="23">
        <v>3613869</v>
      </c>
      <c r="E20" s="23">
        <f t="shared" si="0"/>
        <v>-677943</v>
      </c>
      <c r="F20" s="24">
        <f t="shared" si="1"/>
        <v>-0.15796195173507135</v>
      </c>
    </row>
    <row r="21" spans="1:11" ht="24" customHeight="1" x14ac:dyDescent="0.2">
      <c r="A21" s="21">
        <v>9</v>
      </c>
      <c r="B21" s="22" t="s">
        <v>24</v>
      </c>
      <c r="C21" s="23">
        <v>10868943</v>
      </c>
      <c r="D21" s="23">
        <v>16323828</v>
      </c>
      <c r="E21" s="23">
        <f t="shared" si="0"/>
        <v>5454885</v>
      </c>
      <c r="F21" s="24">
        <f t="shared" si="1"/>
        <v>0.50187814951279075</v>
      </c>
    </row>
    <row r="22" spans="1:11" ht="24" customHeight="1" x14ac:dyDescent="0.25">
      <c r="A22" s="25"/>
      <c r="B22" s="26" t="s">
        <v>25</v>
      </c>
      <c r="C22" s="27">
        <f>SUM(C13:C21)</f>
        <v>90065417</v>
      </c>
      <c r="D22" s="27">
        <f>SUM(D13:D21)</f>
        <v>107011492</v>
      </c>
      <c r="E22" s="27">
        <f t="shared" si="0"/>
        <v>16946075</v>
      </c>
      <c r="F22" s="28">
        <f t="shared" si="1"/>
        <v>0.18815296219635558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13488594</v>
      </c>
      <c r="D25" s="23">
        <v>15192304</v>
      </c>
      <c r="E25" s="23">
        <f>D25-C25</f>
        <v>1703710</v>
      </c>
      <c r="F25" s="24">
        <f>IF(C25=0,0,E25/C25)</f>
        <v>0.12630745650732761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35.1" customHeight="1" x14ac:dyDescent="0.2">
      <c r="A28" s="21">
        <v>4</v>
      </c>
      <c r="B28" s="22" t="s">
        <v>31</v>
      </c>
      <c r="C28" s="23">
        <v>0</v>
      </c>
      <c r="D28" s="23">
        <v>0</v>
      </c>
      <c r="E28" s="23">
        <f>D28-C28</f>
        <v>0</v>
      </c>
      <c r="F28" s="24">
        <f>IF(C28=0,0,E28/C28)</f>
        <v>0</v>
      </c>
    </row>
    <row r="29" spans="1:11" ht="35.1" customHeight="1" x14ac:dyDescent="0.25">
      <c r="A29" s="25"/>
      <c r="B29" s="26" t="s">
        <v>32</v>
      </c>
      <c r="C29" s="27">
        <f>SUM(C25:C28)</f>
        <v>13488594</v>
      </c>
      <c r="D29" s="27">
        <f>SUM(D25:D28)</f>
        <v>15192304</v>
      </c>
      <c r="E29" s="27">
        <f>D29-C29</f>
        <v>1703710</v>
      </c>
      <c r="F29" s="28">
        <f>IF(C29=0,0,E29/C29)</f>
        <v>0.12630745650732761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135698992</v>
      </c>
      <c r="D32" s="23">
        <v>150404774</v>
      </c>
      <c r="E32" s="23">
        <f>D32-C32</f>
        <v>14705782</v>
      </c>
      <c r="F32" s="24">
        <f>IF(C32=0,0,E32/C32)</f>
        <v>0.10837060602484062</v>
      </c>
    </row>
    <row r="33" spans="1:8" ht="24" customHeight="1" x14ac:dyDescent="0.2">
      <c r="A33" s="21">
        <v>7</v>
      </c>
      <c r="B33" s="22" t="s">
        <v>35</v>
      </c>
      <c r="C33" s="23">
        <v>11461992</v>
      </c>
      <c r="D33" s="23">
        <v>11004087</v>
      </c>
      <c r="E33" s="23">
        <f>D33-C33</f>
        <v>-457905</v>
      </c>
      <c r="F33" s="24">
        <f>IF(C33=0,0,E33/C33)</f>
        <v>-3.9949862118207724E-2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411952507</v>
      </c>
      <c r="D36" s="23">
        <v>422527772</v>
      </c>
      <c r="E36" s="23">
        <f>D36-C36</f>
        <v>10575265</v>
      </c>
      <c r="F36" s="24">
        <f>IF(C36=0,0,E36/C36)</f>
        <v>2.5671078146879685E-2</v>
      </c>
    </row>
    <row r="37" spans="1:8" ht="24" customHeight="1" x14ac:dyDescent="0.2">
      <c r="A37" s="21">
        <v>2</v>
      </c>
      <c r="B37" s="22" t="s">
        <v>39</v>
      </c>
      <c r="C37" s="23">
        <v>260274904</v>
      </c>
      <c r="D37" s="23">
        <v>274632798</v>
      </c>
      <c r="E37" s="23">
        <f>D37-C37</f>
        <v>14357894</v>
      </c>
      <c r="F37" s="23">
        <f>IF(C37=0,0,E37/C37)</f>
        <v>5.5164342698211119E-2</v>
      </c>
    </row>
    <row r="38" spans="1:8" ht="24" customHeight="1" x14ac:dyDescent="0.25">
      <c r="A38" s="25"/>
      <c r="B38" s="26" t="s">
        <v>40</v>
      </c>
      <c r="C38" s="27">
        <f>C36-C37</f>
        <v>151677603</v>
      </c>
      <c r="D38" s="27">
        <f>D36-D37</f>
        <v>147894974</v>
      </c>
      <c r="E38" s="27">
        <f>D38-C38</f>
        <v>-3782629</v>
      </c>
      <c r="F38" s="28">
        <f>IF(C38=0,0,E38/C38)</f>
        <v>-2.4938612723198163E-2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1087467</v>
      </c>
      <c r="D40" s="23">
        <v>2535320</v>
      </c>
      <c r="E40" s="23">
        <f>D40-C40</f>
        <v>1447853</v>
      </c>
      <c r="F40" s="24">
        <f>IF(C40=0,0,E40/C40)</f>
        <v>1.3313994815474861</v>
      </c>
    </row>
    <row r="41" spans="1:8" ht="24" customHeight="1" x14ac:dyDescent="0.25">
      <c r="A41" s="25"/>
      <c r="B41" s="26" t="s">
        <v>42</v>
      </c>
      <c r="C41" s="27">
        <f>+C38+C40</f>
        <v>152765070</v>
      </c>
      <c r="D41" s="27">
        <f>+D38+D40</f>
        <v>150430294</v>
      </c>
      <c r="E41" s="27">
        <f>D41-C41</f>
        <v>-2334776</v>
      </c>
      <c r="F41" s="28">
        <f>IF(C41=0,0,E41/C41)</f>
        <v>-1.5283441430688311E-2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403480065</v>
      </c>
      <c r="D43" s="27">
        <f>D22+D29+D31+D32+D33+D41</f>
        <v>434042951</v>
      </c>
      <c r="E43" s="27">
        <f>D43-C43</f>
        <v>30562886</v>
      </c>
      <c r="F43" s="28">
        <f>IF(C43=0,0,E43/C43)</f>
        <v>7.5748193408266648E-2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23448266</v>
      </c>
      <c r="D49" s="23">
        <v>24828273</v>
      </c>
      <c r="E49" s="23">
        <f t="shared" ref="E49:E56" si="2">D49-C49</f>
        <v>1380007</v>
      </c>
      <c r="F49" s="24">
        <f t="shared" ref="F49:F56" si="3">IF(C49=0,0,E49/C49)</f>
        <v>5.8853264458872991E-2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12301012</v>
      </c>
      <c r="D50" s="23">
        <v>14266850</v>
      </c>
      <c r="E50" s="23">
        <f t="shared" si="2"/>
        <v>1965838</v>
      </c>
      <c r="F50" s="24">
        <f t="shared" si="3"/>
        <v>0.15981107895838165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23838552</v>
      </c>
      <c r="D51" s="23">
        <v>19307101</v>
      </c>
      <c r="E51" s="23">
        <f t="shared" si="2"/>
        <v>-4531451</v>
      </c>
      <c r="F51" s="24">
        <f t="shared" si="3"/>
        <v>-0.19008918830304794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374021</v>
      </c>
      <c r="D52" s="23">
        <v>1644937</v>
      </c>
      <c r="E52" s="23">
        <f t="shared" si="2"/>
        <v>1270916</v>
      </c>
      <c r="F52" s="24">
        <f t="shared" si="3"/>
        <v>3.3979803273078248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2724400</v>
      </c>
      <c r="D53" s="23">
        <v>2165699</v>
      </c>
      <c r="E53" s="23">
        <f t="shared" si="2"/>
        <v>-558701</v>
      </c>
      <c r="F53" s="24">
        <f t="shared" si="3"/>
        <v>-0.20507304360593159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17167413</v>
      </c>
      <c r="D55" s="23">
        <v>17176915</v>
      </c>
      <c r="E55" s="23">
        <f t="shared" si="2"/>
        <v>9502</v>
      </c>
      <c r="F55" s="24">
        <f t="shared" si="3"/>
        <v>5.5349049970429445E-4</v>
      </c>
    </row>
    <row r="56" spans="1:6" ht="24" customHeight="1" x14ac:dyDescent="0.25">
      <c r="A56" s="25"/>
      <c r="B56" s="26" t="s">
        <v>54</v>
      </c>
      <c r="C56" s="27">
        <f>SUM(C49:C55)</f>
        <v>79853664</v>
      </c>
      <c r="D56" s="27">
        <f>SUM(D49:D55)</f>
        <v>79389775</v>
      </c>
      <c r="E56" s="27">
        <f t="shared" si="2"/>
        <v>-463889</v>
      </c>
      <c r="F56" s="28">
        <f t="shared" si="3"/>
        <v>-5.8092387595389487E-3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0</v>
      </c>
      <c r="D59" s="23">
        <v>0</v>
      </c>
      <c r="E59" s="23">
        <f>D59-C59</f>
        <v>0</v>
      </c>
      <c r="F59" s="24">
        <f>IF(C59=0,0,E59/C59)</f>
        <v>0</v>
      </c>
    </row>
    <row r="60" spans="1:6" ht="24" customHeight="1" x14ac:dyDescent="0.2">
      <c r="A60" s="21">
        <v>2</v>
      </c>
      <c r="B60" s="22" t="s">
        <v>57</v>
      </c>
      <c r="C60" s="23">
        <v>3640365</v>
      </c>
      <c r="D60" s="23">
        <v>1367741</v>
      </c>
      <c r="E60" s="23">
        <f>D60-C60</f>
        <v>-2272624</v>
      </c>
      <c r="F60" s="24">
        <f>IF(C60=0,0,E60/C60)</f>
        <v>-0.62428465277520251</v>
      </c>
    </row>
    <row r="61" spans="1:6" ht="24" customHeight="1" x14ac:dyDescent="0.25">
      <c r="A61" s="25"/>
      <c r="B61" s="26" t="s">
        <v>58</v>
      </c>
      <c r="C61" s="27">
        <f>SUM(C59:C60)</f>
        <v>3640365</v>
      </c>
      <c r="D61" s="27">
        <f>SUM(D59:D60)</f>
        <v>1367741</v>
      </c>
      <c r="E61" s="27">
        <f>D61-C61</f>
        <v>-2272624</v>
      </c>
      <c r="F61" s="28">
        <f>IF(C61=0,0,E61/C61)</f>
        <v>-0.62428465277520251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82716227</v>
      </c>
      <c r="D63" s="23">
        <v>141985877</v>
      </c>
      <c r="E63" s="23">
        <f>D63-C63</f>
        <v>59269650</v>
      </c>
      <c r="F63" s="24">
        <f>IF(C63=0,0,E63/C63)</f>
        <v>0.71654199121050333</v>
      </c>
    </row>
    <row r="64" spans="1:6" ht="24" customHeight="1" x14ac:dyDescent="0.2">
      <c r="A64" s="21">
        <v>4</v>
      </c>
      <c r="B64" s="22" t="s">
        <v>60</v>
      </c>
      <c r="C64" s="23">
        <v>62072042</v>
      </c>
      <c r="D64" s="23">
        <v>59096246</v>
      </c>
      <c r="E64" s="23">
        <f>D64-C64</f>
        <v>-2975796</v>
      </c>
      <c r="F64" s="24">
        <f>IF(C64=0,0,E64/C64)</f>
        <v>-4.7941003777513876E-2</v>
      </c>
    </row>
    <row r="65" spans="1:6" ht="24" customHeight="1" x14ac:dyDescent="0.25">
      <c r="A65" s="25"/>
      <c r="B65" s="26" t="s">
        <v>61</v>
      </c>
      <c r="C65" s="27">
        <f>SUM(C61:C64)</f>
        <v>148428634</v>
      </c>
      <c r="D65" s="27">
        <f>SUM(D61:D64)</f>
        <v>202449864</v>
      </c>
      <c r="E65" s="27">
        <f>D65-C65</f>
        <v>54021230</v>
      </c>
      <c r="F65" s="28">
        <f>IF(C65=0,0,E65/C65)</f>
        <v>0.36395423540716543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138381964</v>
      </c>
      <c r="D70" s="23">
        <v>110395439</v>
      </c>
      <c r="E70" s="23">
        <f>D70-C70</f>
        <v>-27986525</v>
      </c>
      <c r="F70" s="24">
        <f>IF(C70=0,0,E70/C70)</f>
        <v>-0.20224113165498939</v>
      </c>
    </row>
    <row r="71" spans="1:6" ht="24" customHeight="1" x14ac:dyDescent="0.2">
      <c r="A71" s="21">
        <v>2</v>
      </c>
      <c r="B71" s="22" t="s">
        <v>65</v>
      </c>
      <c r="C71" s="23">
        <v>16726765</v>
      </c>
      <c r="D71" s="23">
        <v>20015125</v>
      </c>
      <c r="E71" s="23">
        <f>D71-C71</f>
        <v>3288360</v>
      </c>
      <c r="F71" s="24">
        <f>IF(C71=0,0,E71/C71)</f>
        <v>0.19659270636013598</v>
      </c>
    </row>
    <row r="72" spans="1:6" ht="24" customHeight="1" x14ac:dyDescent="0.2">
      <c r="A72" s="21">
        <v>3</v>
      </c>
      <c r="B72" s="22" t="s">
        <v>66</v>
      </c>
      <c r="C72" s="23">
        <v>20089038</v>
      </c>
      <c r="D72" s="23">
        <v>21792748</v>
      </c>
      <c r="E72" s="23">
        <f>D72-C72</f>
        <v>1703710</v>
      </c>
      <c r="F72" s="24">
        <f>IF(C72=0,0,E72/C72)</f>
        <v>8.4807943516259962E-2</v>
      </c>
    </row>
    <row r="73" spans="1:6" ht="24" customHeight="1" x14ac:dyDescent="0.25">
      <c r="A73" s="21"/>
      <c r="B73" s="26" t="s">
        <v>67</v>
      </c>
      <c r="C73" s="27">
        <f>SUM(C70:C72)</f>
        <v>175197767</v>
      </c>
      <c r="D73" s="27">
        <f>SUM(D70:D72)</f>
        <v>152203312</v>
      </c>
      <c r="E73" s="27">
        <f>D73-C73</f>
        <v>-22994455</v>
      </c>
      <c r="F73" s="28">
        <f>IF(C73=0,0,E73/C73)</f>
        <v>-0.13124856208926453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403480065</v>
      </c>
      <c r="D75" s="27">
        <f>D56+D65+D67+D73</f>
        <v>434042951</v>
      </c>
      <c r="E75" s="27">
        <f>D75-C75</f>
        <v>30562886</v>
      </c>
      <c r="F75" s="28">
        <f>IF(C75=0,0,E75/C75)</f>
        <v>7.5748193408266648E-2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/>
  <headerFooter>
    <oddHeader>&amp;LOFFICE OF HEALTH CARE ACCESS&amp;CTWELVE MONTHS ACTUAL FILING&amp;RHARTFORD HEALTH CARE CORPORATION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491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493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850595830</v>
      </c>
      <c r="D12" s="51">
        <v>870417634</v>
      </c>
      <c r="E12" s="51">
        <f t="shared" ref="E12:E19" si="0">D12-C12</f>
        <v>19821804</v>
      </c>
      <c r="F12" s="70">
        <f t="shared" ref="F12:F19" si="1">IF(C12=0,0,E12/C12)</f>
        <v>2.3303434252669685E-2</v>
      </c>
    </row>
    <row r="13" spans="1:8" ht="23.1" customHeight="1" x14ac:dyDescent="0.2">
      <c r="A13" s="25">
        <v>2</v>
      </c>
      <c r="B13" s="48" t="s">
        <v>72</v>
      </c>
      <c r="C13" s="51">
        <v>453266693</v>
      </c>
      <c r="D13" s="51">
        <v>473120887</v>
      </c>
      <c r="E13" s="51">
        <f t="shared" si="0"/>
        <v>19854194</v>
      </c>
      <c r="F13" s="70">
        <f t="shared" si="1"/>
        <v>4.3802455169588209E-2</v>
      </c>
    </row>
    <row r="14" spans="1:8" ht="23.1" customHeight="1" x14ac:dyDescent="0.2">
      <c r="A14" s="25">
        <v>3</v>
      </c>
      <c r="B14" s="48" t="s">
        <v>73</v>
      </c>
      <c r="C14" s="51">
        <v>17262086</v>
      </c>
      <c r="D14" s="51">
        <v>6791581</v>
      </c>
      <c r="E14" s="51">
        <f t="shared" si="0"/>
        <v>-10470505</v>
      </c>
      <c r="F14" s="70">
        <f t="shared" si="1"/>
        <v>-0.60656081773662818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380067051</v>
      </c>
      <c r="D16" s="27">
        <f>D12-D13-D14-D15</f>
        <v>390505166</v>
      </c>
      <c r="E16" s="27">
        <f t="shared" si="0"/>
        <v>10438115</v>
      </c>
      <c r="F16" s="28">
        <f t="shared" si="1"/>
        <v>2.7463877682993361E-2</v>
      </c>
    </row>
    <row r="17" spans="1:7" ht="23.1" customHeight="1" x14ac:dyDescent="0.2">
      <c r="A17" s="25">
        <v>5</v>
      </c>
      <c r="B17" s="48" t="s">
        <v>76</v>
      </c>
      <c r="C17" s="51">
        <v>11956842</v>
      </c>
      <c r="D17" s="51">
        <v>17079685</v>
      </c>
      <c r="E17" s="51">
        <f t="shared" si="0"/>
        <v>5122843</v>
      </c>
      <c r="F17" s="70">
        <f t="shared" si="1"/>
        <v>0.42844448391975071</v>
      </c>
      <c r="G17" s="64"/>
    </row>
    <row r="18" spans="1:7" ht="33" customHeight="1" x14ac:dyDescent="0.2">
      <c r="A18" s="25">
        <v>6</v>
      </c>
      <c r="B18" s="45" t="s">
        <v>77</v>
      </c>
      <c r="C18" s="51">
        <v>747896</v>
      </c>
      <c r="D18" s="51">
        <v>1559503</v>
      </c>
      <c r="E18" s="51">
        <f t="shared" si="0"/>
        <v>811607</v>
      </c>
      <c r="F18" s="70">
        <f t="shared" si="1"/>
        <v>1.0851869778685808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392771789</v>
      </c>
      <c r="D19" s="27">
        <f>SUM(D16:D18)</f>
        <v>409144354</v>
      </c>
      <c r="E19" s="27">
        <f t="shared" si="0"/>
        <v>16372565</v>
      </c>
      <c r="F19" s="28">
        <f t="shared" si="1"/>
        <v>4.1684676594733745E-2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153162089</v>
      </c>
      <c r="D22" s="51">
        <v>165293135</v>
      </c>
      <c r="E22" s="51">
        <f t="shared" ref="E22:E31" si="2">D22-C22</f>
        <v>12131046</v>
      </c>
      <c r="F22" s="70">
        <f t="shared" ref="F22:F31" si="3">IF(C22=0,0,E22/C22)</f>
        <v>7.9203973249542189E-2</v>
      </c>
    </row>
    <row r="23" spans="1:7" ht="23.1" customHeight="1" x14ac:dyDescent="0.2">
      <c r="A23" s="25">
        <v>2</v>
      </c>
      <c r="B23" s="48" t="s">
        <v>81</v>
      </c>
      <c r="C23" s="51">
        <v>52159661</v>
      </c>
      <c r="D23" s="51">
        <v>42901786</v>
      </c>
      <c r="E23" s="51">
        <f t="shared" si="2"/>
        <v>-9257875</v>
      </c>
      <c r="F23" s="70">
        <f t="shared" si="3"/>
        <v>-0.17749108837191255</v>
      </c>
    </row>
    <row r="24" spans="1:7" ht="23.1" customHeight="1" x14ac:dyDescent="0.2">
      <c r="A24" s="25">
        <v>3</v>
      </c>
      <c r="B24" s="48" t="s">
        <v>82</v>
      </c>
      <c r="C24" s="51">
        <v>11127118</v>
      </c>
      <c r="D24" s="51">
        <v>11822724</v>
      </c>
      <c r="E24" s="51">
        <f t="shared" si="2"/>
        <v>695606</v>
      </c>
      <c r="F24" s="70">
        <f t="shared" si="3"/>
        <v>6.251448038926162E-2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51694261</v>
      </c>
      <c r="D25" s="51">
        <v>49742804</v>
      </c>
      <c r="E25" s="51">
        <f t="shared" si="2"/>
        <v>-1951457</v>
      </c>
      <c r="F25" s="70">
        <f t="shared" si="3"/>
        <v>-3.7749973831717992E-2</v>
      </c>
    </row>
    <row r="26" spans="1:7" ht="23.1" customHeight="1" x14ac:dyDescent="0.2">
      <c r="A26" s="25">
        <v>5</v>
      </c>
      <c r="B26" s="48" t="s">
        <v>84</v>
      </c>
      <c r="C26" s="51">
        <v>18679687</v>
      </c>
      <c r="D26" s="51">
        <v>19353058</v>
      </c>
      <c r="E26" s="51">
        <f t="shared" si="2"/>
        <v>673371</v>
      </c>
      <c r="F26" s="70">
        <f t="shared" si="3"/>
        <v>3.6048302094141088E-2</v>
      </c>
    </row>
    <row r="27" spans="1:7" ht="23.1" customHeight="1" x14ac:dyDescent="0.2">
      <c r="A27" s="25">
        <v>6</v>
      </c>
      <c r="B27" s="48" t="s">
        <v>85</v>
      </c>
      <c r="C27" s="51">
        <v>1140529</v>
      </c>
      <c r="D27" s="51">
        <v>17293190</v>
      </c>
      <c r="E27" s="51">
        <f t="shared" si="2"/>
        <v>16152661</v>
      </c>
      <c r="F27" s="70">
        <f t="shared" si="3"/>
        <v>14.162429013203523</v>
      </c>
    </row>
    <row r="28" spans="1:7" ht="23.1" customHeight="1" x14ac:dyDescent="0.2">
      <c r="A28" s="25">
        <v>7</v>
      </c>
      <c r="B28" s="48" t="s">
        <v>86</v>
      </c>
      <c r="C28" s="51">
        <v>837138</v>
      </c>
      <c r="D28" s="51">
        <v>1957216</v>
      </c>
      <c r="E28" s="51">
        <f t="shared" si="2"/>
        <v>1120078</v>
      </c>
      <c r="F28" s="70">
        <f t="shared" si="3"/>
        <v>1.3379848961581007</v>
      </c>
    </row>
    <row r="29" spans="1:7" ht="23.1" customHeight="1" x14ac:dyDescent="0.2">
      <c r="A29" s="25">
        <v>8</v>
      </c>
      <c r="B29" s="48" t="s">
        <v>87</v>
      </c>
      <c r="C29" s="51">
        <v>6815328</v>
      </c>
      <c r="D29" s="51">
        <v>5136177</v>
      </c>
      <c r="E29" s="51">
        <f t="shared" si="2"/>
        <v>-1679151</v>
      </c>
      <c r="F29" s="70">
        <f t="shared" si="3"/>
        <v>-0.24637860422858593</v>
      </c>
    </row>
    <row r="30" spans="1:7" ht="23.1" customHeight="1" x14ac:dyDescent="0.2">
      <c r="A30" s="25">
        <v>9</v>
      </c>
      <c r="B30" s="48" t="s">
        <v>88</v>
      </c>
      <c r="C30" s="51">
        <v>66417265</v>
      </c>
      <c r="D30" s="51">
        <v>70573564</v>
      </c>
      <c r="E30" s="51">
        <f t="shared" si="2"/>
        <v>4156299</v>
      </c>
      <c r="F30" s="70">
        <f t="shared" si="3"/>
        <v>6.2578593081181522E-2</v>
      </c>
    </row>
    <row r="31" spans="1:7" ht="23.1" customHeight="1" x14ac:dyDescent="0.25">
      <c r="A31" s="29"/>
      <c r="B31" s="71" t="s">
        <v>89</v>
      </c>
      <c r="C31" s="27">
        <f>SUM(C22:C30)</f>
        <v>362033076</v>
      </c>
      <c r="D31" s="27">
        <f>SUM(D22:D30)</f>
        <v>384073654</v>
      </c>
      <c r="E31" s="27">
        <f t="shared" si="2"/>
        <v>22040578</v>
      </c>
      <c r="F31" s="28">
        <f t="shared" si="3"/>
        <v>6.0880011968851157E-2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30738713</v>
      </c>
      <c r="D33" s="27">
        <f>+D19-D31</f>
        <v>25070700</v>
      </c>
      <c r="E33" s="27">
        <f>D33-C33</f>
        <v>-5668013</v>
      </c>
      <c r="F33" s="28">
        <f>IF(C33=0,0,E33/C33)</f>
        <v>-0.18439330885453792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1563435</v>
      </c>
      <c r="D36" s="51">
        <v>2379526</v>
      </c>
      <c r="E36" s="51">
        <f>D36-C36</f>
        <v>816091</v>
      </c>
      <c r="F36" s="70">
        <f>IF(C36=0,0,E36/C36)</f>
        <v>0.52198588364722553</v>
      </c>
    </row>
    <row r="37" spans="1:6" ht="23.1" customHeight="1" x14ac:dyDescent="0.2">
      <c r="A37" s="44">
        <v>2</v>
      </c>
      <c r="B37" s="48" t="s">
        <v>93</v>
      </c>
      <c r="C37" s="51">
        <v>204893</v>
      </c>
      <c r="D37" s="51">
        <v>123070</v>
      </c>
      <c r="E37" s="51">
        <f>D37-C37</f>
        <v>-81823</v>
      </c>
      <c r="F37" s="70">
        <f>IF(C37=0,0,E37/C37)</f>
        <v>-0.39934502398813038</v>
      </c>
    </row>
    <row r="38" spans="1:6" ht="23.1" customHeight="1" x14ac:dyDescent="0.2">
      <c r="A38" s="44">
        <v>3</v>
      </c>
      <c r="B38" s="48" t="s">
        <v>94</v>
      </c>
      <c r="C38" s="51">
        <v>-1742303</v>
      </c>
      <c r="D38" s="51">
        <v>7462766</v>
      </c>
      <c r="E38" s="51">
        <f>D38-C38</f>
        <v>9205069</v>
      </c>
      <c r="F38" s="70">
        <f>IF(C38=0,0,E38/C38)</f>
        <v>-5.283276789398859</v>
      </c>
    </row>
    <row r="39" spans="1:6" ht="23.1" customHeight="1" x14ac:dyDescent="0.25">
      <c r="A39" s="20"/>
      <c r="B39" s="71" t="s">
        <v>95</v>
      </c>
      <c r="C39" s="27">
        <f>SUM(C36:C38)</f>
        <v>26025</v>
      </c>
      <c r="D39" s="27">
        <f>SUM(D36:D38)</f>
        <v>9965362</v>
      </c>
      <c r="E39" s="27">
        <f>D39-C39</f>
        <v>9939337</v>
      </c>
      <c r="F39" s="28">
        <f>IF(C39=0,0,E39/C39)</f>
        <v>381.91496637848223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30764738</v>
      </c>
      <c r="D41" s="27">
        <f>D33+D39</f>
        <v>35036062</v>
      </c>
      <c r="E41" s="27">
        <f>D41-C41</f>
        <v>4271324</v>
      </c>
      <c r="F41" s="28">
        <f>IF(C41=0,0,E41/C41)</f>
        <v>0.13883830247473586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30764738</v>
      </c>
      <c r="D48" s="27">
        <f>D41+D46</f>
        <v>35036062</v>
      </c>
      <c r="E48" s="27">
        <f>D48-C48</f>
        <v>4271324</v>
      </c>
      <c r="F48" s="28">
        <f>IF(C48=0,0,E48/C48)</f>
        <v>0.13883830247473586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/>
  <headerFooter>
    <oddHeader>&amp;L&amp;8OFFICE OF HEALTH CARE ACCESS&amp;C&amp;8TWELVE MONTHS ACTUAL FILING&amp;R&amp;8HARTFORD HEALTH CARE CORPORATION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2013-09-11T12:05:17Z</cp:lastPrinted>
  <dcterms:created xsi:type="dcterms:W3CDTF">2006-08-03T13:49:12Z</dcterms:created>
  <dcterms:modified xsi:type="dcterms:W3CDTF">2013-09-12T14:57:25Z</dcterms:modified>
</cp:coreProperties>
</file>