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C98" i="22" s="1"/>
  <c r="E96" i="22"/>
  <c r="E98" i="22"/>
  <c r="D96" i="22"/>
  <c r="D98" i="22"/>
  <c r="C96" i="22"/>
  <c r="E92" i="22"/>
  <c r="D92" i="22"/>
  <c r="C92" i="22"/>
  <c r="E91" i="22"/>
  <c r="E93" i="22" s="1"/>
  <c r="D91" i="22"/>
  <c r="D93" i="22" s="1"/>
  <c r="C91" i="22"/>
  <c r="C93" i="22" s="1"/>
  <c r="E87" i="22"/>
  <c r="E88" i="22" s="1"/>
  <c r="D87" i="22"/>
  <c r="C87" i="22"/>
  <c r="E86" i="22"/>
  <c r="D86" i="22"/>
  <c r="D88" i="22"/>
  <c r="C86" i="22"/>
  <c r="C88" i="22"/>
  <c r="E83" i="22"/>
  <c r="E101" i="22"/>
  <c r="D83" i="22"/>
  <c r="D102" i="22" s="1"/>
  <c r="D101" i="22"/>
  <c r="D103" i="22" s="1"/>
  <c r="C83" i="22"/>
  <c r="C101" i="22" s="1"/>
  <c r="E76" i="22"/>
  <c r="E77" i="22" s="1"/>
  <c r="D76" i="22"/>
  <c r="C76" i="22"/>
  <c r="E75" i="22"/>
  <c r="D75" i="22"/>
  <c r="D77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 s="1"/>
  <c r="D21" i="21"/>
  <c r="C21" i="21"/>
  <c r="D19" i="21"/>
  <c r="E19" i="21"/>
  <c r="C19" i="21"/>
  <c r="E17" i="21"/>
  <c r="F17" i="21" s="1"/>
  <c r="E15" i="21"/>
  <c r="F15" i="21" s="1"/>
  <c r="D45" i="20"/>
  <c r="E45" i="20" s="1"/>
  <c r="C45" i="20"/>
  <c r="D44" i="20"/>
  <c r="E44" i="20"/>
  <c r="C44" i="20"/>
  <c r="D43" i="20"/>
  <c r="C43" i="20"/>
  <c r="D36" i="20"/>
  <c r="D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E27" i="20"/>
  <c r="F27" i="20" s="1"/>
  <c r="D25" i="20"/>
  <c r="D39" i="20" s="1"/>
  <c r="C25" i="20"/>
  <c r="C39" i="20" s="1"/>
  <c r="F24" i="20"/>
  <c r="E24" i="20"/>
  <c r="E23" i="20"/>
  <c r="E25" i="20" s="1"/>
  <c r="F22" i="20"/>
  <c r="E22" i="20"/>
  <c r="D19" i="20"/>
  <c r="D20" i="20" s="1"/>
  <c r="C19" i="20"/>
  <c r="C20" i="20" s="1"/>
  <c r="E20" i="20" s="1"/>
  <c r="E18" i="20"/>
  <c r="F18" i="20" s="1"/>
  <c r="D16" i="20"/>
  <c r="C16" i="20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65" i="19" s="1"/>
  <c r="C114" i="19" s="1"/>
  <c r="C116" i="19" s="1"/>
  <c r="C119" i="19" s="1"/>
  <c r="C123" i="19" s="1"/>
  <c r="C60" i="19"/>
  <c r="C59" i="19"/>
  <c r="C64" i="19" s="1"/>
  <c r="C49" i="19"/>
  <c r="C48" i="19"/>
  <c r="C36" i="19"/>
  <c r="C32" i="19"/>
  <c r="C33" i="19"/>
  <c r="C21" i="19"/>
  <c r="E328" i="18"/>
  <c r="E325" i="18"/>
  <c r="D324" i="18"/>
  <c r="D326" i="18"/>
  <c r="C324" i="18"/>
  <c r="C326" i="18"/>
  <c r="C330" i="18"/>
  <c r="E330" i="18" s="1"/>
  <c r="E318" i="18"/>
  <c r="E315" i="18"/>
  <c r="D314" i="18"/>
  <c r="D316" i="18" s="1"/>
  <c r="C314" i="18"/>
  <c r="C316" i="18" s="1"/>
  <c r="C320" i="18"/>
  <c r="E308" i="18"/>
  <c r="E305" i="18"/>
  <c r="D301" i="18"/>
  <c r="E301" i="18"/>
  <c r="C301" i="18"/>
  <c r="D293" i="18"/>
  <c r="E293" i="18" s="1"/>
  <c r="C293" i="18"/>
  <c r="D292" i="18"/>
  <c r="E292" i="18" s="1"/>
  <c r="C292" i="18"/>
  <c r="D291" i="18"/>
  <c r="C291" i="18"/>
  <c r="D290" i="18"/>
  <c r="E290" i="18"/>
  <c r="C290" i="18"/>
  <c r="D288" i="18"/>
  <c r="E288" i="18" s="1"/>
  <c r="C288" i="18"/>
  <c r="D287" i="18"/>
  <c r="E287" i="18"/>
  <c r="C287" i="18"/>
  <c r="D282" i="18"/>
  <c r="E282" i="18"/>
  <c r="C282" i="18"/>
  <c r="D281" i="18"/>
  <c r="E281" i="18"/>
  <c r="C281" i="18"/>
  <c r="D280" i="18"/>
  <c r="C280" i="18"/>
  <c r="D279" i="18"/>
  <c r="E279" i="18"/>
  <c r="C279" i="18"/>
  <c r="D278" i="18"/>
  <c r="E278" i="18" s="1"/>
  <c r="C278" i="18"/>
  <c r="D277" i="18"/>
  <c r="C277" i="18"/>
  <c r="E277" i="18" s="1"/>
  <c r="D276" i="18"/>
  <c r="E276" i="18" s="1"/>
  <c r="C276" i="18"/>
  <c r="E270" i="18"/>
  <c r="D265" i="18"/>
  <c r="D302" i="18" s="1"/>
  <c r="D303" i="18" s="1"/>
  <c r="C265" i="18"/>
  <c r="C302" i="18"/>
  <c r="D262" i="18"/>
  <c r="E262" i="18" s="1"/>
  <c r="C262" i="18"/>
  <c r="D251" i="18"/>
  <c r="C251" i="18"/>
  <c r="D233" i="18"/>
  <c r="E233" i="18"/>
  <c r="C233" i="18"/>
  <c r="D232" i="18"/>
  <c r="E232" i="18" s="1"/>
  <c r="C232" i="18"/>
  <c r="D231" i="18"/>
  <c r="C231" i="18"/>
  <c r="D230" i="18"/>
  <c r="C230" i="18"/>
  <c r="E230" i="18" s="1"/>
  <c r="D228" i="18"/>
  <c r="E228" i="18" s="1"/>
  <c r="C228" i="18"/>
  <c r="D227" i="18"/>
  <c r="E227" i="18"/>
  <c r="C227" i="18"/>
  <c r="D221" i="18"/>
  <c r="D245" i="18" s="1"/>
  <c r="C221" i="18"/>
  <c r="D220" i="18"/>
  <c r="C220" i="18"/>
  <c r="C244" i="18" s="1"/>
  <c r="D219" i="18"/>
  <c r="D243" i="18"/>
  <c r="C219" i="18"/>
  <c r="C243" i="18" s="1"/>
  <c r="D218" i="18"/>
  <c r="E218" i="18" s="1"/>
  <c r="C218" i="18"/>
  <c r="C242" i="18" s="1"/>
  <c r="D217" i="18"/>
  <c r="D216" i="18"/>
  <c r="E216" i="18" s="1"/>
  <c r="C216" i="18"/>
  <c r="C240" i="18" s="1"/>
  <c r="D215" i="18"/>
  <c r="D239" i="18" s="1"/>
  <c r="C215" i="18"/>
  <c r="C239" i="18"/>
  <c r="E209" i="18"/>
  <c r="E208" i="18"/>
  <c r="E207" i="18"/>
  <c r="E206" i="18"/>
  <c r="D205" i="18"/>
  <c r="C205" i="18"/>
  <c r="C229" i="18" s="1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261" i="18"/>
  <c r="E261" i="18"/>
  <c r="C188" i="18"/>
  <c r="C261" i="18" s="1"/>
  <c r="E186" i="18"/>
  <c r="E185" i="18"/>
  <c r="D179" i="18"/>
  <c r="E179" i="18" s="1"/>
  <c r="C179" i="18"/>
  <c r="D178" i="18"/>
  <c r="E178" i="18" s="1"/>
  <c r="C178" i="18"/>
  <c r="D177" i="18"/>
  <c r="E177" i="18" s="1"/>
  <c r="C177" i="18"/>
  <c r="D176" i="18"/>
  <c r="C176" i="18"/>
  <c r="E176" i="18"/>
  <c r="D174" i="18"/>
  <c r="E174" i="18" s="1"/>
  <c r="C174" i="18"/>
  <c r="D173" i="18"/>
  <c r="E173" i="18"/>
  <c r="C173" i="18"/>
  <c r="D167" i="18"/>
  <c r="C167" i="18"/>
  <c r="E167" i="18"/>
  <c r="D166" i="18"/>
  <c r="E166" i="18"/>
  <c r="C166" i="18"/>
  <c r="D165" i="18"/>
  <c r="E165" i="18" s="1"/>
  <c r="C165" i="18"/>
  <c r="D164" i="18"/>
  <c r="E164" i="18"/>
  <c r="C164" i="18"/>
  <c r="D162" i="18"/>
  <c r="C162" i="18"/>
  <c r="D161" i="18"/>
  <c r="C161" i="18"/>
  <c r="E161" i="18"/>
  <c r="E155" i="18"/>
  <c r="E154" i="18"/>
  <c r="E153" i="18"/>
  <c r="E152" i="18"/>
  <c r="D151" i="18"/>
  <c r="C151" i="18"/>
  <c r="C156" i="18" s="1"/>
  <c r="C157" i="18" s="1"/>
  <c r="E150" i="18"/>
  <c r="E149" i="18"/>
  <c r="D144" i="18"/>
  <c r="E143" i="18"/>
  <c r="E142" i="18"/>
  <c r="E141" i="18"/>
  <c r="E140" i="18"/>
  <c r="D139" i="18"/>
  <c r="C139" i="18"/>
  <c r="E138" i="18"/>
  <c r="E137" i="18"/>
  <c r="D75" i="18"/>
  <c r="E75" i="18" s="1"/>
  <c r="C75" i="18"/>
  <c r="D74" i="18"/>
  <c r="C74" i="18"/>
  <c r="E74" i="18"/>
  <c r="D73" i="18"/>
  <c r="E73" i="18"/>
  <c r="C73" i="18"/>
  <c r="D72" i="18"/>
  <c r="E72" i="18" s="1"/>
  <c r="C72" i="18"/>
  <c r="D70" i="18"/>
  <c r="C70" i="18"/>
  <c r="C76" i="18" s="1"/>
  <c r="C259" i="18" s="1"/>
  <c r="D69" i="18"/>
  <c r="C69" i="18"/>
  <c r="E64" i="18"/>
  <c r="E63" i="18"/>
  <c r="E62" i="18"/>
  <c r="E61" i="18"/>
  <c r="D60" i="18"/>
  <c r="D289" i="18"/>
  <c r="E289" i="18" s="1"/>
  <c r="C60" i="18"/>
  <c r="E59" i="18"/>
  <c r="E58" i="18"/>
  <c r="D55" i="18"/>
  <c r="D54" i="18"/>
  <c r="C54" i="18"/>
  <c r="C55" i="18"/>
  <c r="E55" i="18" s="1"/>
  <c r="E53" i="18"/>
  <c r="E52" i="18"/>
  <c r="E51" i="18"/>
  <c r="E50" i="18"/>
  <c r="E49" i="18"/>
  <c r="E48" i="18"/>
  <c r="E47" i="18"/>
  <c r="D42" i="18"/>
  <c r="E42" i="18" s="1"/>
  <c r="C42" i="18"/>
  <c r="D41" i="18"/>
  <c r="E41" i="18" s="1"/>
  <c r="C41" i="18"/>
  <c r="D40" i="18"/>
  <c r="C40" i="18"/>
  <c r="E40" i="18"/>
  <c r="D39" i="18"/>
  <c r="E39" i="18" s="1"/>
  <c r="C39" i="18"/>
  <c r="D38" i="18"/>
  <c r="C38" i="18"/>
  <c r="C43" i="18" s="1"/>
  <c r="D37" i="18"/>
  <c r="D43" i="18"/>
  <c r="C37" i="18"/>
  <c r="D36" i="18"/>
  <c r="C36" i="18"/>
  <c r="D32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C21" i="18"/>
  <c r="C283" i="18" s="1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F329" i="17"/>
  <c r="E329" i="17"/>
  <c r="F316" i="17"/>
  <c r="E316" i="17"/>
  <c r="D311" i="17"/>
  <c r="E311" i="17" s="1"/>
  <c r="C311" i="17"/>
  <c r="F311" i="17" s="1"/>
  <c r="F308" i="17"/>
  <c r="E308" i="17"/>
  <c r="D307" i="17"/>
  <c r="C307" i="17"/>
  <c r="D299" i="17"/>
  <c r="C299" i="17"/>
  <c r="D298" i="17"/>
  <c r="C298" i="17"/>
  <c r="D297" i="17"/>
  <c r="C297" i="17"/>
  <c r="E297" i="17" s="1"/>
  <c r="D296" i="17"/>
  <c r="C296" i="17"/>
  <c r="E296" i="17" s="1"/>
  <c r="D295" i="17"/>
  <c r="C295" i="17"/>
  <c r="D294" i="17"/>
  <c r="C294" i="17"/>
  <c r="D250" i="17"/>
  <c r="D306" i="17"/>
  <c r="C250" i="17"/>
  <c r="C306" i="17"/>
  <c r="F249" i="17"/>
  <c r="E249" i="17"/>
  <c r="E248" i="17"/>
  <c r="F248" i="17" s="1"/>
  <c r="F245" i="17"/>
  <c r="E245" i="17"/>
  <c r="F244" i="17"/>
  <c r="E244" i="17"/>
  <c r="F243" i="17"/>
  <c r="E243" i="17"/>
  <c r="D238" i="17"/>
  <c r="E238" i="17"/>
  <c r="F238" i="17"/>
  <c r="C238" i="17"/>
  <c r="D237" i="17"/>
  <c r="D239" i="17" s="1"/>
  <c r="C237" i="17"/>
  <c r="C239" i="17" s="1"/>
  <c r="E234" i="17"/>
  <c r="F234" i="17" s="1"/>
  <c r="F233" i="17"/>
  <c r="E233" i="17"/>
  <c r="D230" i="17"/>
  <c r="E230" i="17" s="1"/>
  <c r="F230" i="17"/>
  <c r="C230" i="17"/>
  <c r="D229" i="17"/>
  <c r="E229" i="17"/>
  <c r="F229" i="17"/>
  <c r="C229" i="17"/>
  <c r="E228" i="17"/>
  <c r="F228" i="17" s="1"/>
  <c r="D226" i="17"/>
  <c r="D227" i="17" s="1"/>
  <c r="C226" i="17"/>
  <c r="C227" i="17"/>
  <c r="E225" i="17"/>
  <c r="F225" i="17" s="1"/>
  <c r="E224" i="17"/>
  <c r="F224" i="17" s="1"/>
  <c r="D223" i="17"/>
  <c r="E223" i="17" s="1"/>
  <c r="C223" i="17"/>
  <c r="E222" i="17"/>
  <c r="F222" i="17" s="1"/>
  <c r="E221" i="17"/>
  <c r="F221" i="17"/>
  <c r="D204" i="17"/>
  <c r="C204" i="17"/>
  <c r="C285" i="17" s="1"/>
  <c r="D203" i="17"/>
  <c r="C203" i="17"/>
  <c r="C283" i="17" s="1"/>
  <c r="D198" i="17"/>
  <c r="C198" i="17"/>
  <c r="D191" i="17"/>
  <c r="C191" i="17"/>
  <c r="C280" i="17"/>
  <c r="D189" i="17"/>
  <c r="C189" i="17"/>
  <c r="C278" i="17"/>
  <c r="D188" i="17"/>
  <c r="D190" i="17" s="1"/>
  <c r="E190" i="17" s="1"/>
  <c r="F190" i="17" s="1"/>
  <c r="C188" i="17"/>
  <c r="C277" i="17" s="1"/>
  <c r="D180" i="17"/>
  <c r="E180" i="17"/>
  <c r="F180" i="17"/>
  <c r="C180" i="17"/>
  <c r="D179" i="17"/>
  <c r="E179" i="17" s="1"/>
  <c r="F179" i="17"/>
  <c r="C179" i="17"/>
  <c r="C181" i="17" s="1"/>
  <c r="D171" i="17"/>
  <c r="C171" i="17"/>
  <c r="D170" i="17"/>
  <c r="C170" i="17"/>
  <c r="E169" i="17"/>
  <c r="F169" i="17" s="1"/>
  <c r="F168" i="17"/>
  <c r="E168" i="17"/>
  <c r="D165" i="17"/>
  <c r="E165" i="17" s="1"/>
  <c r="C165" i="17"/>
  <c r="D164" i="17"/>
  <c r="E164" i="17" s="1"/>
  <c r="C164" i="17"/>
  <c r="E163" i="17"/>
  <c r="F163" i="17" s="1"/>
  <c r="D158" i="17"/>
  <c r="E158" i="17"/>
  <c r="C158" i="17"/>
  <c r="E157" i="17"/>
  <c r="F157" i="17" s="1"/>
  <c r="E156" i="17"/>
  <c r="F156" i="17"/>
  <c r="D155" i="17"/>
  <c r="C155" i="17"/>
  <c r="F154" i="17"/>
  <c r="E154" i="17"/>
  <c r="E153" i="17"/>
  <c r="F153" i="17" s="1"/>
  <c r="D145" i="17"/>
  <c r="C145" i="17"/>
  <c r="F144" i="17"/>
  <c r="D144" i="17"/>
  <c r="E144" i="17" s="1"/>
  <c r="C144" i="17"/>
  <c r="C146" i="17"/>
  <c r="D136" i="17"/>
  <c r="C136" i="17"/>
  <c r="C137" i="17" s="1"/>
  <c r="D135" i="17"/>
  <c r="E135" i="17"/>
  <c r="F135" i="17"/>
  <c r="C135" i="17"/>
  <c r="E134" i="17"/>
  <c r="F134" i="17" s="1"/>
  <c r="E133" i="17"/>
  <c r="F133" i="17" s="1"/>
  <c r="D130" i="17"/>
  <c r="E130" i="17"/>
  <c r="F130" i="17"/>
  <c r="C130" i="17"/>
  <c r="D129" i="17"/>
  <c r="E129" i="17"/>
  <c r="F129" i="17" s="1"/>
  <c r="C129" i="17"/>
  <c r="E128" i="17"/>
  <c r="F128" i="17"/>
  <c r="D123" i="17"/>
  <c r="E123" i="17" s="1"/>
  <c r="F123" i="17" s="1"/>
  <c r="C123" i="17"/>
  <c r="E122" i="17"/>
  <c r="F122" i="17"/>
  <c r="E121" i="17"/>
  <c r="F121" i="17" s="1"/>
  <c r="D120" i="17"/>
  <c r="E120" i="17" s="1"/>
  <c r="F120" i="17" s="1"/>
  <c r="C120" i="17"/>
  <c r="E119" i="17"/>
  <c r="F119" i="17"/>
  <c r="E118" i="17"/>
  <c r="F118" i="17" s="1"/>
  <c r="D110" i="17"/>
  <c r="E110" i="17"/>
  <c r="F110" i="17" s="1"/>
  <c r="C110" i="17"/>
  <c r="D109" i="17"/>
  <c r="E109" i="17"/>
  <c r="F109" i="17"/>
  <c r="C109" i="17"/>
  <c r="C111" i="17"/>
  <c r="D101" i="17"/>
  <c r="C101" i="17"/>
  <c r="C102" i="17" s="1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C88" i="17"/>
  <c r="C89" i="17" s="1"/>
  <c r="E87" i="17"/>
  <c r="F87" i="17"/>
  <c r="E86" i="17"/>
  <c r="F86" i="17"/>
  <c r="D85" i="17"/>
  <c r="C85" i="17"/>
  <c r="E84" i="17"/>
  <c r="F84" i="17" s="1"/>
  <c r="E83" i="17"/>
  <c r="F83" i="17"/>
  <c r="D76" i="17"/>
  <c r="D77" i="17"/>
  <c r="C76" i="17"/>
  <c r="C77" i="17"/>
  <c r="F74" i="17"/>
  <c r="E74" i="17"/>
  <c r="E73" i="17"/>
  <c r="F73" i="17" s="1"/>
  <c r="D67" i="17"/>
  <c r="E67" i="17"/>
  <c r="F67" i="17"/>
  <c r="C67" i="17"/>
  <c r="D66" i="17"/>
  <c r="D68" i="17" s="1"/>
  <c r="C66" i="17"/>
  <c r="C68" i="17"/>
  <c r="E68" i="17" s="1"/>
  <c r="F68" i="17" s="1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 s="1"/>
  <c r="D47" i="17"/>
  <c r="C47" i="17"/>
  <c r="C48" i="17" s="1"/>
  <c r="E46" i="17"/>
  <c r="F46" i="17" s="1"/>
  <c r="E45" i="17"/>
  <c r="F45" i="17"/>
  <c r="D44" i="17"/>
  <c r="E44" i="17" s="1"/>
  <c r="F44" i="17"/>
  <c r="C44" i="17"/>
  <c r="E43" i="17"/>
  <c r="F43" i="17" s="1"/>
  <c r="E42" i="17"/>
  <c r="F42" i="17"/>
  <c r="D36" i="17"/>
  <c r="C36" i="17"/>
  <c r="D35" i="17"/>
  <c r="E35" i="17" s="1"/>
  <c r="C35" i="17"/>
  <c r="D30" i="17"/>
  <c r="C30" i="17"/>
  <c r="D29" i="17"/>
  <c r="E29" i="17"/>
  <c r="C29" i="17"/>
  <c r="E28" i="17"/>
  <c r="F28" i="17"/>
  <c r="E27" i="17"/>
  <c r="F27" i="17" s="1"/>
  <c r="D24" i="17"/>
  <c r="E24" i="17"/>
  <c r="F24" i="17"/>
  <c r="C24" i="17"/>
  <c r="D23" i="17"/>
  <c r="E23" i="17" s="1"/>
  <c r="F23" i="17" s="1"/>
  <c r="C23" i="17"/>
  <c r="E22" i="17"/>
  <c r="F22" i="17"/>
  <c r="D20" i="17"/>
  <c r="C20" i="17"/>
  <c r="E19" i="17"/>
  <c r="F19" i="17" s="1"/>
  <c r="E18" i="17"/>
  <c r="F18" i="17" s="1"/>
  <c r="D17" i="17"/>
  <c r="E17" i="17"/>
  <c r="F17" i="17"/>
  <c r="C17" i="17"/>
  <c r="E16" i="17"/>
  <c r="F16" i="17"/>
  <c r="E15" i="17"/>
  <c r="F15" i="17" s="1"/>
  <c r="D22" i="16"/>
  <c r="C22" i="16"/>
  <c r="E22" i="16" s="1"/>
  <c r="E21" i="16"/>
  <c r="F21" i="16" s="1"/>
  <c r="E20" i="16"/>
  <c r="F20" i="16" s="1"/>
  <c r="D17" i="16"/>
  <c r="E17" i="16" s="1"/>
  <c r="C17" i="16"/>
  <c r="E16" i="16"/>
  <c r="F16" i="16" s="1"/>
  <c r="D13" i="16"/>
  <c r="E13" i="16" s="1"/>
  <c r="F13" i="16" s="1"/>
  <c r="C13" i="16"/>
  <c r="E12" i="16"/>
  <c r="F12" i="16" s="1"/>
  <c r="D107" i="15"/>
  <c r="C107" i="15"/>
  <c r="F106" i="15"/>
  <c r="E106" i="15"/>
  <c r="E105" i="15"/>
  <c r="F105" i="15" s="1"/>
  <c r="F104" i="15"/>
  <c r="E104" i="15"/>
  <c r="D100" i="15"/>
  <c r="E100" i="15" s="1"/>
  <c r="F100" i="15"/>
  <c r="C100" i="15"/>
  <c r="E99" i="15"/>
  <c r="F99" i="15" s="1"/>
  <c r="F98" i="15"/>
  <c r="E98" i="15"/>
  <c r="E97" i="15"/>
  <c r="F97" i="15" s="1"/>
  <c r="F96" i="15"/>
  <c r="E96" i="15"/>
  <c r="E95" i="15"/>
  <c r="F95" i="15" s="1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E82" i="15"/>
  <c r="F82" i="15" s="1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D70" i="15"/>
  <c r="E70" i="15"/>
  <c r="F70" i="15"/>
  <c r="C70" i="15"/>
  <c r="E69" i="15"/>
  <c r="F69" i="15" s="1"/>
  <c r="F68" i="15"/>
  <c r="E68" i="15"/>
  <c r="D65" i="15"/>
  <c r="E65" i="15"/>
  <c r="F65" i="15"/>
  <c r="C65" i="15"/>
  <c r="E64" i="15"/>
  <c r="F64" i="15" s="1"/>
  <c r="F63" i="15"/>
  <c r="E63" i="15"/>
  <c r="D60" i="15"/>
  <c r="C60" i="15"/>
  <c r="F59" i="15"/>
  <c r="E59" i="15"/>
  <c r="E58" i="15"/>
  <c r="F58" i="15" s="1"/>
  <c r="D55" i="15"/>
  <c r="E55" i="15"/>
  <c r="C55" i="15"/>
  <c r="F55" i="15" s="1"/>
  <c r="F54" i="15"/>
  <c r="E54" i="15"/>
  <c r="F53" i="15"/>
  <c r="E53" i="15"/>
  <c r="D50" i="15"/>
  <c r="E50" i="15"/>
  <c r="C50" i="15"/>
  <c r="F50" i="15" s="1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C37" i="15"/>
  <c r="F37" i="15" s="1"/>
  <c r="F36" i="15"/>
  <c r="E36" i="15"/>
  <c r="F35" i="15"/>
  <c r="E35" i="15"/>
  <c r="F34" i="15"/>
  <c r="E34" i="15"/>
  <c r="F33" i="15"/>
  <c r="E33" i="15"/>
  <c r="D30" i="15"/>
  <c r="E30" i="15"/>
  <c r="F30" i="15" s="1"/>
  <c r="C30" i="15"/>
  <c r="E29" i="15"/>
  <c r="F29" i="15" s="1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E20" i="15"/>
  <c r="F20" i="15" s="1"/>
  <c r="F19" i="15"/>
  <c r="E19" i="15"/>
  <c r="D16" i="15"/>
  <c r="E16" i="15"/>
  <c r="F16" i="15" s="1"/>
  <c r="C16" i="15"/>
  <c r="E15" i="15"/>
  <c r="F15" i="15" s="1"/>
  <c r="F14" i="15"/>
  <c r="E14" i="15"/>
  <c r="F13" i="15"/>
  <c r="E13" i="15"/>
  <c r="F12" i="15"/>
  <c r="E12" i="15"/>
  <c r="I37" i="14"/>
  <c r="H37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1" i="14" s="1"/>
  <c r="H31" i="14" s="1"/>
  <c r="E17" i="14"/>
  <c r="E33" i="14"/>
  <c r="E36" i="14"/>
  <c r="E38" i="14"/>
  <c r="E40" i="14" s="1"/>
  <c r="D17" i="14"/>
  <c r="D31" i="14" s="1"/>
  <c r="C17" i="14"/>
  <c r="C33" i="14" s="1"/>
  <c r="C36" i="14" s="1"/>
  <c r="C38" i="14" s="1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 s="1"/>
  <c r="C78" i="13"/>
  <c r="C80" i="13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8" i="13"/>
  <c r="D58" i="13"/>
  <c r="C58" i="13"/>
  <c r="E55" i="13"/>
  <c r="E50" i="13" s="1"/>
  <c r="D55" i="13"/>
  <c r="C55" i="13"/>
  <c r="C50" i="13" s="1"/>
  <c r="E54" i="13"/>
  <c r="D54" i="13"/>
  <c r="C54" i="13"/>
  <c r="D50" i="13"/>
  <c r="E48" i="13"/>
  <c r="E42" i="13"/>
  <c r="E46" i="13"/>
  <c r="E59" i="13"/>
  <c r="E61" i="13" s="1"/>
  <c r="E57" i="13" s="1"/>
  <c r="D46" i="13"/>
  <c r="D59" i="13" s="1"/>
  <c r="D61" i="13" s="1"/>
  <c r="D57" i="13" s="1"/>
  <c r="C46" i="13"/>
  <c r="C48" i="13" s="1"/>
  <c r="C42" i="13" s="1"/>
  <c r="C59" i="13"/>
  <c r="C61" i="13" s="1"/>
  <c r="C57" i="13"/>
  <c r="E45" i="13"/>
  <c r="D45" i="13"/>
  <c r="D42" i="13" s="1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 s="1"/>
  <c r="E21" i="13" s="1"/>
  <c r="E15" i="13"/>
  <c r="E24" i="13" s="1"/>
  <c r="E13" i="13"/>
  <c r="D13" i="13"/>
  <c r="D25" i="13"/>
  <c r="D27" i="13" s="1"/>
  <c r="C13" i="13"/>
  <c r="D47" i="12"/>
  <c r="C47" i="12"/>
  <c r="F46" i="12"/>
  <c r="E46" i="12"/>
  <c r="F45" i="12"/>
  <c r="E45" i="12"/>
  <c r="D40" i="12"/>
  <c r="C40" i="12"/>
  <c r="E39" i="12"/>
  <c r="F39" i="12" s="1"/>
  <c r="F38" i="12"/>
  <c r="E38" i="12"/>
  <c r="E37" i="12"/>
  <c r="F37" i="12" s="1"/>
  <c r="D32" i="12"/>
  <c r="E32" i="12"/>
  <c r="C32" i="12"/>
  <c r="F31" i="12"/>
  <c r="E31" i="12"/>
  <c r="E30" i="12"/>
  <c r="F30" i="12" s="1"/>
  <c r="E29" i="12"/>
  <c r="F29" i="12" s="1"/>
  <c r="E28" i="12"/>
  <c r="F28" i="12" s="1"/>
  <c r="E27" i="12"/>
  <c r="F27" i="12" s="1"/>
  <c r="E26" i="12"/>
  <c r="F26" i="12" s="1"/>
  <c r="E25" i="12"/>
  <c r="F25" i="12" s="1"/>
  <c r="E24" i="12"/>
  <c r="F24" i="12" s="1"/>
  <c r="E23" i="12"/>
  <c r="F23" i="12" s="1"/>
  <c r="F19" i="12"/>
  <c r="E19" i="12"/>
  <c r="E18" i="12"/>
  <c r="F18" i="12" s="1"/>
  <c r="F16" i="12"/>
  <c r="E16" i="12"/>
  <c r="D15" i="12"/>
  <c r="D17" i="12"/>
  <c r="D20" i="12" s="1"/>
  <c r="C15" i="12"/>
  <c r="C17" i="12" s="1"/>
  <c r="F14" i="12"/>
  <c r="E14" i="12"/>
  <c r="E13" i="12"/>
  <c r="F13" i="12" s="1"/>
  <c r="E12" i="12"/>
  <c r="F12" i="12" s="1"/>
  <c r="F11" i="12"/>
  <c r="E11" i="12"/>
  <c r="D73" i="11"/>
  <c r="E73" i="11"/>
  <c r="F73" i="11" s="1"/>
  <c r="C73" i="11"/>
  <c r="E72" i="11"/>
  <c r="F72" i="11" s="1"/>
  <c r="F71" i="11"/>
  <c r="E71" i="11"/>
  <c r="E70" i="11"/>
  <c r="F70" i="11" s="1"/>
  <c r="F67" i="11"/>
  <c r="E67" i="11"/>
  <c r="F64" i="11"/>
  <c r="E64" i="11"/>
  <c r="E63" i="11"/>
  <c r="F63" i="11" s="1"/>
  <c r="D61" i="11"/>
  <c r="D65" i="11"/>
  <c r="C61" i="11"/>
  <c r="C65" i="11"/>
  <c r="E60" i="11"/>
  <c r="F60" i="11" s="1"/>
  <c r="F59" i="11"/>
  <c r="E59" i="11"/>
  <c r="D56" i="11"/>
  <c r="C56" i="11"/>
  <c r="E55" i="11"/>
  <c r="F55" i="11" s="1"/>
  <c r="E54" i="11"/>
  <c r="F54" i="11" s="1"/>
  <c r="E53" i="11"/>
  <c r="F53" i="11" s="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D41" i="11"/>
  <c r="C38" i="11"/>
  <c r="C41" i="11"/>
  <c r="E37" i="11"/>
  <c r="F37" i="11" s="1"/>
  <c r="E36" i="11"/>
  <c r="F36" i="11" s="1"/>
  <c r="E33" i="11"/>
  <c r="F33" i="11" s="1"/>
  <c r="F32" i="11"/>
  <c r="E32" i="11"/>
  <c r="F31" i="11"/>
  <c r="E31" i="11"/>
  <c r="D29" i="11"/>
  <c r="C29" i="11"/>
  <c r="E28" i="11"/>
  <c r="F28" i="11" s="1"/>
  <c r="F27" i="11"/>
  <c r="E27" i="11"/>
  <c r="F26" i="11"/>
  <c r="E26" i="11"/>
  <c r="E25" i="11"/>
  <c r="F25" i="11" s="1"/>
  <c r="D22" i="11"/>
  <c r="C22" i="11"/>
  <c r="C43" i="11" s="1"/>
  <c r="E21" i="11"/>
  <c r="F21" i="11" s="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E13" i="11"/>
  <c r="F13" i="11" s="1"/>
  <c r="D120" i="10"/>
  <c r="E120" i="10"/>
  <c r="C120" i="10"/>
  <c r="D119" i="10"/>
  <c r="E119" i="10" s="1"/>
  <c r="C119" i="10"/>
  <c r="D118" i="10"/>
  <c r="E118" i="10"/>
  <c r="C118" i="10"/>
  <c r="D117" i="10"/>
  <c r="E117" i="10"/>
  <c r="F117" i="10" s="1"/>
  <c r="C117" i="10"/>
  <c r="D116" i="10"/>
  <c r="E116" i="10" s="1"/>
  <c r="C116" i="10"/>
  <c r="D115" i="10"/>
  <c r="C115" i="10"/>
  <c r="D114" i="10"/>
  <c r="D121" i="10" s="1"/>
  <c r="E121" i="10" s="1"/>
  <c r="E114" i="10"/>
  <c r="C114" i="10"/>
  <c r="D113" i="10"/>
  <c r="C113" i="10"/>
  <c r="D112" i="10"/>
  <c r="C112" i="10"/>
  <c r="D108" i="10"/>
  <c r="E108" i="10" s="1"/>
  <c r="C108" i="10"/>
  <c r="F108" i="10" s="1"/>
  <c r="D107" i="10"/>
  <c r="E107" i="10" s="1"/>
  <c r="C107" i="10"/>
  <c r="F107" i="10" s="1"/>
  <c r="F106" i="10"/>
  <c r="E106" i="10"/>
  <c r="E105" i="10"/>
  <c r="F105" i="10" s="1"/>
  <c r="F104" i="10"/>
  <c r="E104" i="10"/>
  <c r="F103" i="10"/>
  <c r="E103" i="10"/>
  <c r="F102" i="10"/>
  <c r="E102" i="10"/>
  <c r="E101" i="10"/>
  <c r="F101" i="10" s="1"/>
  <c r="F100" i="10"/>
  <c r="E100" i="10"/>
  <c r="E99" i="10"/>
  <c r="F99" i="10" s="1"/>
  <c r="F98" i="10"/>
  <c r="E98" i="10"/>
  <c r="D96" i="10"/>
  <c r="F96" i="10"/>
  <c r="C96" i="10"/>
  <c r="E96" i="10" s="1"/>
  <c r="D95" i="10"/>
  <c r="E95" i="10" s="1"/>
  <c r="F95" i="10" s="1"/>
  <c r="C95" i="10"/>
  <c r="E94" i="10"/>
  <c r="F94" i="10" s="1"/>
  <c r="F93" i="10"/>
  <c r="E93" i="10"/>
  <c r="E92" i="10"/>
  <c r="F92" i="10" s="1"/>
  <c r="F91" i="10"/>
  <c r="E91" i="10"/>
  <c r="E90" i="10"/>
  <c r="F90" i="10" s="1"/>
  <c r="F89" i="10"/>
  <c r="E89" i="10"/>
  <c r="F88" i="10"/>
  <c r="E88" i="10"/>
  <c r="F87" i="10"/>
  <c r="E87" i="10"/>
  <c r="E86" i="10"/>
  <c r="F86" i="10" s="1"/>
  <c r="D84" i="10"/>
  <c r="C84" i="10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D71" i="10"/>
  <c r="E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C60" i="10"/>
  <c r="F60" i="10" s="1"/>
  <c r="D59" i="10"/>
  <c r="C59" i="10"/>
  <c r="F58" i="10"/>
  <c r="E58" i="10"/>
  <c r="F57" i="10"/>
  <c r="E57" i="10"/>
  <c r="F56" i="10"/>
  <c r="E56" i="10"/>
  <c r="E55" i="10"/>
  <c r="F55" i="10" s="1"/>
  <c r="F54" i="10"/>
  <c r="E54" i="10"/>
  <c r="E53" i="10"/>
  <c r="F53" i="10" s="1"/>
  <c r="F52" i="10"/>
  <c r="E52" i="10"/>
  <c r="E51" i="10"/>
  <c r="F51" i="10" s="1"/>
  <c r="F50" i="10"/>
  <c r="E50" i="10"/>
  <c r="D48" i="10"/>
  <c r="E48" i="10"/>
  <c r="C48" i="10"/>
  <c r="F48" i="10" s="1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E35" i="10" s="1"/>
  <c r="C35" i="10"/>
  <c r="F35" i="10" s="1"/>
  <c r="F34" i="10"/>
  <c r="E34" i="10"/>
  <c r="E33" i="10"/>
  <c r="F33" i="10" s="1"/>
  <c r="F32" i="10"/>
  <c r="E32" i="10"/>
  <c r="E31" i="10"/>
  <c r="F31" i="10" s="1"/>
  <c r="F30" i="10"/>
  <c r="E30" i="10"/>
  <c r="F29" i="10"/>
  <c r="E29" i="10"/>
  <c r="F28" i="10"/>
  <c r="E28" i="10"/>
  <c r="E27" i="10"/>
  <c r="F27" i="10" s="1"/>
  <c r="F26" i="10"/>
  <c r="E26" i="10"/>
  <c r="F24" i="10"/>
  <c r="D24" i="10"/>
  <c r="E24" i="10" s="1"/>
  <c r="C24" i="10"/>
  <c r="D23" i="10"/>
  <c r="E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E205" i="9"/>
  <c r="C205" i="9"/>
  <c r="D204" i="9"/>
  <c r="C204" i="9"/>
  <c r="D203" i="9"/>
  <c r="E203" i="9" s="1"/>
  <c r="F203" i="9" s="1"/>
  <c r="C203" i="9"/>
  <c r="D202" i="9"/>
  <c r="E202" i="9" s="1"/>
  <c r="C202" i="9"/>
  <c r="D201" i="9"/>
  <c r="C201" i="9"/>
  <c r="D200" i="9"/>
  <c r="C200" i="9"/>
  <c r="D199" i="9"/>
  <c r="C199" i="9"/>
  <c r="D198" i="9"/>
  <c r="D207" i="9"/>
  <c r="C198" i="9"/>
  <c r="D193" i="9"/>
  <c r="E193" i="9" s="1"/>
  <c r="C193" i="9"/>
  <c r="F193" i="9" s="1"/>
  <c r="D192" i="9"/>
  <c r="E192" i="9"/>
  <c r="C192" i="9"/>
  <c r="F191" i="9"/>
  <c r="E191" i="9"/>
  <c r="F190" i="9"/>
  <c r="E190" i="9"/>
  <c r="E189" i="9"/>
  <c r="F189" i="9" s="1"/>
  <c r="F188" i="9"/>
  <c r="E188" i="9"/>
  <c r="F187" i="9"/>
  <c r="E187" i="9"/>
  <c r="E186" i="9"/>
  <c r="F186" i="9" s="1"/>
  <c r="E185" i="9"/>
  <c r="F185" i="9" s="1"/>
  <c r="F184" i="9"/>
  <c r="E184" i="9"/>
  <c r="F183" i="9"/>
  <c r="E183" i="9"/>
  <c r="D180" i="9"/>
  <c r="C180" i="9"/>
  <c r="D179" i="9"/>
  <c r="C179" i="9"/>
  <c r="F178" i="9"/>
  <c r="E178" i="9"/>
  <c r="F177" i="9"/>
  <c r="E177" i="9"/>
  <c r="E176" i="9"/>
  <c r="F176" i="9" s="1"/>
  <c r="F175" i="9"/>
  <c r="E175" i="9"/>
  <c r="F174" i="9"/>
  <c r="E174" i="9"/>
  <c r="E173" i="9"/>
  <c r="F173" i="9" s="1"/>
  <c r="E172" i="9"/>
  <c r="F172" i="9" s="1"/>
  <c r="F171" i="9"/>
  <c r="E171" i="9"/>
  <c r="F170" i="9"/>
  <c r="E170" i="9"/>
  <c r="D167" i="9"/>
  <c r="E167" i="9" s="1"/>
  <c r="C167" i="9"/>
  <c r="F167" i="9" s="1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C154" i="9"/>
  <c r="D153" i="9"/>
  <c r="C153" i="9"/>
  <c r="F152" i="9"/>
  <c r="E152" i="9"/>
  <c r="E151" i="9"/>
  <c r="F151" i="9" s="1"/>
  <c r="E150" i="9"/>
  <c r="F150" i="9" s="1"/>
  <c r="F149" i="9"/>
  <c r="E149" i="9"/>
  <c r="F148" i="9"/>
  <c r="E148" i="9"/>
  <c r="F147" i="9"/>
  <c r="E147" i="9"/>
  <c r="E146" i="9"/>
  <c r="F146" i="9" s="1"/>
  <c r="F145" i="9"/>
  <c r="E145" i="9"/>
  <c r="F144" i="9"/>
  <c r="E144" i="9"/>
  <c r="D141" i="9"/>
  <c r="E141" i="9"/>
  <c r="C141" i="9"/>
  <c r="D140" i="9"/>
  <c r="C140" i="9"/>
  <c r="F139" i="9"/>
  <c r="E139" i="9"/>
  <c r="E138" i="9"/>
  <c r="F138" i="9" s="1"/>
  <c r="E137" i="9"/>
  <c r="F137" i="9" s="1"/>
  <c r="F136" i="9"/>
  <c r="E136" i="9"/>
  <c r="F135" i="9"/>
  <c r="E135" i="9"/>
  <c r="E134" i="9"/>
  <c r="F134" i="9" s="1"/>
  <c r="E133" i="9"/>
  <c r="F133" i="9" s="1"/>
  <c r="F132" i="9"/>
  <c r="E132" i="9"/>
  <c r="F131" i="9"/>
  <c r="E131" i="9"/>
  <c r="D128" i="9"/>
  <c r="C128" i="9"/>
  <c r="D127" i="9"/>
  <c r="E127" i="9" s="1"/>
  <c r="F127" i="9" s="1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F121" i="9"/>
  <c r="E121" i="9"/>
  <c r="E120" i="9"/>
  <c r="F120" i="9" s="1"/>
  <c r="F119" i="9"/>
  <c r="E119" i="9"/>
  <c r="E118" i="9"/>
  <c r="F118" i="9" s="1"/>
  <c r="D115" i="9"/>
  <c r="C115" i="9"/>
  <c r="D114" i="9"/>
  <c r="E114" i="9" s="1"/>
  <c r="C114" i="9"/>
  <c r="F113" i="9"/>
  <c r="E113" i="9"/>
  <c r="F112" i="9"/>
  <c r="E112" i="9"/>
  <c r="E111" i="9"/>
  <c r="F111" i="9" s="1"/>
  <c r="F110" i="9"/>
  <c r="E110" i="9"/>
  <c r="F109" i="9"/>
  <c r="E109" i="9"/>
  <c r="F108" i="9"/>
  <c r="E108" i="9"/>
  <c r="E107" i="9"/>
  <c r="F107" i="9" s="1"/>
  <c r="F106" i="9"/>
  <c r="E106" i="9"/>
  <c r="F105" i="9"/>
  <c r="E105" i="9"/>
  <c r="D102" i="9"/>
  <c r="E102" i="9" s="1"/>
  <c r="C102" i="9"/>
  <c r="D101" i="9"/>
  <c r="C101" i="9"/>
  <c r="E101" i="9" s="1"/>
  <c r="E100" i="9"/>
  <c r="F100" i="9" s="1"/>
  <c r="E99" i="9"/>
  <c r="F99" i="9" s="1"/>
  <c r="E98" i="9"/>
  <c r="F98" i="9" s="1"/>
  <c r="F97" i="9"/>
  <c r="E97" i="9"/>
  <c r="F96" i="9"/>
  <c r="E96" i="9"/>
  <c r="F95" i="9"/>
  <c r="E95" i="9"/>
  <c r="E94" i="9"/>
  <c r="F94" i="9" s="1"/>
  <c r="E93" i="9"/>
  <c r="F93" i="9" s="1"/>
  <c r="E92" i="9"/>
  <c r="F92" i="9" s="1"/>
  <c r="D89" i="9"/>
  <c r="E89" i="9"/>
  <c r="C89" i="9"/>
  <c r="D88" i="9"/>
  <c r="E88" i="9"/>
  <c r="F88" i="9" s="1"/>
  <c r="C88" i="9"/>
  <c r="F87" i="9"/>
  <c r="E87" i="9"/>
  <c r="F86" i="9"/>
  <c r="E86" i="9"/>
  <c r="E85" i="9"/>
  <c r="F85" i="9" s="1"/>
  <c r="F84" i="9"/>
  <c r="E84" i="9"/>
  <c r="F83" i="9"/>
  <c r="E83" i="9"/>
  <c r="E82" i="9"/>
  <c r="F82" i="9" s="1"/>
  <c r="E81" i="9"/>
  <c r="F81" i="9" s="1"/>
  <c r="F80" i="9"/>
  <c r="E80" i="9"/>
  <c r="F79" i="9"/>
  <c r="E79" i="9"/>
  <c r="D76" i="9"/>
  <c r="F76" i="9"/>
  <c r="C76" i="9"/>
  <c r="E76" i="9" s="1"/>
  <c r="D75" i="9"/>
  <c r="E75" i="9" s="1"/>
  <c r="F75" i="9" s="1"/>
  <c r="C75" i="9"/>
  <c r="E74" i="9"/>
  <c r="F74" i="9" s="1"/>
  <c r="E73" i="9"/>
  <c r="F73" i="9" s="1"/>
  <c r="E72" i="9"/>
  <c r="F72" i="9" s="1"/>
  <c r="E71" i="9"/>
  <c r="F71" i="9" s="1"/>
  <c r="E70" i="9"/>
  <c r="F70" i="9" s="1"/>
  <c r="F69" i="9"/>
  <c r="E69" i="9"/>
  <c r="F68" i="9"/>
  <c r="E68" i="9"/>
  <c r="E67" i="9"/>
  <c r="F67" i="9" s="1"/>
  <c r="E66" i="9"/>
  <c r="F66" i="9" s="1"/>
  <c r="D63" i="9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E49" i="9"/>
  <c r="F49" i="9"/>
  <c r="C49" i="9"/>
  <c r="F48" i="9"/>
  <c r="E48" i="9"/>
  <c r="F47" i="9"/>
  <c r="E47" i="9"/>
  <c r="E46" i="9"/>
  <c r="F46" i="9" s="1"/>
  <c r="E45" i="9"/>
  <c r="F45" i="9" s="1"/>
  <c r="E44" i="9"/>
  <c r="F44" i="9" s="1"/>
  <c r="E43" i="9"/>
  <c r="F43" i="9" s="1"/>
  <c r="E42" i="9"/>
  <c r="F42" i="9" s="1"/>
  <c r="F41" i="9"/>
  <c r="E41" i="9"/>
  <c r="E40" i="9"/>
  <c r="F40" i="9" s="1"/>
  <c r="D37" i="9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E24" i="9" s="1"/>
  <c r="F24" i="9" s="1"/>
  <c r="D23" i="9"/>
  <c r="C23" i="9"/>
  <c r="E22" i="9"/>
  <c r="F22" i="9" s="1"/>
  <c r="E21" i="9"/>
  <c r="F21" i="9" s="1"/>
  <c r="E20" i="9"/>
  <c r="F20" i="9" s="1"/>
  <c r="E19" i="9"/>
  <c r="F19" i="9" s="1"/>
  <c r="E18" i="9"/>
  <c r="F18" i="9" s="1"/>
  <c r="F17" i="9"/>
  <c r="E17" i="9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 s="1"/>
  <c r="D166" i="8"/>
  <c r="C164" i="8"/>
  <c r="E162" i="8"/>
  <c r="D162" i="8"/>
  <c r="C162" i="8"/>
  <c r="E161" i="8"/>
  <c r="D161" i="8"/>
  <c r="C161" i="8"/>
  <c r="E160" i="8"/>
  <c r="E166" i="8" s="1"/>
  <c r="C160" i="8"/>
  <c r="E147" i="8"/>
  <c r="E143" i="8" s="1"/>
  <c r="D147" i="8"/>
  <c r="D143" i="8"/>
  <c r="D149" i="8" s="1"/>
  <c r="C147" i="8"/>
  <c r="C143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/>
  <c r="D106" i="8" s="1"/>
  <c r="C107" i="8"/>
  <c r="C109" i="8" s="1"/>
  <c r="C106" i="8" s="1"/>
  <c r="C104" i="8"/>
  <c r="E102" i="8"/>
  <c r="E104" i="8" s="1"/>
  <c r="D102" i="8"/>
  <c r="D104" i="8" s="1"/>
  <c r="C102" i="8"/>
  <c r="E100" i="8"/>
  <c r="D100" i="8"/>
  <c r="C100" i="8"/>
  <c r="E95" i="8"/>
  <c r="E94" i="8"/>
  <c r="D95" i="8"/>
  <c r="D94" i="8" s="1"/>
  <c r="C95" i="8"/>
  <c r="C94" i="8"/>
  <c r="E89" i="8"/>
  <c r="E90" i="8" s="1"/>
  <c r="E86" i="8" s="1"/>
  <c r="D89" i="8"/>
  <c r="C89" i="8"/>
  <c r="E88" i="8"/>
  <c r="E87" i="8"/>
  <c r="D87" i="8"/>
  <c r="C87" i="8"/>
  <c r="E84" i="8"/>
  <c r="E79" i="8" s="1"/>
  <c r="D84" i="8"/>
  <c r="C84" i="8"/>
  <c r="E83" i="8"/>
  <c r="D83" i="8"/>
  <c r="C83" i="8"/>
  <c r="C79" i="8" s="1"/>
  <c r="D79" i="8"/>
  <c r="E77" i="8"/>
  <c r="E71" i="8"/>
  <c r="E75" i="8"/>
  <c r="D75" i="8"/>
  <c r="D88" i="8"/>
  <c r="D90" i="8"/>
  <c r="D86" i="8" s="1"/>
  <c r="C75" i="8"/>
  <c r="E74" i="8"/>
  <c r="D74" i="8"/>
  <c r="C74" i="8"/>
  <c r="E67" i="8"/>
  <c r="D67" i="8"/>
  <c r="C67" i="8"/>
  <c r="D43" i="8"/>
  <c r="E38" i="8"/>
  <c r="E57" i="8"/>
  <c r="E62" i="8" s="1"/>
  <c r="D38" i="8"/>
  <c r="D53" i="8" s="1"/>
  <c r="C38" i="8"/>
  <c r="C57" i="8"/>
  <c r="C62" i="8" s="1"/>
  <c r="E33" i="8"/>
  <c r="E34" i="8" s="1"/>
  <c r="D33" i="8"/>
  <c r="D34" i="8" s="1"/>
  <c r="E26" i="8"/>
  <c r="D26" i="8"/>
  <c r="C26" i="8"/>
  <c r="E15" i="8"/>
  <c r="E17" i="8" s="1"/>
  <c r="E24" i="8"/>
  <c r="E13" i="8"/>
  <c r="E25" i="8" s="1"/>
  <c r="E27" i="8" s="1"/>
  <c r="D13" i="8"/>
  <c r="D25" i="8" s="1"/>
  <c r="D27" i="8"/>
  <c r="C13" i="8"/>
  <c r="F186" i="7"/>
  <c r="E186" i="7"/>
  <c r="D183" i="7"/>
  <c r="C183" i="7"/>
  <c r="F182" i="7"/>
  <c r="E182" i="7"/>
  <c r="E181" i="7"/>
  <c r="F181" i="7" s="1"/>
  <c r="F180" i="7"/>
  <c r="E180" i="7"/>
  <c r="E179" i="7"/>
  <c r="F179" i="7" s="1"/>
  <c r="F178" i="7"/>
  <c r="E178" i="7"/>
  <c r="F177" i="7"/>
  <c r="E177" i="7"/>
  <c r="E176" i="7"/>
  <c r="F176" i="7" s="1"/>
  <c r="E175" i="7"/>
  <c r="F175" i="7" s="1"/>
  <c r="F174" i="7"/>
  <c r="E174" i="7"/>
  <c r="E173" i="7"/>
  <c r="F173" i="7" s="1"/>
  <c r="F172" i="7"/>
  <c r="E172" i="7"/>
  <c r="E171" i="7"/>
  <c r="F171" i="7" s="1"/>
  <c r="E170" i="7"/>
  <c r="F170" i="7" s="1"/>
  <c r="D167" i="7"/>
  <c r="C167" i="7"/>
  <c r="E166" i="7"/>
  <c r="F166" i="7" s="1"/>
  <c r="F165" i="7"/>
  <c r="E165" i="7"/>
  <c r="E164" i="7"/>
  <c r="F164" i="7" s="1"/>
  <c r="E163" i="7"/>
  <c r="F163" i="7" s="1"/>
  <c r="F162" i="7"/>
  <c r="E162" i="7"/>
  <c r="F161" i="7"/>
  <c r="E161" i="7"/>
  <c r="E160" i="7"/>
  <c r="F160" i="7" s="1"/>
  <c r="F159" i="7"/>
  <c r="E159" i="7"/>
  <c r="E158" i="7"/>
  <c r="F158" i="7" s="1"/>
  <c r="F157" i="7"/>
  <c r="E157" i="7"/>
  <c r="E156" i="7"/>
  <c r="F156" i="7" s="1"/>
  <c r="E155" i="7"/>
  <c r="F155" i="7" s="1"/>
  <c r="E154" i="7"/>
  <c r="F154" i="7" s="1"/>
  <c r="F153" i="7"/>
  <c r="E153" i="7"/>
  <c r="F152" i="7"/>
  <c r="E152" i="7"/>
  <c r="E151" i="7"/>
  <c r="F151" i="7" s="1"/>
  <c r="E150" i="7"/>
  <c r="F150" i="7" s="1"/>
  <c r="F149" i="7"/>
  <c r="E149" i="7"/>
  <c r="E148" i="7"/>
  <c r="F148" i="7" s="1"/>
  <c r="E147" i="7"/>
  <c r="F147" i="7" s="1"/>
  <c r="E146" i="7"/>
  <c r="F146" i="7" s="1"/>
  <c r="F145" i="7"/>
  <c r="E145" i="7"/>
  <c r="F144" i="7"/>
  <c r="E144" i="7"/>
  <c r="E143" i="7"/>
  <c r="F143" i="7" s="1"/>
  <c r="E142" i="7"/>
  <c r="F142" i="7" s="1"/>
  <c r="F141" i="7"/>
  <c r="E141" i="7"/>
  <c r="E140" i="7"/>
  <c r="F140" i="7" s="1"/>
  <c r="E139" i="7"/>
  <c r="F139" i="7" s="1"/>
  <c r="E138" i="7"/>
  <c r="F138" i="7" s="1"/>
  <c r="E137" i="7"/>
  <c r="F137" i="7" s="1"/>
  <c r="E136" i="7"/>
  <c r="F136" i="7" s="1"/>
  <c r="E135" i="7"/>
  <c r="F135" i="7" s="1"/>
  <c r="E134" i="7"/>
  <c r="F134" i="7" s="1"/>
  <c r="F133" i="7"/>
  <c r="E133" i="7"/>
  <c r="D130" i="7"/>
  <c r="C130" i="7"/>
  <c r="F129" i="7"/>
  <c r="E129" i="7"/>
  <c r="E128" i="7"/>
  <c r="F128" i="7" s="1"/>
  <c r="E127" i="7"/>
  <c r="F127" i="7" s="1"/>
  <c r="E126" i="7"/>
  <c r="F126" i="7" s="1"/>
  <c r="F125" i="7"/>
  <c r="E125" i="7"/>
  <c r="E124" i="7"/>
  <c r="F124" i="7" s="1"/>
  <c r="D121" i="7"/>
  <c r="E121" i="7"/>
  <c r="C121" i="7"/>
  <c r="F120" i="7"/>
  <c r="E120" i="7"/>
  <c r="F119" i="7"/>
  <c r="E119" i="7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 s="1"/>
  <c r="E109" i="7"/>
  <c r="F109" i="7" s="1"/>
  <c r="E108" i="7"/>
  <c r="F108" i="7" s="1"/>
  <c r="E107" i="7"/>
  <c r="F107" i="7" s="1"/>
  <c r="F106" i="7"/>
  <c r="E106" i="7"/>
  <c r="E105" i="7"/>
  <c r="F105" i="7" s="1"/>
  <c r="E104" i="7"/>
  <c r="F104" i="7" s="1"/>
  <c r="E103" i="7"/>
  <c r="F103" i="7" s="1"/>
  <c r="E93" i="7"/>
  <c r="F93" i="7" s="1"/>
  <c r="D90" i="7"/>
  <c r="C90" i="7"/>
  <c r="E89" i="7"/>
  <c r="F89" i="7" s="1"/>
  <c r="F88" i="7"/>
  <c r="E88" i="7"/>
  <c r="F87" i="7"/>
  <c r="E87" i="7"/>
  <c r="E86" i="7"/>
  <c r="F86" i="7" s="1"/>
  <c r="E85" i="7"/>
  <c r="F85" i="7" s="1"/>
  <c r="F84" i="7"/>
  <c r="E84" i="7"/>
  <c r="F83" i="7"/>
  <c r="E83" i="7"/>
  <c r="E82" i="7"/>
  <c r="F82" i="7" s="1"/>
  <c r="E81" i="7"/>
  <c r="F81" i="7" s="1"/>
  <c r="F80" i="7"/>
  <c r="E80" i="7"/>
  <c r="F79" i="7"/>
  <c r="E79" i="7"/>
  <c r="E78" i="7"/>
  <c r="F78" i="7" s="1"/>
  <c r="F77" i="7"/>
  <c r="E77" i="7"/>
  <c r="F76" i="7"/>
  <c r="E76" i="7"/>
  <c r="F75" i="7"/>
  <c r="E75" i="7"/>
  <c r="E74" i="7"/>
  <c r="F74" i="7" s="1"/>
  <c r="E73" i="7"/>
  <c r="F73" i="7" s="1"/>
  <c r="F72" i="7"/>
  <c r="E72" i="7"/>
  <c r="F71" i="7"/>
  <c r="E71" i="7"/>
  <c r="E70" i="7"/>
  <c r="F70" i="7" s="1"/>
  <c r="E69" i="7"/>
  <c r="F69" i="7" s="1"/>
  <c r="F68" i="7"/>
  <c r="E68" i="7"/>
  <c r="F67" i="7"/>
  <c r="E67" i="7"/>
  <c r="E66" i="7"/>
  <c r="F66" i="7" s="1"/>
  <c r="E65" i="7"/>
  <c r="F65" i="7" s="1"/>
  <c r="F64" i="7"/>
  <c r="E64" i="7"/>
  <c r="F63" i="7"/>
  <c r="E63" i="7"/>
  <c r="E62" i="7"/>
  <c r="F62" i="7" s="1"/>
  <c r="D59" i="7"/>
  <c r="E59" i="7"/>
  <c r="F59" i="7" s="1"/>
  <c r="C59" i="7"/>
  <c r="F58" i="7"/>
  <c r="E58" i="7"/>
  <c r="E57" i="7"/>
  <c r="F57" i="7" s="1"/>
  <c r="E56" i="7"/>
  <c r="F56" i="7" s="1"/>
  <c r="F55" i="7"/>
  <c r="E55" i="7"/>
  <c r="F54" i="7"/>
  <c r="E54" i="7"/>
  <c r="E53" i="7"/>
  <c r="F53" i="7" s="1"/>
  <c r="E50" i="7"/>
  <c r="F50" i="7" s="1"/>
  <c r="F47" i="7"/>
  <c r="E47" i="7"/>
  <c r="F44" i="7"/>
  <c r="E44" i="7"/>
  <c r="D41" i="7"/>
  <c r="C41" i="7"/>
  <c r="F40" i="7"/>
  <c r="E40" i="7"/>
  <c r="F39" i="7"/>
  <c r="E39" i="7"/>
  <c r="E38" i="7"/>
  <c r="F38" i="7" s="1"/>
  <c r="D35" i="7"/>
  <c r="E35" i="7"/>
  <c r="F35" i="7" s="1"/>
  <c r="C35" i="7"/>
  <c r="F34" i="7"/>
  <c r="E34" i="7"/>
  <c r="E33" i="7"/>
  <c r="F33" i="7" s="1"/>
  <c r="D30" i="7"/>
  <c r="E30" i="7"/>
  <c r="F30" i="7" s="1"/>
  <c r="C30" i="7"/>
  <c r="F29" i="7"/>
  <c r="E29" i="7"/>
  <c r="E28" i="7"/>
  <c r="F28" i="7" s="1"/>
  <c r="E27" i="7"/>
  <c r="F27" i="7" s="1"/>
  <c r="D24" i="7"/>
  <c r="E24" i="7" s="1"/>
  <c r="F24" i="7"/>
  <c r="C24" i="7"/>
  <c r="F23" i="7"/>
  <c r="E23" i="7"/>
  <c r="F22" i="7"/>
  <c r="E22" i="7"/>
  <c r="F21" i="7"/>
  <c r="E21" i="7"/>
  <c r="D18" i="7"/>
  <c r="C18" i="7"/>
  <c r="E17" i="7"/>
  <c r="F17" i="7" s="1"/>
  <c r="F16" i="7"/>
  <c r="E16" i="7"/>
  <c r="F15" i="7"/>
  <c r="E15" i="7"/>
  <c r="D179" i="6"/>
  <c r="E179" i="6"/>
  <c r="C179" i="6"/>
  <c r="F178" i="6"/>
  <c r="E178" i="6"/>
  <c r="F177" i="6"/>
  <c r="E177" i="6"/>
  <c r="E176" i="6"/>
  <c r="F176" i="6" s="1"/>
  <c r="E175" i="6"/>
  <c r="F175" i="6" s="1"/>
  <c r="E174" i="6"/>
  <c r="F174" i="6" s="1"/>
  <c r="E173" i="6"/>
  <c r="F173" i="6" s="1"/>
  <c r="E172" i="6"/>
  <c r="F172" i="6" s="1"/>
  <c r="E171" i="6"/>
  <c r="F171" i="6" s="1"/>
  <c r="F170" i="6"/>
  <c r="E170" i="6"/>
  <c r="E169" i="6"/>
  <c r="F169" i="6" s="1"/>
  <c r="E168" i="6"/>
  <c r="F168" i="6" s="1"/>
  <c r="D166" i="6"/>
  <c r="E166" i="6"/>
  <c r="C166" i="6"/>
  <c r="E165" i="6"/>
  <c r="F165" i="6" s="1"/>
  <c r="F164" i="6"/>
  <c r="E164" i="6"/>
  <c r="F163" i="6"/>
  <c r="E163" i="6"/>
  <c r="F162" i="6"/>
  <c r="E162" i="6"/>
  <c r="E161" i="6"/>
  <c r="F161" i="6" s="1"/>
  <c r="E160" i="6"/>
  <c r="F160" i="6" s="1"/>
  <c r="F159" i="6"/>
  <c r="E159" i="6"/>
  <c r="F158" i="6"/>
  <c r="E158" i="6"/>
  <c r="E157" i="6"/>
  <c r="F157" i="6" s="1"/>
  <c r="E156" i="6"/>
  <c r="F156" i="6" s="1"/>
  <c r="F155" i="6"/>
  <c r="E155" i="6"/>
  <c r="D153" i="6"/>
  <c r="E153" i="6" s="1"/>
  <c r="C153" i="6"/>
  <c r="E152" i="6"/>
  <c r="F152" i="6" s="1"/>
  <c r="F151" i="6"/>
  <c r="E151" i="6"/>
  <c r="E150" i="6"/>
  <c r="F150" i="6" s="1"/>
  <c r="E149" i="6"/>
  <c r="F149" i="6" s="1"/>
  <c r="E148" i="6"/>
  <c r="F148" i="6" s="1"/>
  <c r="F147" i="6"/>
  <c r="E147" i="6"/>
  <c r="F146" i="6"/>
  <c r="E146" i="6"/>
  <c r="E145" i="6"/>
  <c r="F145" i="6" s="1"/>
  <c r="E144" i="6"/>
  <c r="F144" i="6" s="1"/>
  <c r="F143" i="6"/>
  <c r="E143" i="6"/>
  <c r="F142" i="6"/>
  <c r="E142" i="6"/>
  <c r="D137" i="6"/>
  <c r="C137" i="6"/>
  <c r="E136" i="6"/>
  <c r="F136" i="6" s="1"/>
  <c r="F135" i="6"/>
  <c r="E135" i="6"/>
  <c r="E134" i="6"/>
  <c r="F134" i="6" s="1"/>
  <c r="E133" i="6"/>
  <c r="F133" i="6" s="1"/>
  <c r="E132" i="6"/>
  <c r="F132" i="6" s="1"/>
  <c r="F131" i="6"/>
  <c r="E131" i="6"/>
  <c r="E130" i="6"/>
  <c r="F130" i="6" s="1"/>
  <c r="E129" i="6"/>
  <c r="F129" i="6" s="1"/>
  <c r="E128" i="6"/>
  <c r="F128" i="6" s="1"/>
  <c r="E127" i="6"/>
  <c r="F127" i="6" s="1"/>
  <c r="E126" i="6"/>
  <c r="F126" i="6" s="1"/>
  <c r="D124" i="6"/>
  <c r="E124" i="6"/>
  <c r="F124" i="6"/>
  <c r="C124" i="6"/>
  <c r="F123" i="6"/>
  <c r="E123" i="6"/>
  <c r="F122" i="6"/>
  <c r="E122" i="6"/>
  <c r="E121" i="6"/>
  <c r="F121" i="6" s="1"/>
  <c r="E120" i="6"/>
  <c r="F120" i="6" s="1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E113" i="6"/>
  <c r="F113" i="6" s="1"/>
  <c r="D111" i="6"/>
  <c r="C111" i="6"/>
  <c r="E110" i="6"/>
  <c r="F110" i="6" s="1"/>
  <c r="F109" i="6"/>
  <c r="E109" i="6"/>
  <c r="E108" i="6"/>
  <c r="F108" i="6" s="1"/>
  <c r="E107" i="6"/>
  <c r="F107" i="6" s="1"/>
  <c r="E106" i="6"/>
  <c r="F106" i="6" s="1"/>
  <c r="E105" i="6"/>
  <c r="F105" i="6" s="1"/>
  <c r="E104" i="6"/>
  <c r="F104" i="6" s="1"/>
  <c r="E103" i="6"/>
  <c r="F103" i="6" s="1"/>
  <c r="E102" i="6"/>
  <c r="F102" i="6" s="1"/>
  <c r="E101" i="6"/>
  <c r="F101" i="6" s="1"/>
  <c r="E100" i="6"/>
  <c r="F100" i="6" s="1"/>
  <c r="D94" i="6"/>
  <c r="E94" i="6"/>
  <c r="C94" i="6"/>
  <c r="D93" i="6"/>
  <c r="C93" i="6"/>
  <c r="F93" i="6" s="1"/>
  <c r="D92" i="6"/>
  <c r="E92" i="6" s="1"/>
  <c r="C92" i="6"/>
  <c r="D91" i="6"/>
  <c r="E91" i="6"/>
  <c r="C91" i="6"/>
  <c r="D90" i="6"/>
  <c r="E90" i="6" s="1"/>
  <c r="C90" i="6"/>
  <c r="D89" i="6"/>
  <c r="E89" i="6"/>
  <c r="C89" i="6"/>
  <c r="D88" i="6"/>
  <c r="E88" i="6" s="1"/>
  <c r="C88" i="6"/>
  <c r="F88" i="6" s="1"/>
  <c r="D87" i="6"/>
  <c r="E87" i="6"/>
  <c r="C87" i="6"/>
  <c r="D86" i="6"/>
  <c r="E86" i="6" s="1"/>
  <c r="C86" i="6"/>
  <c r="D85" i="6"/>
  <c r="C85" i="6"/>
  <c r="E85" i="6" s="1"/>
  <c r="D84" i="6"/>
  <c r="C84" i="6"/>
  <c r="D81" i="6"/>
  <c r="E81" i="6"/>
  <c r="C81" i="6"/>
  <c r="F80" i="6"/>
  <c r="E80" i="6"/>
  <c r="F79" i="6"/>
  <c r="E79" i="6"/>
  <c r="E78" i="6"/>
  <c r="F78" i="6" s="1"/>
  <c r="E77" i="6"/>
  <c r="F77" i="6" s="1"/>
  <c r="F76" i="6"/>
  <c r="E76" i="6"/>
  <c r="E75" i="6"/>
  <c r="F75" i="6" s="1"/>
  <c r="E74" i="6"/>
  <c r="F74" i="6" s="1"/>
  <c r="E73" i="6"/>
  <c r="F73" i="6" s="1"/>
  <c r="E72" i="6"/>
  <c r="F72" i="6" s="1"/>
  <c r="E71" i="6"/>
  <c r="F71" i="6" s="1"/>
  <c r="E70" i="6"/>
  <c r="F70" i="6" s="1"/>
  <c r="D68" i="6"/>
  <c r="C68" i="6"/>
  <c r="E68" i="6" s="1"/>
  <c r="F68" i="6" s="1"/>
  <c r="E67" i="6"/>
  <c r="F67" i="6" s="1"/>
  <c r="F66" i="6"/>
  <c r="E66" i="6"/>
  <c r="E65" i="6"/>
  <c r="F65" i="6" s="1"/>
  <c r="E64" i="6"/>
  <c r="F64" i="6" s="1"/>
  <c r="E63" i="6"/>
  <c r="F63" i="6" s="1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E51" i="6"/>
  <c r="C51" i="6"/>
  <c r="D50" i="6"/>
  <c r="E50" i="6" s="1"/>
  <c r="C50" i="6"/>
  <c r="F50" i="6" s="1"/>
  <c r="D49" i="6"/>
  <c r="E49" i="6" s="1"/>
  <c r="C49" i="6"/>
  <c r="F49" i="6" s="1"/>
  <c r="D48" i="6"/>
  <c r="E48" i="6"/>
  <c r="C48" i="6"/>
  <c r="D47" i="6"/>
  <c r="E47" i="6" s="1"/>
  <c r="C47" i="6"/>
  <c r="F47" i="6" s="1"/>
  <c r="D46" i="6"/>
  <c r="C46" i="6"/>
  <c r="D45" i="6"/>
  <c r="E45" i="6" s="1"/>
  <c r="C45" i="6"/>
  <c r="D44" i="6"/>
  <c r="E44" i="6"/>
  <c r="C44" i="6"/>
  <c r="D43" i="6"/>
  <c r="E43" i="6" s="1"/>
  <c r="C43" i="6"/>
  <c r="D42" i="6"/>
  <c r="E42" i="6"/>
  <c r="C42" i="6"/>
  <c r="D41" i="6"/>
  <c r="C41" i="6"/>
  <c r="C52" i="6" s="1"/>
  <c r="D38" i="6"/>
  <c r="E38" i="6" s="1"/>
  <c r="F38" i="6" s="1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 s="1"/>
  <c r="F25" i="6" s="1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 s="1"/>
  <c r="F41" i="5" s="1"/>
  <c r="C41" i="5"/>
  <c r="F40" i="5"/>
  <c r="E40" i="5"/>
  <c r="F39" i="5"/>
  <c r="E39" i="5"/>
  <c r="F38" i="5"/>
  <c r="E38" i="5"/>
  <c r="D33" i="5"/>
  <c r="C33" i="5"/>
  <c r="F32" i="5"/>
  <c r="E32" i="5"/>
  <c r="F31" i="5"/>
  <c r="E31" i="5"/>
  <c r="F30" i="5"/>
  <c r="E30" i="5"/>
  <c r="E29" i="5"/>
  <c r="F29" i="5" s="1"/>
  <c r="F28" i="5"/>
  <c r="E28" i="5"/>
  <c r="F27" i="5"/>
  <c r="E27" i="5"/>
  <c r="F26" i="5"/>
  <c r="E26" i="5"/>
  <c r="E25" i="5"/>
  <c r="F25" i="5" s="1"/>
  <c r="F24" i="5"/>
  <c r="E24" i="5"/>
  <c r="F20" i="5"/>
  <c r="E20" i="5"/>
  <c r="F19" i="5"/>
  <c r="E19" i="5"/>
  <c r="F17" i="5"/>
  <c r="E17" i="5"/>
  <c r="D16" i="5"/>
  <c r="C16" i="5"/>
  <c r="C18" i="5" s="1"/>
  <c r="F15" i="5"/>
  <c r="E15" i="5"/>
  <c r="F14" i="5"/>
  <c r="E14" i="5"/>
  <c r="F13" i="5"/>
  <c r="E13" i="5"/>
  <c r="F12" i="5"/>
  <c r="E12" i="5"/>
  <c r="D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 s="1"/>
  <c r="C61" i="4"/>
  <c r="C65" i="4"/>
  <c r="E60" i="4"/>
  <c r="F60" i="4" s="1"/>
  <c r="F59" i="4"/>
  <c r="E59" i="4"/>
  <c r="D56" i="4"/>
  <c r="D75" i="4"/>
  <c r="C56" i="4"/>
  <c r="F55" i="4"/>
  <c r="E55" i="4"/>
  <c r="E54" i="4"/>
  <c r="F54" i="4" s="1"/>
  <c r="E53" i="4"/>
  <c r="F53" i="4" s="1"/>
  <c r="F52" i="4"/>
  <c r="E52" i="4"/>
  <c r="F51" i="4"/>
  <c r="E51" i="4"/>
  <c r="A51" i="4"/>
  <c r="A52" i="4" s="1"/>
  <c r="A53" i="4"/>
  <c r="A54" i="4"/>
  <c r="A55" i="4"/>
  <c r="E50" i="4"/>
  <c r="F50" i="4"/>
  <c r="A50" i="4"/>
  <c r="F49" i="4"/>
  <c r="E49" i="4"/>
  <c r="E40" i="4"/>
  <c r="F40" i="4" s="1"/>
  <c r="D38" i="4"/>
  <c r="C38" i="4"/>
  <c r="C41" i="4"/>
  <c r="E37" i="4"/>
  <c r="F37" i="4" s="1"/>
  <c r="F36" i="4"/>
  <c r="E36" i="4"/>
  <c r="E33" i="4"/>
  <c r="F33" i="4" s="1"/>
  <c r="E32" i="4"/>
  <c r="F32" i="4" s="1"/>
  <c r="F31" i="4"/>
  <c r="E31" i="4"/>
  <c r="D29" i="4"/>
  <c r="E29" i="4" s="1"/>
  <c r="C29" i="4"/>
  <c r="E28" i="4"/>
  <c r="F28" i="4" s="1"/>
  <c r="E27" i="4"/>
  <c r="F27" i="4" s="1"/>
  <c r="F26" i="4"/>
  <c r="E26" i="4"/>
  <c r="E25" i="4"/>
  <c r="F25" i="4" s="1"/>
  <c r="D22" i="4"/>
  <c r="C22" i="4"/>
  <c r="C43" i="4" s="1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E109" i="22"/>
  <c r="E108" i="22"/>
  <c r="D108" i="22"/>
  <c r="D109" i="22"/>
  <c r="D22" i="22"/>
  <c r="C23" i="22"/>
  <c r="E23" i="22"/>
  <c r="C34" i="22"/>
  <c r="E34" i="22"/>
  <c r="E102" i="22"/>
  <c r="E103" i="22"/>
  <c r="C22" i="22"/>
  <c r="E22" i="22"/>
  <c r="E298" i="17"/>
  <c r="F20" i="20"/>
  <c r="C41" i="20"/>
  <c r="D41" i="20"/>
  <c r="E39" i="20"/>
  <c r="E19" i="20"/>
  <c r="F19" i="20" s="1"/>
  <c r="E43" i="20"/>
  <c r="E94" i="17"/>
  <c r="F94" i="17" s="1"/>
  <c r="E95" i="17"/>
  <c r="F95" i="17" s="1"/>
  <c r="E100" i="17"/>
  <c r="E43" i="18"/>
  <c r="E21" i="18"/>
  <c r="D22" i="18"/>
  <c r="D44" i="18"/>
  <c r="E37" i="18"/>
  <c r="E54" i="18"/>
  <c r="C289" i="18"/>
  <c r="C71" i="18"/>
  <c r="C65" i="18"/>
  <c r="C66" i="18" s="1"/>
  <c r="C295" i="18"/>
  <c r="E60" i="18"/>
  <c r="C77" i="18"/>
  <c r="E70" i="18"/>
  <c r="E85" i="17"/>
  <c r="C294" i="18"/>
  <c r="E32" i="18"/>
  <c r="E36" i="18"/>
  <c r="E69" i="18"/>
  <c r="C144" i="18"/>
  <c r="E144" i="18"/>
  <c r="D145" i="18"/>
  <c r="E151" i="18"/>
  <c r="C175" i="18"/>
  <c r="E239" i="18"/>
  <c r="E243" i="18"/>
  <c r="E302" i="18"/>
  <c r="C303" i="18"/>
  <c r="C306" i="18"/>
  <c r="C310" i="18" s="1"/>
  <c r="E139" i="18"/>
  <c r="C252" i="18"/>
  <c r="D320" i="18"/>
  <c r="E320" i="18"/>
  <c r="E316" i="18"/>
  <c r="E326" i="18"/>
  <c r="D330" i="18"/>
  <c r="C189" i="18"/>
  <c r="C210" i="18"/>
  <c r="C180" i="18" s="1"/>
  <c r="E215" i="18"/>
  <c r="E219" i="18"/>
  <c r="D222" i="18"/>
  <c r="D229" i="18"/>
  <c r="E229" i="18"/>
  <c r="D240" i="18"/>
  <c r="D242" i="18"/>
  <c r="E242" i="18" s="1"/>
  <c r="D244" i="18"/>
  <c r="E244" i="18" s="1"/>
  <c r="E265" i="18"/>
  <c r="E314" i="18"/>
  <c r="E188" i="18"/>
  <c r="D189" i="18"/>
  <c r="E189" i="18" s="1"/>
  <c r="E205" i="18"/>
  <c r="C222" i="18"/>
  <c r="C246" i="18"/>
  <c r="E231" i="18"/>
  <c r="E251" i="18"/>
  <c r="E324" i="18"/>
  <c r="C90" i="17"/>
  <c r="D61" i="17"/>
  <c r="E60" i="17"/>
  <c r="E77" i="17"/>
  <c r="C103" i="17"/>
  <c r="E20" i="17"/>
  <c r="F20" i="17" s="1"/>
  <c r="D21" i="17"/>
  <c r="D31" i="17"/>
  <c r="D37" i="17"/>
  <c r="D48" i="17"/>
  <c r="F60" i="17"/>
  <c r="C61" i="17"/>
  <c r="C21" i="17"/>
  <c r="E59" i="17"/>
  <c r="F59" i="17" s="1"/>
  <c r="E66" i="17"/>
  <c r="F66" i="17"/>
  <c r="E76" i="17"/>
  <c r="F76" i="17"/>
  <c r="F85" i="17"/>
  <c r="F100" i="17"/>
  <c r="C138" i="17"/>
  <c r="D277" i="17"/>
  <c r="D287" i="17" s="1"/>
  <c r="D214" i="17"/>
  <c r="C288" i="17"/>
  <c r="D280" i="17"/>
  <c r="D264" i="17"/>
  <c r="E191" i="17"/>
  <c r="F191" i="17"/>
  <c r="D192" i="17"/>
  <c r="E192" i="17"/>
  <c r="F192" i="17" s="1"/>
  <c r="D283" i="17"/>
  <c r="D267" i="17"/>
  <c r="D205" i="17"/>
  <c r="E203" i="17"/>
  <c r="F203" i="17" s="1"/>
  <c r="E227" i="17"/>
  <c r="F227" i="17" s="1"/>
  <c r="E239" i="17"/>
  <c r="E88" i="17"/>
  <c r="F88" i="17"/>
  <c r="D111" i="17"/>
  <c r="E111" i="17" s="1"/>
  <c r="F111" i="17" s="1"/>
  <c r="D124" i="17"/>
  <c r="D137" i="17"/>
  <c r="D146" i="17"/>
  <c r="E146" i="17" s="1"/>
  <c r="F146" i="17" s="1"/>
  <c r="D159" i="17"/>
  <c r="D172" i="17"/>
  <c r="D181" i="17"/>
  <c r="E181" i="17"/>
  <c r="F181" i="17"/>
  <c r="C287" i="17"/>
  <c r="C284" i="17"/>
  <c r="C279" i="17"/>
  <c r="D278" i="17"/>
  <c r="D262" i="17"/>
  <c r="D215" i="17"/>
  <c r="E189" i="17"/>
  <c r="F189" i="17"/>
  <c r="D290" i="17"/>
  <c r="D274" i="17"/>
  <c r="D199" i="17"/>
  <c r="D200" i="17"/>
  <c r="C286" i="17"/>
  <c r="D285" i="17"/>
  <c r="E285" i="17"/>
  <c r="D269" i="17"/>
  <c r="E204" i="17"/>
  <c r="F204" i="17" s="1"/>
  <c r="F239" i="17"/>
  <c r="C124" i="17"/>
  <c r="C190" i="17"/>
  <c r="C192" i="17"/>
  <c r="C205" i="17"/>
  <c r="C206" i="17"/>
  <c r="C214" i="17"/>
  <c r="C304" i="17"/>
  <c r="C215" i="17"/>
  <c r="E226" i="17"/>
  <c r="F226" i="17" s="1"/>
  <c r="E237" i="17"/>
  <c r="F237" i="17" s="1"/>
  <c r="E250" i="17"/>
  <c r="F250" i="17"/>
  <c r="C254" i="17"/>
  <c r="C255" i="17"/>
  <c r="C261" i="17"/>
  <c r="C262" i="17"/>
  <c r="C264" i="17"/>
  <c r="C267" i="17"/>
  <c r="C270" i="17" s="1"/>
  <c r="C269" i="17"/>
  <c r="E294" i="17"/>
  <c r="F294" i="17" s="1"/>
  <c r="F296" i="17"/>
  <c r="F297" i="17"/>
  <c r="F298" i="17"/>
  <c r="F22" i="16"/>
  <c r="H17" i="14"/>
  <c r="D33" i="14"/>
  <c r="D36" i="14" s="1"/>
  <c r="D38" i="14"/>
  <c r="D40" i="14" s="1"/>
  <c r="F33" i="14"/>
  <c r="I17" i="14"/>
  <c r="E20" i="13"/>
  <c r="D21" i="13"/>
  <c r="D15" i="13"/>
  <c r="E17" i="13"/>
  <c r="E28" i="13" s="1"/>
  <c r="D48" i="13"/>
  <c r="E17" i="12"/>
  <c r="F17" i="12" s="1"/>
  <c r="C20" i="12"/>
  <c r="E15" i="12"/>
  <c r="F15" i="12"/>
  <c r="E41" i="11"/>
  <c r="F41" i="11"/>
  <c r="E38" i="11"/>
  <c r="F38" i="11"/>
  <c r="E56" i="11"/>
  <c r="F56" i="11"/>
  <c r="E61" i="11"/>
  <c r="F61" i="11" s="1"/>
  <c r="F114" i="10"/>
  <c r="F116" i="10"/>
  <c r="F118" i="10"/>
  <c r="F119" i="10"/>
  <c r="F120" i="10"/>
  <c r="E112" i="10"/>
  <c r="F112" i="10" s="1"/>
  <c r="E113" i="10"/>
  <c r="F113" i="10" s="1"/>
  <c r="C121" i="10"/>
  <c r="C122" i="10"/>
  <c r="F202" i="9"/>
  <c r="F205" i="9"/>
  <c r="F206" i="9"/>
  <c r="E198" i="9"/>
  <c r="F198" i="9" s="1"/>
  <c r="E199" i="9"/>
  <c r="D21" i="8"/>
  <c r="D157" i="8"/>
  <c r="E21" i="8"/>
  <c r="D139" i="8"/>
  <c r="D137" i="8"/>
  <c r="D141" i="8" s="1"/>
  <c r="D135" i="8"/>
  <c r="D140" i="8"/>
  <c r="D138" i="8"/>
  <c r="D136" i="8"/>
  <c r="D15" i="8"/>
  <c r="C43" i="8"/>
  <c r="E43" i="8"/>
  <c r="D49" i="8"/>
  <c r="C53" i="8"/>
  <c r="E53" i="8"/>
  <c r="D77" i="8"/>
  <c r="D71" i="8"/>
  <c r="C49" i="8"/>
  <c r="E49" i="8"/>
  <c r="E90" i="7"/>
  <c r="F90" i="7" s="1"/>
  <c r="F179" i="6"/>
  <c r="C21" i="5"/>
  <c r="C35" i="5" s="1"/>
  <c r="C43" i="5" s="1"/>
  <c r="C50" i="5" s="1"/>
  <c r="E22" i="4"/>
  <c r="F22" i="4"/>
  <c r="E56" i="4"/>
  <c r="F56" i="4"/>
  <c r="E61" i="4"/>
  <c r="F61" i="4"/>
  <c r="E53" i="22"/>
  <c r="E45" i="22"/>
  <c r="E39" i="22"/>
  <c r="E35" i="22"/>
  <c r="E29" i="22"/>
  <c r="E110" i="22"/>
  <c r="C54" i="22"/>
  <c r="C46" i="22"/>
  <c r="C40" i="22"/>
  <c r="C36" i="22"/>
  <c r="C30" i="22"/>
  <c r="C53" i="22"/>
  <c r="C45" i="22"/>
  <c r="C39" i="22"/>
  <c r="C35" i="22"/>
  <c r="C29" i="22"/>
  <c r="E111" i="22"/>
  <c r="E54" i="22"/>
  <c r="E46" i="22"/>
  <c r="E40" i="22"/>
  <c r="E36" i="22"/>
  <c r="E30" i="22"/>
  <c r="E38" i="22" s="1"/>
  <c r="D110" i="22"/>
  <c r="D53" i="22"/>
  <c r="D45" i="22"/>
  <c r="D39" i="22"/>
  <c r="D35" i="22"/>
  <c r="D29" i="22"/>
  <c r="D37" i="22" s="1"/>
  <c r="F43" i="20"/>
  <c r="E46" i="20"/>
  <c r="E303" i="18"/>
  <c r="D306" i="18"/>
  <c r="C263" i="18"/>
  <c r="C223" i="18"/>
  <c r="C247" i="18" s="1"/>
  <c r="D252" i="18"/>
  <c r="C145" i="18"/>
  <c r="E145" i="18"/>
  <c r="C168" i="18"/>
  <c r="C125" i="18"/>
  <c r="C121" i="18"/>
  <c r="C114" i="18"/>
  <c r="C112" i="18"/>
  <c r="C122" i="18"/>
  <c r="C113" i="18"/>
  <c r="C111" i="18"/>
  <c r="C109" i="18"/>
  <c r="D97" i="18"/>
  <c r="E97" i="18" s="1"/>
  <c r="D88" i="18"/>
  <c r="E88" i="18" s="1"/>
  <c r="D86" i="18"/>
  <c r="D84" i="18"/>
  <c r="D89" i="18"/>
  <c r="D85" i="18"/>
  <c r="D83" i="18"/>
  <c r="D284" i="18"/>
  <c r="E22" i="18"/>
  <c r="C44" i="18"/>
  <c r="E44" i="18"/>
  <c r="D272" i="17"/>
  <c r="E272" i="17" s="1"/>
  <c r="E262" i="17"/>
  <c r="F262" i="17" s="1"/>
  <c r="D207" i="17"/>
  <c r="E137" i="17"/>
  <c r="F137" i="17" s="1"/>
  <c r="D138" i="17"/>
  <c r="E138" i="17" s="1"/>
  <c r="F138" i="17" s="1"/>
  <c r="E269" i="17"/>
  <c r="F269" i="17" s="1"/>
  <c r="D255" i="17"/>
  <c r="E255" i="17" s="1"/>
  <c r="F255" i="17" s="1"/>
  <c r="E215" i="17"/>
  <c r="F215" i="17" s="1"/>
  <c r="D288" i="17"/>
  <c r="E288" i="17"/>
  <c r="E278" i="17"/>
  <c r="F278" i="17"/>
  <c r="D173" i="17"/>
  <c r="E205" i="17"/>
  <c r="F205" i="17"/>
  <c r="D286" i="17"/>
  <c r="E286" i="17" s="1"/>
  <c r="E283" i="17"/>
  <c r="F283" i="17" s="1"/>
  <c r="D193" i="17"/>
  <c r="E280" i="17"/>
  <c r="F280" i="17"/>
  <c r="C139" i="17"/>
  <c r="C104" i="17"/>
  <c r="D160" i="17"/>
  <c r="E48" i="17"/>
  <c r="F48" i="17" s="1"/>
  <c r="D32" i="17"/>
  <c r="C272" i="17"/>
  <c r="C216" i="17"/>
  <c r="D300" i="17"/>
  <c r="E264" i="17"/>
  <c r="F264" i="17" s="1"/>
  <c r="D284" i="17"/>
  <c r="E284" i="17"/>
  <c r="C91" i="17"/>
  <c r="C49" i="17"/>
  <c r="C50" i="17" s="1"/>
  <c r="D161" i="17"/>
  <c r="E61" i="17"/>
  <c r="F61" i="17"/>
  <c r="D34" i="12"/>
  <c r="D42" i="12" s="1"/>
  <c r="D49" i="12" s="1"/>
  <c r="E20" i="12"/>
  <c r="F20" i="12"/>
  <c r="C34" i="12"/>
  <c r="F121" i="10"/>
  <c r="D24" i="8"/>
  <c r="D20" i="8" s="1"/>
  <c r="D17" i="8"/>
  <c r="D112" i="22"/>
  <c r="D55" i="22"/>
  <c r="D47" i="22"/>
  <c r="E113" i="22"/>
  <c r="E56" i="22"/>
  <c r="E48" i="22"/>
  <c r="C56" i="22"/>
  <c r="C48" i="22"/>
  <c r="C38" i="22"/>
  <c r="C55" i="22"/>
  <c r="C47" i="22"/>
  <c r="C37" i="22"/>
  <c r="E55" i="22"/>
  <c r="E47" i="22"/>
  <c r="E37" i="22"/>
  <c r="E112" i="22"/>
  <c r="E306" i="18"/>
  <c r="D310" i="18"/>
  <c r="E310" i="18" s="1"/>
  <c r="C258" i="18"/>
  <c r="C100" i="18"/>
  <c r="C98" i="18"/>
  <c r="C96" i="18"/>
  <c r="C102" i="18" s="1"/>
  <c r="C103" i="18" s="1"/>
  <c r="C89" i="18"/>
  <c r="C87" i="18"/>
  <c r="C85" i="18"/>
  <c r="E85" i="18"/>
  <c r="C83" i="18"/>
  <c r="C101" i="18"/>
  <c r="C99" i="18"/>
  <c r="C97" i="18"/>
  <c r="C95" i="18"/>
  <c r="C88" i="18"/>
  <c r="C86" i="18"/>
  <c r="E86" i="18" s="1"/>
  <c r="C84" i="18"/>
  <c r="C90" i="18" s="1"/>
  <c r="C91" i="18" s="1"/>
  <c r="E252" i="18"/>
  <c r="C92" i="17"/>
  <c r="D208" i="17"/>
  <c r="D291" i="17"/>
  <c r="D175" i="17"/>
  <c r="F272" i="17"/>
  <c r="D28" i="8"/>
  <c r="D99" i="8" s="1"/>
  <c r="D112" i="8"/>
  <c r="D111" i="8"/>
  <c r="C264" i="18"/>
  <c r="C266" i="18"/>
  <c r="C267" i="18" s="1"/>
  <c r="D209" i="17"/>
  <c r="D101" i="8"/>
  <c r="D98" i="8"/>
  <c r="D22" i="8"/>
  <c r="E193" i="17" l="1"/>
  <c r="D266" i="17"/>
  <c r="D282" i="17"/>
  <c r="D194" i="17"/>
  <c r="D196" i="17" s="1"/>
  <c r="C75" i="11"/>
  <c r="F65" i="11"/>
  <c r="D254" i="17"/>
  <c r="D216" i="17"/>
  <c r="E216" i="17" s="1"/>
  <c r="E214" i="17"/>
  <c r="F214" i="17" s="1"/>
  <c r="E154" i="8"/>
  <c r="E153" i="8"/>
  <c r="E156" i="8"/>
  <c r="E152" i="8"/>
  <c r="E155" i="8"/>
  <c r="D162" i="17"/>
  <c r="E157" i="8"/>
  <c r="E287" i="17"/>
  <c r="D289" i="17"/>
  <c r="D91" i="17"/>
  <c r="E21" i="17"/>
  <c r="F21" i="17" s="1"/>
  <c r="D126" i="17"/>
  <c r="D49" i="17"/>
  <c r="D102" i="17"/>
  <c r="E101" i="17"/>
  <c r="F101" i="17" s="1"/>
  <c r="C290" i="17"/>
  <c r="E290" i="17" s="1"/>
  <c r="C199" i="17"/>
  <c r="C200" i="17"/>
  <c r="F198" i="17"/>
  <c r="C274" i="17"/>
  <c r="E198" i="17"/>
  <c r="E295" i="17"/>
  <c r="F295" i="17" s="1"/>
  <c r="F299" i="17"/>
  <c r="D33" i="18"/>
  <c r="E199" i="17"/>
  <c r="D95" i="6"/>
  <c r="E84" i="6"/>
  <c r="F84" i="6" s="1"/>
  <c r="E83" i="18"/>
  <c r="D91" i="18"/>
  <c r="F33" i="5"/>
  <c r="C37" i="17"/>
  <c r="F36" i="17"/>
  <c r="C268" i="17"/>
  <c r="C271" i="17"/>
  <c r="C263" i="17"/>
  <c r="D125" i="17"/>
  <c r="E124" i="17"/>
  <c r="F124" i="17" s="1"/>
  <c r="E130" i="7"/>
  <c r="F130" i="7" s="1"/>
  <c r="D156" i="8"/>
  <c r="D152" i="8"/>
  <c r="D155" i="8"/>
  <c r="D153" i="8"/>
  <c r="D154" i="8"/>
  <c r="D176" i="17"/>
  <c r="H33" i="14"/>
  <c r="H36" i="14" s="1"/>
  <c r="H38" i="14" s="1"/>
  <c r="H40" i="14" s="1"/>
  <c r="F36" i="14"/>
  <c r="F38" i="14" s="1"/>
  <c r="F40" i="14" s="1"/>
  <c r="E111" i="6"/>
  <c r="F111" i="6" s="1"/>
  <c r="E23" i="9"/>
  <c r="F23" i="9"/>
  <c r="E70" i="13"/>
  <c r="E72" i="13" s="1"/>
  <c r="E69" i="13" s="1"/>
  <c r="E22" i="13"/>
  <c r="D17" i="13"/>
  <c r="D28" i="13" s="1"/>
  <c r="D24" i="13"/>
  <c r="D20" i="13" s="1"/>
  <c r="C188" i="7"/>
  <c r="C268" i="18"/>
  <c r="C269" i="18"/>
  <c r="D305" i="17"/>
  <c r="C105" i="18"/>
  <c r="E200" i="17"/>
  <c r="E159" i="17"/>
  <c r="D41" i="4"/>
  <c r="E41" i="4" s="1"/>
  <c r="F41" i="4" s="1"/>
  <c r="E38" i="4"/>
  <c r="F38" i="4" s="1"/>
  <c r="F34" i="12"/>
  <c r="D210" i="17"/>
  <c r="D140" i="17"/>
  <c r="C125" i="17"/>
  <c r="C126" i="17"/>
  <c r="D270" i="17"/>
  <c r="E270" i="17" s="1"/>
  <c r="F270" i="17" s="1"/>
  <c r="E267" i="17"/>
  <c r="F267" i="17" s="1"/>
  <c r="F288" i="17"/>
  <c r="F43" i="6"/>
  <c r="F90" i="6"/>
  <c r="D188" i="7"/>
  <c r="E183" i="7"/>
  <c r="F183" i="7" s="1"/>
  <c r="E112" i="8"/>
  <c r="E111" i="8" s="1"/>
  <c r="E28" i="8"/>
  <c r="C289" i="17"/>
  <c r="E188" i="17"/>
  <c r="F188" i="17" s="1"/>
  <c r="D223" i="18"/>
  <c r="E222" i="18"/>
  <c r="D246" i="18"/>
  <c r="E246" i="18" s="1"/>
  <c r="E46" i="6"/>
  <c r="F46" i="6" s="1"/>
  <c r="E93" i="6"/>
  <c r="E153" i="9"/>
  <c r="F153" i="9"/>
  <c r="E200" i="9"/>
  <c r="C207" i="9"/>
  <c r="F200" i="9"/>
  <c r="E204" i="9"/>
  <c r="F204" i="9"/>
  <c r="D75" i="11"/>
  <c r="E75" i="11" s="1"/>
  <c r="E65" i="11"/>
  <c r="G33" i="14"/>
  <c r="G31" i="14"/>
  <c r="I31" i="14" s="1"/>
  <c r="D156" i="18"/>
  <c r="D163" i="18"/>
  <c r="E163" i="18" s="1"/>
  <c r="D260" i="18"/>
  <c r="E195" i="18"/>
  <c r="D241" i="18"/>
  <c r="E241" i="18" s="1"/>
  <c r="C245" i="18"/>
  <c r="E221" i="18"/>
  <c r="C37" i="19"/>
  <c r="C38" i="19" s="1"/>
  <c r="C127" i="19" s="1"/>
  <c r="C129" i="19" s="1"/>
  <c r="C133" i="19" s="1"/>
  <c r="C22" i="19"/>
  <c r="C102" i="22"/>
  <c r="C103" i="22" s="1"/>
  <c r="C77" i="22"/>
  <c r="C169" i="18"/>
  <c r="F52" i="6"/>
  <c r="E137" i="6"/>
  <c r="F137" i="6" s="1"/>
  <c r="E89" i="17"/>
  <c r="F89" i="17" s="1"/>
  <c r="D90" i="17"/>
  <c r="E90" i="17" s="1"/>
  <c r="F90" i="17" s="1"/>
  <c r="E299" i="17"/>
  <c r="E89" i="18"/>
  <c r="C128" i="18"/>
  <c r="C129" i="18" s="1"/>
  <c r="F206" i="17"/>
  <c r="F284" i="17"/>
  <c r="C110" i="18"/>
  <c r="C116" i="18" s="1"/>
  <c r="C117" i="18" s="1"/>
  <c r="C126" i="18"/>
  <c r="C127" i="18"/>
  <c r="C124" i="18"/>
  <c r="C123" i="18"/>
  <c r="C115" i="18"/>
  <c r="D258" i="18"/>
  <c r="D100" i="18"/>
  <c r="E100" i="18" s="1"/>
  <c r="D101" i="18"/>
  <c r="E101" i="18" s="1"/>
  <c r="D98" i="18"/>
  <c r="E98" i="18" s="1"/>
  <c r="D99" i="18"/>
  <c r="E99" i="18" s="1"/>
  <c r="D96" i="18"/>
  <c r="D95" i="18"/>
  <c r="D87" i="18"/>
  <c r="E87" i="18" s="1"/>
  <c r="F29" i="4"/>
  <c r="E65" i="4"/>
  <c r="F65" i="4" s="1"/>
  <c r="D18" i="5"/>
  <c r="E16" i="5"/>
  <c r="F16" i="5" s="1"/>
  <c r="E41" i="6"/>
  <c r="F41" i="6" s="1"/>
  <c r="D52" i="6"/>
  <c r="E52" i="6" s="1"/>
  <c r="E18" i="7"/>
  <c r="F18" i="7" s="1"/>
  <c r="D95" i="7"/>
  <c r="E179" i="9"/>
  <c r="F179" i="9"/>
  <c r="F216" i="17"/>
  <c r="D90" i="18"/>
  <c r="E90" i="18" s="1"/>
  <c r="E84" i="18"/>
  <c r="F287" i="17"/>
  <c r="C291" i="17"/>
  <c r="E37" i="17"/>
  <c r="C211" i="18"/>
  <c r="C235" i="18" s="1"/>
  <c r="C234" i="18"/>
  <c r="F52" i="17"/>
  <c r="E52" i="17"/>
  <c r="D279" i="17"/>
  <c r="E279" i="17" s="1"/>
  <c r="F279" i="17" s="1"/>
  <c r="E277" i="17"/>
  <c r="F277" i="17" s="1"/>
  <c r="C95" i="6"/>
  <c r="F85" i="6"/>
  <c r="D206" i="17"/>
  <c r="E206" i="17" s="1"/>
  <c r="D261" i="17"/>
  <c r="C42" i="12"/>
  <c r="E34" i="12"/>
  <c r="D62" i="17"/>
  <c r="D139" i="17"/>
  <c r="E139" i="17" s="1"/>
  <c r="F139" i="17" s="1"/>
  <c r="F286" i="17"/>
  <c r="E240" i="18"/>
  <c r="D253" i="18"/>
  <c r="F39" i="20"/>
  <c r="F86" i="6"/>
  <c r="E40" i="12"/>
  <c r="F40" i="12" s="1"/>
  <c r="C15" i="13"/>
  <c r="C25" i="13"/>
  <c r="C27" i="13" s="1"/>
  <c r="E107" i="15"/>
  <c r="F107" i="15" s="1"/>
  <c r="D174" i="17"/>
  <c r="E33" i="5"/>
  <c r="F44" i="6"/>
  <c r="F81" i="6"/>
  <c r="F91" i="6"/>
  <c r="F94" i="6"/>
  <c r="F59" i="10"/>
  <c r="F58" i="17"/>
  <c r="F158" i="17"/>
  <c r="C159" i="17"/>
  <c r="C193" i="17"/>
  <c r="E307" i="17"/>
  <c r="F307" i="17" s="1"/>
  <c r="D43" i="4"/>
  <c r="E43" i="4" s="1"/>
  <c r="F43" i="4" s="1"/>
  <c r="C75" i="4"/>
  <c r="F42" i="6"/>
  <c r="F89" i="6"/>
  <c r="C77" i="8"/>
  <c r="C71" i="8" s="1"/>
  <c r="C88" i="8"/>
  <c r="C90" i="8" s="1"/>
  <c r="C86" i="8" s="1"/>
  <c r="E115" i="9"/>
  <c r="F115" i="9" s="1"/>
  <c r="E128" i="9"/>
  <c r="F128" i="9"/>
  <c r="F84" i="10"/>
  <c r="E84" i="10"/>
  <c r="D43" i="11"/>
  <c r="E43" i="11" s="1"/>
  <c r="F43" i="11" s="1"/>
  <c r="E22" i="11"/>
  <c r="F22" i="11" s="1"/>
  <c r="F285" i="17"/>
  <c r="E306" i="17"/>
  <c r="E16" i="20"/>
  <c r="F16" i="20" s="1"/>
  <c r="D46" i="20"/>
  <c r="E73" i="4"/>
  <c r="F73" i="4" s="1"/>
  <c r="F45" i="6"/>
  <c r="F92" i="6"/>
  <c r="F166" i="6"/>
  <c r="C95" i="7"/>
  <c r="E41" i="7"/>
  <c r="F41" i="7"/>
  <c r="F102" i="9"/>
  <c r="F47" i="12"/>
  <c r="E47" i="12"/>
  <c r="D175" i="18"/>
  <c r="E175" i="18" s="1"/>
  <c r="D210" i="18"/>
  <c r="F48" i="6"/>
  <c r="F51" i="6"/>
  <c r="F87" i="6"/>
  <c r="E20" i="8"/>
  <c r="E149" i="8"/>
  <c r="C208" i="9"/>
  <c r="F199" i="9"/>
  <c r="C284" i="18"/>
  <c r="E284" i="18" s="1"/>
  <c r="C15" i="8"/>
  <c r="C25" i="8"/>
  <c r="C27" i="8" s="1"/>
  <c r="C166" i="8"/>
  <c r="F154" i="9"/>
  <c r="E29" i="11"/>
  <c r="F29" i="11" s="1"/>
  <c r="F75" i="15"/>
  <c r="F29" i="17"/>
  <c r="E162" i="18"/>
  <c r="D23" i="22"/>
  <c r="D33" i="22"/>
  <c r="D34" i="22"/>
  <c r="D57" i="8"/>
  <c r="D62" i="8" s="1"/>
  <c r="E37" i="9"/>
  <c r="E62" i="9"/>
  <c r="E140" i="9"/>
  <c r="F140" i="9" s="1"/>
  <c r="D208" i="9"/>
  <c r="E201" i="9"/>
  <c r="F201" i="9" s="1"/>
  <c r="D122" i="10"/>
  <c r="E122" i="10" s="1"/>
  <c r="F122" i="10" s="1"/>
  <c r="E115" i="10"/>
  <c r="F115" i="10" s="1"/>
  <c r="F164" i="17"/>
  <c r="E280" i="18"/>
  <c r="E291" i="18"/>
  <c r="F153" i="6"/>
  <c r="C149" i="8"/>
  <c r="E180" i="9"/>
  <c r="F180" i="9"/>
  <c r="F60" i="15"/>
  <c r="F30" i="17"/>
  <c r="C31" i="17"/>
  <c r="C172" i="17"/>
  <c r="F121" i="7"/>
  <c r="E167" i="7"/>
  <c r="F167" i="7" s="1"/>
  <c r="E63" i="9"/>
  <c r="F192" i="9"/>
  <c r="F17" i="16"/>
  <c r="E171" i="17"/>
  <c r="F171" i="17" s="1"/>
  <c r="F89" i="9"/>
  <c r="E59" i="10"/>
  <c r="E36" i="17"/>
  <c r="E155" i="17"/>
  <c r="F155" i="17" s="1"/>
  <c r="E38" i="18"/>
  <c r="C163" i="18"/>
  <c r="C217" i="18"/>
  <c r="C241" i="18" s="1"/>
  <c r="E220" i="18"/>
  <c r="C46" i="20"/>
  <c r="F46" i="20" s="1"/>
  <c r="F44" i="20"/>
  <c r="F19" i="21"/>
  <c r="F141" i="9"/>
  <c r="F32" i="12"/>
  <c r="E60" i="15"/>
  <c r="E58" i="17"/>
  <c r="E136" i="17"/>
  <c r="F136" i="17" s="1"/>
  <c r="E145" i="17"/>
  <c r="F145" i="17" s="1"/>
  <c r="E170" i="17"/>
  <c r="F170" i="17" s="1"/>
  <c r="F223" i="17"/>
  <c r="D65" i="18"/>
  <c r="D294" i="18" s="1"/>
  <c r="E294" i="18" s="1"/>
  <c r="D71" i="18"/>
  <c r="E71" i="18" s="1"/>
  <c r="E36" i="10"/>
  <c r="F36" i="10" s="1"/>
  <c r="E92" i="15"/>
  <c r="F92" i="15" s="1"/>
  <c r="E30" i="17"/>
  <c r="F47" i="17"/>
  <c r="E40" i="20"/>
  <c r="F40" i="20" s="1"/>
  <c r="F45" i="20"/>
  <c r="F101" i="9"/>
  <c r="F114" i="9"/>
  <c r="F35" i="17"/>
  <c r="E47" i="17"/>
  <c r="E53" i="17"/>
  <c r="F53" i="17" s="1"/>
  <c r="F165" i="17"/>
  <c r="E283" i="18"/>
  <c r="F23" i="20"/>
  <c r="E21" i="21"/>
  <c r="F21" i="21" s="1"/>
  <c r="F25" i="20"/>
  <c r="D197" i="17" l="1"/>
  <c r="C21" i="8"/>
  <c r="C131" i="18"/>
  <c r="D309" i="17"/>
  <c r="E126" i="17"/>
  <c r="F126" i="17" s="1"/>
  <c r="D127" i="17"/>
  <c r="E254" i="17"/>
  <c r="F254" i="17" s="1"/>
  <c r="C24" i="8"/>
  <c r="C20" i="8" s="1"/>
  <c r="C17" i="8"/>
  <c r="F75" i="4"/>
  <c r="E41" i="20"/>
  <c r="F41" i="20" s="1"/>
  <c r="C109" i="22"/>
  <c r="C108" i="22"/>
  <c r="C111" i="22"/>
  <c r="C112" i="22"/>
  <c r="C113" i="22"/>
  <c r="C110" i="22"/>
  <c r="E22" i="8"/>
  <c r="E99" i="8"/>
  <c r="E101" i="8" s="1"/>
  <c r="E98" i="8" s="1"/>
  <c r="F200" i="17"/>
  <c r="D76" i="18"/>
  <c r="D254" i="18"/>
  <c r="E254" i="18" s="1"/>
  <c r="C305" i="17"/>
  <c r="F291" i="17"/>
  <c r="E258" i="18"/>
  <c r="E260" i="18"/>
  <c r="C271" i="18"/>
  <c r="F37" i="17"/>
  <c r="E33" i="18"/>
  <c r="F199" i="17"/>
  <c r="E158" i="8"/>
  <c r="F75" i="11"/>
  <c r="D211" i="18"/>
  <c r="D180" i="18"/>
  <c r="E180" i="18" s="1"/>
  <c r="D234" i="18"/>
  <c r="E234" i="18" s="1"/>
  <c r="E210" i="18"/>
  <c r="E95" i="7"/>
  <c r="C127" i="17"/>
  <c r="F290" i="17"/>
  <c r="F208" i="9"/>
  <c r="E156" i="18"/>
  <c r="D168" i="18"/>
  <c r="E168" i="18" s="1"/>
  <c r="D157" i="18"/>
  <c r="E125" i="17"/>
  <c r="F125" i="17" s="1"/>
  <c r="E91" i="18"/>
  <c r="E289" i="17"/>
  <c r="F289" i="17" s="1"/>
  <c r="E282" i="17"/>
  <c r="D281" i="17"/>
  <c r="E140" i="8"/>
  <c r="E138" i="8"/>
  <c r="E136" i="8"/>
  <c r="E137" i="8"/>
  <c r="E139" i="8"/>
  <c r="E135" i="8"/>
  <c r="C194" i="17"/>
  <c r="F193" i="17"/>
  <c r="C266" i="17"/>
  <c r="E266" i="17" s="1"/>
  <c r="C282" i="17"/>
  <c r="D102" i="18"/>
  <c r="E102" i="18" s="1"/>
  <c r="E96" i="18"/>
  <c r="E223" i="18"/>
  <c r="D247" i="18"/>
  <c r="E247" i="18" s="1"/>
  <c r="D70" i="13"/>
  <c r="D72" i="13" s="1"/>
  <c r="D69" i="13" s="1"/>
  <c r="D22" i="13"/>
  <c r="F263" i="17"/>
  <c r="D103" i="17"/>
  <c r="E102" i="17"/>
  <c r="F102" i="17" s="1"/>
  <c r="D265" i="17"/>
  <c r="C32" i="17"/>
  <c r="E31" i="17"/>
  <c r="F31" i="17" s="1"/>
  <c r="D21" i="5"/>
  <c r="E18" i="5"/>
  <c r="F18" i="5" s="1"/>
  <c r="F95" i="7"/>
  <c r="C21" i="13"/>
  <c r="E42" i="12"/>
  <c r="F42" i="12" s="1"/>
  <c r="C49" i="12"/>
  <c r="D195" i="17"/>
  <c r="D66" i="18"/>
  <c r="E66" i="18" s="1"/>
  <c r="E65" i="18"/>
  <c r="D271" i="17"/>
  <c r="D263" i="17"/>
  <c r="E263" i="17" s="1"/>
  <c r="D268" i="17"/>
  <c r="E268" i="17" s="1"/>
  <c r="E261" i="17"/>
  <c r="F261" i="17" s="1"/>
  <c r="E207" i="9"/>
  <c r="F207" i="9"/>
  <c r="C173" i="17"/>
  <c r="F172" i="17"/>
  <c r="C207" i="17"/>
  <c r="E172" i="17"/>
  <c r="C253" i="18"/>
  <c r="C254" i="18" s="1"/>
  <c r="E245" i="18"/>
  <c r="I33" i="14"/>
  <c r="I36" i="14" s="1"/>
  <c r="I38" i="14" s="1"/>
  <c r="I40" i="14" s="1"/>
  <c r="G36" i="14"/>
  <c r="G38" i="14" s="1"/>
  <c r="G40" i="14" s="1"/>
  <c r="D141" i="17"/>
  <c r="C273" i="17"/>
  <c r="D63" i="17"/>
  <c r="C181" i="18"/>
  <c r="E91" i="17"/>
  <c r="F91" i="17" s="1"/>
  <c r="D92" i="17"/>
  <c r="C24" i="13"/>
  <c r="C20" i="13" s="1"/>
  <c r="C17" i="13"/>
  <c r="C28" i="13" s="1"/>
  <c r="C70" i="13" s="1"/>
  <c r="C72" i="13" s="1"/>
  <c r="C69" i="13" s="1"/>
  <c r="E75" i="4"/>
  <c r="E95" i="18"/>
  <c r="E188" i="7"/>
  <c r="F188" i="7" s="1"/>
  <c r="C136" i="8"/>
  <c r="C137" i="8"/>
  <c r="C140" i="8"/>
  <c r="C139" i="8"/>
  <c r="C135" i="8"/>
  <c r="C138" i="8"/>
  <c r="F159" i="17"/>
  <c r="C161" i="17"/>
  <c r="C160" i="17"/>
  <c r="E208" i="9"/>
  <c r="D54" i="22"/>
  <c r="D111" i="22"/>
  <c r="D36" i="22"/>
  <c r="D46" i="22"/>
  <c r="D30" i="22"/>
  <c r="D40" i="22"/>
  <c r="C154" i="8"/>
  <c r="C152" i="8"/>
  <c r="C157" i="8"/>
  <c r="C155" i="8"/>
  <c r="C156" i="8"/>
  <c r="C153" i="8"/>
  <c r="F95" i="6"/>
  <c r="E217" i="18"/>
  <c r="D211" i="17"/>
  <c r="E291" i="17"/>
  <c r="D158" i="8"/>
  <c r="F268" i="17"/>
  <c r="E95" i="6"/>
  <c r="C300" i="17"/>
  <c r="E274" i="17"/>
  <c r="F274" i="17"/>
  <c r="D50" i="17"/>
  <c r="E49" i="17"/>
  <c r="F49" i="17" s="1"/>
  <c r="D323" i="17"/>
  <c r="D183" i="17"/>
  <c r="D35" i="5" l="1"/>
  <c r="E21" i="5"/>
  <c r="F21" i="5" s="1"/>
  <c r="C141" i="8"/>
  <c r="E281" i="17"/>
  <c r="C28" i="8"/>
  <c r="C112" i="8"/>
  <c r="C111" i="8" s="1"/>
  <c r="C195" i="17"/>
  <c r="C196" i="17"/>
  <c r="C309" i="17"/>
  <c r="F305" i="17"/>
  <c r="F207" i="17"/>
  <c r="C208" i="17"/>
  <c r="C210" i="17" s="1"/>
  <c r="E207" i="17"/>
  <c r="C62" i="17"/>
  <c r="C105" i="17"/>
  <c r="C140" i="17"/>
  <c r="C175" i="17"/>
  <c r="E32" i="17"/>
  <c r="F32" i="17" s="1"/>
  <c r="D181" i="18"/>
  <c r="E181" i="18" s="1"/>
  <c r="E211" i="18"/>
  <c r="D235" i="18"/>
  <c r="E235" i="18" s="1"/>
  <c r="C158" i="8"/>
  <c r="E92" i="17"/>
  <c r="F92" i="17" s="1"/>
  <c r="D322" i="17"/>
  <c r="E253" i="18"/>
  <c r="E160" i="17"/>
  <c r="F160" i="17"/>
  <c r="C174" i="17"/>
  <c r="E173" i="17"/>
  <c r="F173" i="17" s="1"/>
  <c r="C22" i="13"/>
  <c r="D77" i="18"/>
  <c r="E76" i="18"/>
  <c r="D259" i="18"/>
  <c r="D148" i="17"/>
  <c r="E127" i="17"/>
  <c r="F127" i="17" s="1"/>
  <c r="C265" i="17"/>
  <c r="F266" i="17"/>
  <c r="D70" i="17"/>
  <c r="E50" i="17"/>
  <c r="F50" i="17" s="1"/>
  <c r="E300" i="17"/>
  <c r="F300" i="17" s="1"/>
  <c r="C162" i="17"/>
  <c r="E161" i="17"/>
  <c r="F161" i="17" s="1"/>
  <c r="E49" i="12"/>
  <c r="F49" i="12" s="1"/>
  <c r="E157" i="18"/>
  <c r="D169" i="18"/>
  <c r="E169" i="18" s="1"/>
  <c r="E271" i="17"/>
  <c r="F271" i="17" s="1"/>
  <c r="D304" i="17"/>
  <c r="D273" i="17"/>
  <c r="E273" i="17" s="1"/>
  <c r="F273" i="17" s="1"/>
  <c r="E141" i="8"/>
  <c r="E195" i="17"/>
  <c r="D56" i="22"/>
  <c r="D38" i="22"/>
  <c r="D113" i="22"/>
  <c r="D48" i="22"/>
  <c r="D103" i="18"/>
  <c r="E194" i="17"/>
  <c r="F194" i="17" s="1"/>
  <c r="D104" i="17"/>
  <c r="E104" i="17" s="1"/>
  <c r="F104" i="17" s="1"/>
  <c r="E103" i="17"/>
  <c r="F103" i="17" s="1"/>
  <c r="D105" i="17"/>
  <c r="F282" i="17"/>
  <c r="C281" i="17"/>
  <c r="D295" i="18"/>
  <c r="E295" i="18" s="1"/>
  <c r="E305" i="17"/>
  <c r="E210" i="17" l="1"/>
  <c r="F210" i="17" s="1"/>
  <c r="E162" i="17"/>
  <c r="F162" i="17" s="1"/>
  <c r="C310" i="17"/>
  <c r="E103" i="18"/>
  <c r="D105" i="18"/>
  <c r="E105" i="18" s="1"/>
  <c r="D263" i="18"/>
  <c r="E259" i="18"/>
  <c r="C106" i="17"/>
  <c r="F105" i="17"/>
  <c r="C99" i="8"/>
  <c r="C101" i="8" s="1"/>
  <c r="C98" i="8" s="1"/>
  <c r="C22" i="8"/>
  <c r="D310" i="17"/>
  <c r="E304" i="17"/>
  <c r="F304" i="17" s="1"/>
  <c r="E174" i="17"/>
  <c r="F174" i="17" s="1"/>
  <c r="C176" i="17"/>
  <c r="C323" i="17" s="1"/>
  <c r="F175" i="17"/>
  <c r="E175" i="17"/>
  <c r="C141" i="17"/>
  <c r="E140" i="17"/>
  <c r="F140" i="17" s="1"/>
  <c r="C197" i="17"/>
  <c r="E196" i="17"/>
  <c r="F196" i="17" s="1"/>
  <c r="E309" i="17"/>
  <c r="F309" i="17" s="1"/>
  <c r="D106" i="17"/>
  <c r="E105" i="17"/>
  <c r="E208" i="17"/>
  <c r="F208" i="17"/>
  <c r="C209" i="17"/>
  <c r="F281" i="17"/>
  <c r="D127" i="18"/>
  <c r="E127" i="18" s="1"/>
  <c r="D126" i="18"/>
  <c r="E126" i="18" s="1"/>
  <c r="D125" i="18"/>
  <c r="E125" i="18" s="1"/>
  <c r="D124" i="18"/>
  <c r="E124" i="18" s="1"/>
  <c r="D123" i="18"/>
  <c r="E123" i="18" s="1"/>
  <c r="D115" i="18"/>
  <c r="E115" i="18" s="1"/>
  <c r="D114" i="18"/>
  <c r="E114" i="18" s="1"/>
  <c r="D111" i="18"/>
  <c r="E111" i="18" s="1"/>
  <c r="D109" i="18"/>
  <c r="D112" i="18"/>
  <c r="E112" i="18" s="1"/>
  <c r="D121" i="18"/>
  <c r="E77" i="18"/>
  <c r="D122" i="18"/>
  <c r="D113" i="18"/>
  <c r="E113" i="18" s="1"/>
  <c r="D110" i="18"/>
  <c r="E265" i="17"/>
  <c r="F265" i="17" s="1"/>
  <c r="F62" i="17"/>
  <c r="C63" i="17"/>
  <c r="E62" i="17"/>
  <c r="F195" i="17"/>
  <c r="E35" i="5"/>
  <c r="F35" i="5" s="1"/>
  <c r="D43" i="5"/>
  <c r="E323" i="17" l="1"/>
  <c r="F323" i="17" s="1"/>
  <c r="E109" i="18"/>
  <c r="F106" i="17"/>
  <c r="C324" i="17"/>
  <c r="C113" i="17"/>
  <c r="F209" i="17"/>
  <c r="E209" i="17"/>
  <c r="F197" i="17"/>
  <c r="E197" i="17"/>
  <c r="E263" i="18"/>
  <c r="D264" i="18"/>
  <c r="E43" i="5"/>
  <c r="F43" i="5" s="1"/>
  <c r="D50" i="5"/>
  <c r="E50" i="5" s="1"/>
  <c r="F50" i="5" s="1"/>
  <c r="C183" i="17"/>
  <c r="E122" i="18"/>
  <c r="D128" i="18"/>
  <c r="E128" i="18" s="1"/>
  <c r="D312" i="17"/>
  <c r="E310" i="17"/>
  <c r="E176" i="17"/>
  <c r="F176" i="17" s="1"/>
  <c r="E110" i="18"/>
  <c r="D116" i="18"/>
  <c r="E116" i="18" s="1"/>
  <c r="E121" i="18"/>
  <c r="D129" i="18"/>
  <c r="E129" i="18" s="1"/>
  <c r="C211" i="17"/>
  <c r="C322" i="17"/>
  <c r="C148" i="17"/>
  <c r="E141" i="17"/>
  <c r="F141" i="17" s="1"/>
  <c r="F63" i="17"/>
  <c r="C70" i="17"/>
  <c r="E63" i="17"/>
  <c r="E106" i="17"/>
  <c r="D324" i="17"/>
  <c r="D113" i="17"/>
  <c r="C312" i="17"/>
  <c r="F310" i="17"/>
  <c r="E183" i="17" l="1"/>
  <c r="F183" i="17" s="1"/>
  <c r="E148" i="17"/>
  <c r="F148" i="17" s="1"/>
  <c r="E113" i="17"/>
  <c r="E324" i="17"/>
  <c r="F324" i="17" s="1"/>
  <c r="D325" i="17"/>
  <c r="E325" i="17" s="1"/>
  <c r="F312" i="17"/>
  <c r="C313" i="17"/>
  <c r="C325" i="17"/>
  <c r="E322" i="17"/>
  <c r="F322" i="17" s="1"/>
  <c r="E264" i="18"/>
  <c r="D266" i="18"/>
  <c r="F211" i="17"/>
  <c r="E211" i="17"/>
  <c r="E312" i="17"/>
  <c r="D313" i="17"/>
  <c r="D117" i="18"/>
  <c r="F113" i="17"/>
  <c r="E70" i="17"/>
  <c r="F70" i="17" s="1"/>
  <c r="E117" i="18" l="1"/>
  <c r="D131" i="18"/>
  <c r="E131" i="18" s="1"/>
  <c r="D251" i="17"/>
  <c r="D315" i="17"/>
  <c r="E315" i="17" s="1"/>
  <c r="D314" i="17"/>
  <c r="E313" i="17"/>
  <c r="D256" i="17"/>
  <c r="E266" i="18"/>
  <c r="D267" i="18"/>
  <c r="F325" i="17"/>
  <c r="C315" i="17"/>
  <c r="C314" i="17"/>
  <c r="C256" i="17"/>
  <c r="F313" i="17"/>
  <c r="C251" i="17"/>
  <c r="E256" i="17" l="1"/>
  <c r="D257" i="17"/>
  <c r="F256" i="17"/>
  <c r="C257" i="17"/>
  <c r="F315" i="17"/>
  <c r="F251" i="17"/>
  <c r="D318" i="17"/>
  <c r="E318" i="17" s="1"/>
  <c r="E314" i="17"/>
  <c r="F314" i="17" s="1"/>
  <c r="C318" i="17"/>
  <c r="E251" i="17"/>
  <c r="D269" i="18"/>
  <c r="E269" i="18" s="1"/>
  <c r="E267" i="18"/>
  <c r="D268" i="18"/>
  <c r="E268" i="18" l="1"/>
  <c r="D271" i="18"/>
  <c r="E271" i="18" s="1"/>
  <c r="E257" i="17"/>
  <c r="F257" i="17" s="1"/>
  <c r="F318" i="17"/>
</calcChain>
</file>

<file path=xl/sharedStrings.xml><?xml version="1.0" encoding="utf-8"?>
<sst xmlns="http://schemas.openxmlformats.org/spreadsheetml/2006/main" count="2334" uniqueCount="1009">
  <si>
    <t>CHARLOTTE HUNGERFORD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</si>
  <si>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</si>
  <si>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</si>
  <si>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</si>
  <si>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</si>
  <si>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</si>
  <si>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</si>
  <si>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</si>
  <si>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</si>
  <si>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</si>
  <si>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</si>
  <si>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</si>
  <si>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</si>
  <si>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</si>
  <si>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</si>
  <si>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</si>
  <si>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</si>
  <si>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</si>
  <si>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</si>
  <si>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</si>
  <si>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</si>
  <si>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</si>
  <si>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</si>
  <si>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</si>
  <si>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</si>
  <si>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</si>
  <si>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</si>
  <si>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</si>
  <si>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</si>
  <si>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</si>
  <si>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</si>
  <si>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</si>
  <si>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</si>
  <si>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</si>
  <si>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</si>
  <si>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</si>
  <si>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</si>
  <si>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</si>
  <si>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</si>
  <si>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</si>
  <si>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</si>
  <si>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</si>
  <si>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</si>
  <si>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</si>
  <si>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</si>
  <si>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</si>
  <si>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</si>
  <si>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</si>
  <si>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</si>
  <si>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</si>
  <si>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</si>
  <si>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</si>
  <si>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</si>
  <si>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</si>
  <si>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</si>
  <si>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</si>
  <si>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</si>
  <si>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</si>
  <si>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</si>
  <si>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</si>
  <si>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</si>
  <si>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</si>
  <si>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</si>
  <si>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</si>
  <si>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</si>
  <si>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</si>
  <si>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</si>
  <si>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</si>
  <si>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</si>
  <si>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</si>
  <si>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</si>
  <si>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</si>
  <si>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</si>
  <si>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</si>
  <si>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</si>
  <si>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</si>
  <si>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</si>
  <si>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</si>
  <si>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</si>
  <si>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</si>
  <si>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</si>
  <si>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</si>
  <si>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</si>
  <si>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</si>
  <si>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</si>
  <si>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</si>
  <si>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</si>
  <si>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</si>
  <si>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</si>
  <si>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</si>
  <si>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</si>
  <si>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</si>
  <si>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</si>
  <si>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</si>
  <si>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</si>
  <si>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</si>
  <si>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</si>
  <si>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</si>
  <si>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</si>
  <si>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</si>
  <si>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</si>
  <si>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</si>
  <si>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</si>
  <si>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</si>
  <si>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</si>
  <si>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</si>
  <si>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</si>
  <si>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</si>
  <si>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</si>
  <si>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</si>
  <si>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</si>
  <si>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</si>
  <si>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</si>
  <si>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</si>
  <si>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</si>
  <si>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</si>
  <si>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</si>
  <si>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</si>
  <si>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</si>
  <si>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</si>
  <si>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</si>
  <si>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</si>
  <si>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</si>
  <si>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</si>
  <si>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</si>
  <si>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</si>
  <si>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</si>
  <si>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</si>
  <si>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</si>
  <si>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</si>
  <si>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</si>
  <si>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</si>
  <si>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</si>
  <si>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</si>
  <si>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</si>
  <si>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</si>
  <si>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</si>
  <si>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</si>
  <si>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</si>
  <si>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</si>
  <si>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</si>
  <si>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</si>
  <si>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</si>
  <si>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</si>
  <si>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</si>
  <si>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</si>
  <si>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</si>
  <si>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</si>
  <si>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</si>
  <si>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</si>
  <si>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</si>
  <si>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</si>
  <si>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</si>
  <si>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</si>
  <si>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</si>
  <si>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</si>
  <si>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</si>
  <si>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</si>
  <si>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</si>
  <si>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</si>
  <si>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</si>
  <si>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</si>
  <si>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</si>
  <si>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</si>
  <si>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</si>
  <si>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</si>
  <si>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</si>
  <si>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</si>
  <si>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</si>
  <si>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</si>
  <si>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</si>
  <si>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</si>
  <si>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</si>
  <si>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</si>
  <si>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</si>
  <si>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</si>
  <si>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</si>
  <si>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</si>
  <si>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</si>
  <si>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</si>
  <si>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</si>
  <si>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</si>
  <si>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</si>
  <si>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</si>
  <si>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</si>
  <si>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</si>
  <si>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</si>
  <si>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</si>
  <si>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</si>
  <si>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</si>
  <si>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</si>
  <si>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</si>
  <si>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</si>
  <si>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</si>
  <si>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</si>
  <si>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</si>
  <si>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</si>
  <si>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</si>
  <si>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</si>
  <si>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</si>
  <si>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</si>
  <si>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</si>
  <si>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</si>
  <si>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</si>
  <si>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</si>
  <si>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</si>
  <si>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</si>
  <si>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</si>
  <si>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</si>
  <si>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</si>
  <si>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</si>
  <si>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</si>
  <si>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</si>
  <si>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</si>
  <si>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</si>
  <si>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</si>
  <si>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</si>
  <si>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</si>
  <si>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</si>
  <si>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</si>
  <si>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</si>
  <si>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</si>
  <si>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</si>
  <si>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</si>
  <si>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</si>
  <si>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</si>
  <si>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</si>
  <si>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</si>
  <si>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</si>
  <si>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</si>
  <si>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</si>
  <si>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</si>
  <si>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</si>
  <si>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</si>
  <si>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</si>
  <si>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</si>
  <si>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</si>
  <si>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</si>
  <si>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</si>
  <si>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</si>
  <si>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</si>
  <si>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</si>
  <si>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</si>
  <si>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</si>
  <si>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</si>
  <si>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</si>
  <si>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</si>
  <si>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</si>
  <si>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</si>
  <si>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</si>
  <si>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</si>
  <si>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</si>
  <si>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</si>
  <si>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</si>
  <si>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</si>
  <si>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</si>
  <si>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</si>
  <si>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</si>
  <si>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</si>
  <si>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</si>
  <si>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</si>
  <si>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</si>
  <si>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</si>
  <si>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</si>
  <si>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</si>
  <si>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</si>
  <si>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</si>
  <si>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</si>
  <si>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</si>
  <si>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</si>
  <si>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</si>
  <si>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</si>
  <si>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</si>
  <si>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</si>
  <si>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</si>
  <si>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</si>
  <si>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</si>
  <si>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</si>
  <si>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</si>
  <si>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</si>
  <si>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</si>
  <si>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</si>
  <si>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</si>
  <si>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</si>
  <si>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</si>
  <si>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</si>
  <si>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</si>
  <si>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</si>
  <si>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</si>
  <si>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</si>
  <si>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</si>
  <si>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</si>
  <si>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</si>
  <si>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</si>
  <si>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</si>
  <si>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</si>
  <si>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</si>
  <si>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</si>
  <si>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</si>
  <si>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</si>
  <si>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</si>
  <si>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</si>
  <si>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</si>
  <si>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</si>
  <si>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</si>
  <si>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</si>
  <si>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</si>
  <si>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</si>
  <si>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</si>
  <si>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</si>
  <si>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</si>
  <si>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</si>
  <si>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</si>
  <si>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</si>
  <si>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</si>
  <si>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</si>
  <si>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</si>
  <si>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</si>
  <si>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</si>
  <si>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</si>
  <si>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</si>
  <si>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</si>
  <si>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</si>
  <si>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</si>
  <si>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</si>
  <si>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</si>
  <si>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</si>
  <si>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</si>
  <si>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</si>
  <si>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</si>
  <si>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</si>
  <si>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</si>
  <si>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</si>
  <si>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</si>
  <si>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</si>
  <si>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</si>
  <si>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</si>
  <si>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</si>
  <si>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</si>
  <si>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</si>
  <si>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</si>
  <si>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</si>
  <si>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</si>
  <si>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</si>
  <si>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</si>
  <si>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</si>
  <si>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</si>
  <si>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</si>
  <si>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</si>
  <si>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</si>
  <si>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</si>
  <si>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</si>
  <si>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</si>
  <si>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</si>
  <si>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</si>
  <si>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</si>
  <si>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</si>
  <si>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</si>
  <si>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</si>
  <si>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</si>
  <si>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</si>
  <si>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</si>
  <si>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</si>
  <si>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</si>
  <si>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</si>
  <si>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</si>
  <si>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</si>
  <si>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</si>
  <si>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</si>
  <si>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</si>
  <si>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</si>
  <si>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</si>
  <si>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</si>
  <si>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</si>
  <si>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</si>
  <si>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</si>
  <si>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</si>
  <si>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</si>
  <si>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</si>
  <si>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</si>
  <si>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</si>
  <si>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</si>
  <si>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</si>
  <si>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</si>
  <si>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</si>
  <si>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</si>
  <si>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</si>
  <si>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</si>
  <si>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</si>
  <si>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</si>
  <si>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</si>
  <si>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</si>
  <si>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</si>
  <si>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</si>
  <si>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</si>
  <si>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</si>
  <si>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</si>
  <si>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</si>
  <si>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</si>
  <si>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</si>
  <si>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</si>
  <si>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</si>
  <si>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</si>
  <si>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</si>
  <si>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</si>
  <si>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</si>
  <si>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</si>
  <si>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</si>
  <si>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</si>
  <si>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</si>
  <si>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</si>
  <si>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</si>
  <si>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</si>
  <si>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</si>
  <si>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</si>
  <si>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</si>
  <si>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</si>
  <si>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</si>
  <si>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</si>
  <si>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</si>
  <si>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</si>
  <si>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</si>
  <si>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</si>
  <si>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</si>
  <si>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</si>
  <si>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</si>
  <si>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</si>
  <si>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</si>
  <si>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</si>
  <si>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</si>
  <si>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</si>
  <si>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</si>
  <si>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</si>
  <si>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</si>
  <si>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</si>
  <si>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</si>
  <si>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</si>
  <si>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</si>
  <si>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</si>
  <si>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</si>
  <si>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</si>
  <si>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</si>
  <si>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</si>
  <si>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</si>
  <si>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</si>
  <si>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</si>
  <si>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</si>
  <si>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</si>
  <si>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</si>
  <si>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</si>
  <si>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</si>
  <si>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</si>
  <si>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</si>
  <si>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</si>
  <si>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</si>
  <si>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</si>
  <si>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</si>
  <si>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</si>
  <si>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</si>
  <si>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</si>
  <si>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</si>
  <si>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</si>
  <si>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</si>
  <si>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</si>
  <si>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</si>
  <si>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</si>
  <si>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</si>
  <si>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</si>
  <si>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</si>
  <si>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</si>
  <si>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</si>
  <si>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</si>
  <si>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</si>
  <si>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</si>
  <si>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</si>
  <si>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</si>
  <si>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</si>
  <si>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</si>
  <si>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</si>
  <si>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</si>
  <si>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</si>
  <si>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</si>
  <si>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</si>
  <si>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</si>
  <si>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</si>
  <si>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</si>
  <si>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</si>
  <si>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</si>
  <si>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</si>
  <si>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</si>
  <si>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</si>
  <si>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</si>
  <si>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</si>
  <si>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</si>
  <si>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</si>
  <si>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</si>
  <si>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</si>
  <si>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</si>
  <si>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</si>
  <si>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</si>
  <si>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THE CHARLOTTE HUNGERFORD HOSPITAL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</si>
  <si>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</si>
  <si>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</si>
  <si>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</si>
  <si>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</si>
  <si>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</si>
  <si>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</si>
  <si>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</si>
  <si>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</si>
  <si>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</si>
  <si>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</si>
  <si>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</si>
  <si>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</si>
  <si>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</si>
  <si>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</si>
  <si>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</si>
  <si>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</si>
  <si>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</si>
  <si>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</si>
  <si>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</si>
  <si>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</si>
  <si>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</si>
  <si>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</si>
  <si>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</si>
  <si>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</si>
  <si>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</si>
  <si>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</si>
  <si>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</si>
  <si>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</si>
  <si>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</si>
  <si>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</si>
  <si>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</si>
  <si>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</si>
  <si>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</si>
  <si>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</si>
  <si>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</si>
  <si>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</si>
  <si>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</si>
  <si>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</si>
  <si>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</si>
  <si>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</si>
  <si>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</si>
  <si>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</si>
  <si>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</si>
  <si>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</si>
  <si>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</si>
  <si>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</si>
  <si>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</si>
  <si>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</si>
  <si>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</si>
  <si>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</si>
  <si>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</si>
  <si>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</si>
  <si>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</si>
  <si>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</si>
  <si>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</si>
  <si>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</si>
  <si>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</si>
  <si>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</si>
  <si>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</si>
  <si>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</si>
  <si>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</si>
  <si>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</si>
  <si>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</si>
  <si>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</si>
  <si>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</si>
  <si>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</si>
  <si>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</si>
  <si>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</si>
  <si>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</si>
  <si>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</si>
  <si>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</si>
  <si>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</si>
  <si>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</si>
  <si>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</si>
  <si>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</si>
  <si>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</si>
  <si>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</si>
  <si>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</si>
  <si>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</si>
  <si>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</si>
  <si>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</si>
  <si>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</si>
  <si>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</si>
  <si>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</si>
  <si>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</si>
  <si>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</si>
  <si>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</si>
  <si>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</si>
  <si>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</si>
  <si>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</si>
  <si>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</si>
  <si>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</si>
  <si>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</si>
  <si>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</si>
  <si>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</si>
  <si>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</si>
  <si>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</si>
  <si>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</si>
  <si>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</si>
  <si>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</si>
  <si>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</si>
  <si>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</si>
  <si>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</si>
  <si>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</si>
  <si>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</si>
  <si>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</si>
  <si>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</si>
  <si>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</si>
  <si>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</si>
  <si>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</si>
  <si>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</si>
  <si>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</si>
  <si>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</si>
  <si>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</si>
  <si>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</si>
  <si>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</si>
  <si>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</si>
  <si>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</si>
  <si>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</si>
  <si>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</si>
  <si>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Charlotte Hungerford Hospital</t>
  </si>
  <si>
    <t>Total Outpatient Surgical Procedures(A)</t>
  </si>
  <si>
    <t>Total Outpatient Endoscopy Procedures(B)</t>
  </si>
  <si>
    <t>Outpatient Hospital Emergency Room Visits</t>
  </si>
  <si>
    <t>HEMC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</si>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</sst>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9871014</v>
      </c>
      <c r="D13" s="22">
        <v>8948706</v>
      </c>
      <c r="E13" s="22">
        <f t="shared" ref="E13:E22" si="0">D13-C13</f>
        <v>-922308</v>
      </c>
      <c r="F13" s="23">
        <f t="shared" ref="F13:F22" si="1">IF(C13=0,0,E13/C13)</f>
        <v>-9.3435993505834355E-2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13441101</v>
      </c>
      <c r="D15" s="22">
        <v>13504471</v>
      </c>
      <c r="E15" s="22">
        <f t="shared" si="0"/>
        <v>63370</v>
      </c>
      <c r="F15" s="23">
        <f t="shared" si="1"/>
        <v>4.7146435399897674E-3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971585</v>
      </c>
      <c r="D18" s="22">
        <v>840007</v>
      </c>
      <c r="E18" s="22">
        <f t="shared" si="0"/>
        <v>-131578</v>
      </c>
      <c r="F18" s="23">
        <f t="shared" si="1"/>
        <v>-0.13542613358584168</v>
      </c>
    </row>
    <row r="19" spans="1:11" ht="24" customHeight="1" x14ac:dyDescent="0.2">
      <c r="A19" s="20">
        <v>7</v>
      </c>
      <c r="B19" s="21" t="s">
        <v>22</v>
      </c>
      <c r="C19" s="22">
        <v>2025113</v>
      </c>
      <c r="D19" s="22">
        <v>2092246</v>
      </c>
      <c r="E19" s="22">
        <f t="shared" si="0"/>
        <v>67133</v>
      </c>
      <c r="F19" s="23">
        <f t="shared" si="1"/>
        <v>3.315024889969103E-2</v>
      </c>
    </row>
    <row r="20" spans="1:11" ht="24" customHeight="1" x14ac:dyDescent="0.2">
      <c r="A20" s="20">
        <v>8</v>
      </c>
      <c r="B20" s="21" t="s">
        <v>23</v>
      </c>
      <c r="C20" s="22">
        <v>0</v>
      </c>
      <c r="D20" s="22">
        <v>0</v>
      </c>
      <c r="E20" s="22">
        <f t="shared" si="0"/>
        <v>0</v>
      </c>
      <c r="F20" s="23">
        <f t="shared" si="1"/>
        <v>0</v>
      </c>
    </row>
    <row r="21" spans="1:11" ht="24" customHeight="1" x14ac:dyDescent="0.2">
      <c r="A21" s="20">
        <v>9</v>
      </c>
      <c r="B21" s="21" t="s">
        <v>24</v>
      </c>
      <c r="C21" s="22">
        <v>1717026</v>
      </c>
      <c r="D21" s="22">
        <v>2724846</v>
      </c>
      <c r="E21" s="22">
        <f t="shared" si="0"/>
        <v>1007820</v>
      </c>
      <c r="F21" s="23">
        <f t="shared" si="1"/>
        <v>0.58695674963570732</v>
      </c>
    </row>
    <row r="22" spans="1:11" ht="24" customHeight="1" x14ac:dyDescent="0.25">
      <c r="A22" s="24"/>
      <c r="B22" s="25" t="s">
        <v>25</v>
      </c>
      <c r="C22" s="26">
        <f>SUM(C13:C21)</f>
        <v>28025839</v>
      </c>
      <c r="D22" s="26">
        <f>SUM(D13:D21)</f>
        <v>28110276</v>
      </c>
      <c r="E22" s="26">
        <f t="shared" si="0"/>
        <v>84437</v>
      </c>
      <c r="F22" s="27">
        <f t="shared" si="1"/>
        <v>3.0128268416870587E-3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18116227</v>
      </c>
      <c r="D25" s="22">
        <v>20525079</v>
      </c>
      <c r="E25" s="22">
        <f>D25-C25</f>
        <v>2408852</v>
      </c>
      <c r="F25" s="23">
        <f>IF(C25=0,0,E25/C25)</f>
        <v>0.13296653878315834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400278</v>
      </c>
      <c r="D27" s="22">
        <v>0</v>
      </c>
      <c r="E27" s="22">
        <f>D27-C27</f>
        <v>-400278</v>
      </c>
      <c r="F27" s="23">
        <f>IF(C27=0,0,E27/C27)</f>
        <v>-1</v>
      </c>
    </row>
    <row r="28" spans="1:11" ht="24" customHeight="1" x14ac:dyDescent="0.2">
      <c r="A28" s="20">
        <v>4</v>
      </c>
      <c r="B28" s="21" t="s">
        <v>31</v>
      </c>
      <c r="C28" s="22">
        <v>6989321</v>
      </c>
      <c r="D28" s="22">
        <v>7067123</v>
      </c>
      <c r="E28" s="22">
        <f>D28-C28</f>
        <v>77802</v>
      </c>
      <c r="F28" s="23">
        <f>IF(C28=0,0,E28/C28)</f>
        <v>1.1131553408406911E-2</v>
      </c>
    </row>
    <row r="29" spans="1:11" ht="24" customHeight="1" x14ac:dyDescent="0.25">
      <c r="A29" s="24"/>
      <c r="B29" s="25" t="s">
        <v>32</v>
      </c>
      <c r="C29" s="26">
        <f>SUM(C25:C28)</f>
        <v>25505826</v>
      </c>
      <c r="D29" s="26">
        <f>SUM(D25:D28)</f>
        <v>27592202</v>
      </c>
      <c r="E29" s="26">
        <f>D29-C29</f>
        <v>2086376</v>
      </c>
      <c r="F29" s="27">
        <f>IF(C29=0,0,E29/C29)</f>
        <v>8.1799977777626182E-2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33807880</v>
      </c>
      <c r="D32" s="22">
        <v>38742293</v>
      </c>
      <c r="E32" s="22">
        <f>D32-C32</f>
        <v>4934413</v>
      </c>
      <c r="F32" s="23">
        <f>IF(C32=0,0,E32/C32)</f>
        <v>0.14595452302835907</v>
      </c>
    </row>
    <row r="33" spans="1:8" ht="24" customHeight="1" x14ac:dyDescent="0.2">
      <c r="A33" s="20">
        <v>7</v>
      </c>
      <c r="B33" s="21" t="s">
        <v>35</v>
      </c>
      <c r="C33" s="22">
        <v>1334720</v>
      </c>
      <c r="D33" s="22">
        <v>1135267</v>
      </c>
      <c r="E33" s="22">
        <f>D33-C33</f>
        <v>-199453</v>
      </c>
      <c r="F33" s="23">
        <f>IF(C33=0,0,E33/C33)</f>
        <v>-0.14943433828818029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143527470</v>
      </c>
      <c r="D36" s="22">
        <v>148532515</v>
      </c>
      <c r="E36" s="22">
        <f>D36-C36</f>
        <v>5005045</v>
      </c>
      <c r="F36" s="23">
        <f>IF(C36=0,0,E36/C36)</f>
        <v>3.4871686932125258E-2</v>
      </c>
    </row>
    <row r="37" spans="1:8" ht="24" customHeight="1" x14ac:dyDescent="0.2">
      <c r="A37" s="20">
        <v>2</v>
      </c>
      <c r="B37" s="21" t="s">
        <v>39</v>
      </c>
      <c r="C37" s="22">
        <v>106694984</v>
      </c>
      <c r="D37" s="22">
        <v>112631179</v>
      </c>
      <c r="E37" s="22">
        <f>D37-C37</f>
        <v>5936195</v>
      </c>
      <c r="F37" s="23">
        <f>IF(C37=0,0,E37/C37)</f>
        <v>5.5637057877060088E-2</v>
      </c>
    </row>
    <row r="38" spans="1:8" ht="24" customHeight="1" x14ac:dyDescent="0.25">
      <c r="A38" s="24"/>
      <c r="B38" s="25" t="s">
        <v>40</v>
      </c>
      <c r="C38" s="26">
        <f>C36-C37</f>
        <v>36832486</v>
      </c>
      <c r="D38" s="26">
        <f>D36-D37</f>
        <v>35901336</v>
      </c>
      <c r="E38" s="26">
        <f>D38-C38</f>
        <v>-931150</v>
      </c>
      <c r="F38" s="27">
        <f>IF(C38=0,0,E38/C38)</f>
        <v>-2.5280672067587294E-2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1020301</v>
      </c>
      <c r="D40" s="22">
        <v>968443</v>
      </c>
      <c r="E40" s="22">
        <f>D40-C40</f>
        <v>-51858</v>
      </c>
      <c r="F40" s="23">
        <f>IF(C40=0,0,E40/C40)</f>
        <v>-5.0826177765188899E-2</v>
      </c>
    </row>
    <row r="41" spans="1:8" ht="24" customHeight="1" x14ac:dyDescent="0.25">
      <c r="A41" s="24"/>
      <c r="B41" s="25" t="s">
        <v>42</v>
      </c>
      <c r="C41" s="26">
        <f>+C38+C40</f>
        <v>37852787</v>
      </c>
      <c r="D41" s="26">
        <f>+D38+D40</f>
        <v>36869779</v>
      </c>
      <c r="E41" s="26">
        <f>D41-C41</f>
        <v>-983008</v>
      </c>
      <c r="F41" s="27">
        <f>IF(C41=0,0,E41/C41)</f>
        <v>-2.5969237086822694E-2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126527052</v>
      </c>
      <c r="D43" s="26">
        <f>D22+D29+D31+D32+D33+D41</f>
        <v>132449817</v>
      </c>
      <c r="E43" s="26">
        <f>D43-C43</f>
        <v>5922765</v>
      </c>
      <c r="F43" s="27">
        <f>IF(C43=0,0,E43/C43)</f>
        <v>4.6810266313641768E-2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5029676</v>
      </c>
      <c r="D49" s="22">
        <v>7289342</v>
      </c>
      <c r="E49" s="22">
        <f t="shared" ref="E49:E56" si="2">D49-C49</f>
        <v>2259666</v>
      </c>
      <c r="F49" s="23">
        <f t="shared" ref="F49:F56" si="3">IF(C49=0,0,E49/C49)</f>
        <v>0.44926671220969305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4027215</v>
      </c>
      <c r="D50" s="22">
        <v>4177672</v>
      </c>
      <c r="E50" s="22">
        <f t="shared" si="2"/>
        <v>150457</v>
      </c>
      <c r="F50" s="23">
        <f t="shared" si="3"/>
        <v>3.7360061481693928E-2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1917192</v>
      </c>
      <c r="D51" s="22">
        <v>2468522</v>
      </c>
      <c r="E51" s="22">
        <f t="shared" si="2"/>
        <v>551330</v>
      </c>
      <c r="F51" s="23">
        <f t="shared" si="3"/>
        <v>0.28757161515382912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1200000</v>
      </c>
      <c r="D53" s="22">
        <v>0</v>
      </c>
      <c r="E53" s="22">
        <f t="shared" si="2"/>
        <v>-1200000</v>
      </c>
      <c r="F53" s="23">
        <f t="shared" si="3"/>
        <v>-1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198100</v>
      </c>
      <c r="D54" s="22">
        <v>3219468</v>
      </c>
      <c r="E54" s="22">
        <f t="shared" si="2"/>
        <v>3021368</v>
      </c>
      <c r="F54" s="23">
        <f t="shared" si="3"/>
        <v>15.25173144876325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7726163</v>
      </c>
      <c r="D55" s="22">
        <v>4078798</v>
      </c>
      <c r="E55" s="22">
        <f t="shared" si="2"/>
        <v>-3647365</v>
      </c>
      <c r="F55" s="23">
        <f t="shared" si="3"/>
        <v>-0.47207973738063769</v>
      </c>
    </row>
    <row r="56" spans="1:6" ht="24" customHeight="1" x14ac:dyDescent="0.25">
      <c r="A56" s="24"/>
      <c r="B56" s="25" t="s">
        <v>54</v>
      </c>
      <c r="C56" s="26">
        <f>SUM(C49:C55)</f>
        <v>20098346</v>
      </c>
      <c r="D56" s="26">
        <f>SUM(D49:D55)</f>
        <v>21233802</v>
      </c>
      <c r="E56" s="26">
        <f t="shared" si="2"/>
        <v>1135456</v>
      </c>
      <c r="F56" s="27">
        <f t="shared" si="3"/>
        <v>5.6494997150511789E-2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3223366</v>
      </c>
      <c r="D60" s="22">
        <v>0</v>
      </c>
      <c r="E60" s="22">
        <f>D60-C60</f>
        <v>-3223366</v>
      </c>
      <c r="F60" s="23">
        <f>IF(C60=0,0,E60/C60)</f>
        <v>-1</v>
      </c>
    </row>
    <row r="61" spans="1:6" ht="24" customHeight="1" x14ac:dyDescent="0.25">
      <c r="A61" s="24"/>
      <c r="B61" s="25" t="s">
        <v>58</v>
      </c>
      <c r="C61" s="26">
        <f>SUM(C59:C60)</f>
        <v>3223366</v>
      </c>
      <c r="D61" s="26">
        <f>SUM(D59:D60)</f>
        <v>0</v>
      </c>
      <c r="E61" s="26">
        <f>D61-C61</f>
        <v>-3223366</v>
      </c>
      <c r="F61" s="27">
        <f>IF(C61=0,0,E61/C61)</f>
        <v>-1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38287989</v>
      </c>
      <c r="D63" s="22">
        <v>23133018</v>
      </c>
      <c r="E63" s="22">
        <f>D63-C63</f>
        <v>-15154971</v>
      </c>
      <c r="F63" s="23">
        <f>IF(C63=0,0,E63/C63)</f>
        <v>-0.3958152777363157</v>
      </c>
    </row>
    <row r="64" spans="1:6" ht="24" customHeight="1" x14ac:dyDescent="0.2">
      <c r="A64" s="20">
        <v>4</v>
      </c>
      <c r="B64" s="21" t="s">
        <v>60</v>
      </c>
      <c r="C64" s="22">
        <v>3125672</v>
      </c>
      <c r="D64" s="22">
        <v>3527218</v>
      </c>
      <c r="E64" s="22">
        <f>D64-C64</f>
        <v>401546</v>
      </c>
      <c r="F64" s="23">
        <f>IF(C64=0,0,E64/C64)</f>
        <v>0.12846709443601248</v>
      </c>
    </row>
    <row r="65" spans="1:6" ht="24" customHeight="1" x14ac:dyDescent="0.25">
      <c r="A65" s="24"/>
      <c r="B65" s="25" t="s">
        <v>61</v>
      </c>
      <c r="C65" s="26">
        <f>SUM(C61:C64)</f>
        <v>44637027</v>
      </c>
      <c r="D65" s="26">
        <f>SUM(D61:D64)</f>
        <v>26660236</v>
      </c>
      <c r="E65" s="26">
        <f>D65-C65</f>
        <v>-17976791</v>
      </c>
      <c r="F65" s="27">
        <f>IF(C65=0,0,E65/C65)</f>
        <v>-0.40273271335924771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40934207</v>
      </c>
      <c r="D70" s="22">
        <v>61139349</v>
      </c>
      <c r="E70" s="22">
        <f>D70-C70</f>
        <v>20205142</v>
      </c>
      <c r="F70" s="23">
        <f>IF(C70=0,0,E70/C70)</f>
        <v>0.49360042567821089</v>
      </c>
    </row>
    <row r="71" spans="1:6" ht="24" customHeight="1" x14ac:dyDescent="0.2">
      <c r="A71" s="20">
        <v>2</v>
      </c>
      <c r="B71" s="21" t="s">
        <v>65</v>
      </c>
      <c r="C71" s="22">
        <v>3236940</v>
      </c>
      <c r="D71" s="22">
        <v>3314742</v>
      </c>
      <c r="E71" s="22">
        <f>D71-C71</f>
        <v>77802</v>
      </c>
      <c r="F71" s="23">
        <f>IF(C71=0,0,E71/C71)</f>
        <v>2.4035663311646183E-2</v>
      </c>
    </row>
    <row r="72" spans="1:6" ht="24" customHeight="1" x14ac:dyDescent="0.2">
      <c r="A72" s="20">
        <v>3</v>
      </c>
      <c r="B72" s="21" t="s">
        <v>66</v>
      </c>
      <c r="C72" s="22">
        <v>17620532</v>
      </c>
      <c r="D72" s="22">
        <v>20101688</v>
      </c>
      <c r="E72" s="22">
        <f>D72-C72</f>
        <v>2481156</v>
      </c>
      <c r="F72" s="23">
        <f>IF(C72=0,0,E72/C72)</f>
        <v>0.14081050447285021</v>
      </c>
    </row>
    <row r="73" spans="1:6" ht="24" customHeight="1" x14ac:dyDescent="0.25">
      <c r="A73" s="20"/>
      <c r="B73" s="25" t="s">
        <v>67</v>
      </c>
      <c r="C73" s="26">
        <f>SUM(C70:C72)</f>
        <v>61791679</v>
      </c>
      <c r="D73" s="26">
        <f>SUM(D70:D72)</f>
        <v>84555779</v>
      </c>
      <c r="E73" s="26">
        <f>D73-C73</f>
        <v>22764100</v>
      </c>
      <c r="F73" s="27">
        <f>IF(C73=0,0,E73/C73)</f>
        <v>0.36840073563950254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126527052</v>
      </c>
      <c r="D75" s="26">
        <f>D56+D65+D67+D73</f>
        <v>132449817</v>
      </c>
      <c r="E75" s="26">
        <f>D75-C75</f>
        <v>5922765</v>
      </c>
      <c r="F75" s="27">
        <f>IF(C75=0,0,E75/C75)</f>
        <v>4.6810266313641768E-2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109569717</v>
      </c>
      <c r="D11" s="76">
        <v>116313832</v>
      </c>
      <c r="E11" s="76">
        <v>116677548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4949386</v>
      </c>
      <c r="D12" s="185">
        <v>5735128</v>
      </c>
      <c r="E12" s="185">
        <v>8250545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114519103</v>
      </c>
      <c r="D13" s="76">
        <f>+D11+D12</f>
        <v>122048960</v>
      </c>
      <c r="E13" s="76">
        <f>+E11+E12</f>
        <v>124928093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113880767</v>
      </c>
      <c r="D14" s="185">
        <v>121882681</v>
      </c>
      <c r="E14" s="185">
        <v>124899985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638336</v>
      </c>
      <c r="D15" s="76">
        <f>+D13-D14</f>
        <v>166279</v>
      </c>
      <c r="E15" s="76">
        <f>+E13-E14</f>
        <v>28108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2011113</v>
      </c>
      <c r="D16" s="185">
        <v>2249345</v>
      </c>
      <c r="E16" s="185">
        <v>2664812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2649449</v>
      </c>
      <c r="D17" s="76">
        <f>D15+D16</f>
        <v>2415624</v>
      </c>
      <c r="E17" s="76">
        <f>E15+E16</f>
        <v>2692920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5.4778582063213545E-3</v>
      </c>
      <c r="D20" s="189">
        <f>IF(+D27=0,0,+D24/+D27)</f>
        <v>1.3377414921305645E-3</v>
      </c>
      <c r="E20" s="189">
        <f>IF(+E27=0,0,+E24/+E27)</f>
        <v>2.2029438078864964E-4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1.7258296337492415E-2</v>
      </c>
      <c r="D21" s="189">
        <f>IF(+D27=0,0,+D26/+D27)</f>
        <v>1.8096344917977764E-2</v>
      </c>
      <c r="E21" s="189">
        <f>IF(+E27=0,0,+E26/+E27)</f>
        <v>2.088526787598417E-2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2.273615454381377E-2</v>
      </c>
      <c r="D22" s="189">
        <f>IF(+D27=0,0,+D28/+D27)</f>
        <v>1.9434086410108329E-2</v>
      </c>
      <c r="E22" s="189">
        <f>IF(+E27=0,0,+E28/+E27)</f>
        <v>2.110556225677282E-2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638336</v>
      </c>
      <c r="D24" s="76">
        <f>+D15</f>
        <v>166279</v>
      </c>
      <c r="E24" s="76">
        <f>+E15</f>
        <v>28108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114519103</v>
      </c>
      <c r="D25" s="76">
        <f>+D13</f>
        <v>122048960</v>
      </c>
      <c r="E25" s="76">
        <f>+E13</f>
        <v>124928093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2011113</v>
      </c>
      <c r="D26" s="76">
        <f>+D16</f>
        <v>2249345</v>
      </c>
      <c r="E26" s="76">
        <f>+E16</f>
        <v>2664812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116530216</v>
      </c>
      <c r="D27" s="76">
        <f>SUM(D25:D26)</f>
        <v>124298305</v>
      </c>
      <c r="E27" s="76">
        <f>SUM(E25:E26)</f>
        <v>127592905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2649449</v>
      </c>
      <c r="D28" s="76">
        <f>+D17</f>
        <v>2415624</v>
      </c>
      <c r="E28" s="76">
        <f>+E17</f>
        <v>2692920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47062165</v>
      </c>
      <c r="D31" s="76">
        <v>40934207</v>
      </c>
      <c r="E31" s="76">
        <v>61139349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65985850</v>
      </c>
      <c r="D32" s="76">
        <v>61791679</v>
      </c>
      <c r="E32" s="76">
        <v>84555779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7444266</v>
      </c>
      <c r="D33" s="76">
        <f>+D32-C32</f>
        <v>-4194171</v>
      </c>
      <c r="E33" s="76">
        <f>+E32-D32</f>
        <v>22764100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1.1271</v>
      </c>
      <c r="D34" s="193">
        <f>IF(C32=0,0,+D33/C32)</f>
        <v>-6.3561672691948345E-2</v>
      </c>
      <c r="E34" s="193">
        <f>IF(D32=0,0,+E33/D32)</f>
        <v>0.36840073563950254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1.3292836663716678</v>
      </c>
      <c r="D38" s="338">
        <f>IF(+D40=0,0,+D39/+D40)</f>
        <v>1.3944350943107457</v>
      </c>
      <c r="E38" s="338">
        <f>IF(+E40=0,0,+E39/+E40)</f>
        <v>1.3238456306600204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25471279</v>
      </c>
      <c r="D39" s="341">
        <v>28025839</v>
      </c>
      <c r="E39" s="341">
        <v>28110276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19161658</v>
      </c>
      <c r="D40" s="341">
        <v>20098346</v>
      </c>
      <c r="E40" s="341">
        <v>21233802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28.655601668612068</v>
      </c>
      <c r="D42" s="343">
        <f>IF((D48/365)=0,0,+D45/(D48/365))</f>
        <v>31.10732917531735</v>
      </c>
      <c r="E42" s="343">
        <f>IF((E48/365)=0,0,+E45/(E48/365))</f>
        <v>27.482374113703575</v>
      </c>
    </row>
    <row r="43" spans="1:14" ht="24" customHeight="1" x14ac:dyDescent="0.2">
      <c r="A43" s="339">
        <v>5</v>
      </c>
      <c r="B43" s="344" t="s">
        <v>16</v>
      </c>
      <c r="C43" s="345">
        <v>8455576</v>
      </c>
      <c r="D43" s="345">
        <v>9871014</v>
      </c>
      <c r="E43" s="345">
        <v>8948706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8455576</v>
      </c>
      <c r="D45" s="341">
        <f>+D43+D44</f>
        <v>9871014</v>
      </c>
      <c r="E45" s="341">
        <f>+E43+E44</f>
        <v>8948706</v>
      </c>
    </row>
    <row r="46" spans="1:14" ht="24" customHeight="1" x14ac:dyDescent="0.2">
      <c r="A46" s="339">
        <v>8</v>
      </c>
      <c r="B46" s="340" t="s">
        <v>334</v>
      </c>
      <c r="C46" s="341">
        <f>+C14</f>
        <v>113880767</v>
      </c>
      <c r="D46" s="341">
        <f>+D14</f>
        <v>121882681</v>
      </c>
      <c r="E46" s="341">
        <f>+E14</f>
        <v>124899985</v>
      </c>
    </row>
    <row r="47" spans="1:14" ht="24" customHeight="1" x14ac:dyDescent="0.2">
      <c r="A47" s="339">
        <v>9</v>
      </c>
      <c r="B47" s="340" t="s">
        <v>356</v>
      </c>
      <c r="C47" s="341">
        <v>6178082</v>
      </c>
      <c r="D47" s="341">
        <v>6060455</v>
      </c>
      <c r="E47" s="341">
        <v>6050075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107702685</v>
      </c>
      <c r="D48" s="341">
        <f>+D46-D47</f>
        <v>115822226</v>
      </c>
      <c r="E48" s="341">
        <f>+E46-E47</f>
        <v>118849910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36.533103256988419</v>
      </c>
      <c r="D50" s="350">
        <f>IF((D55/365)=0,0,+D54/(D55/365))</f>
        <v>39.211633144371</v>
      </c>
      <c r="E50" s="350">
        <f>IF((E55/365)=0,0,+E54/(E55/365))</f>
        <v>37.151311578813775</v>
      </c>
    </row>
    <row r="51" spans="1:5" ht="24" customHeight="1" x14ac:dyDescent="0.2">
      <c r="A51" s="339">
        <v>12</v>
      </c>
      <c r="B51" s="344" t="s">
        <v>359</v>
      </c>
      <c r="C51" s="351">
        <v>11144540</v>
      </c>
      <c r="D51" s="351">
        <v>13441101</v>
      </c>
      <c r="E51" s="351">
        <v>13504471</v>
      </c>
    </row>
    <row r="52" spans="1:5" ht="24" customHeight="1" x14ac:dyDescent="0.2">
      <c r="A52" s="339">
        <v>13</v>
      </c>
      <c r="B52" s="344" t="s">
        <v>21</v>
      </c>
      <c r="C52" s="341">
        <v>1516187</v>
      </c>
      <c r="D52" s="341">
        <v>971585</v>
      </c>
      <c r="E52" s="341">
        <v>840007</v>
      </c>
    </row>
    <row r="53" spans="1:5" ht="24" customHeight="1" x14ac:dyDescent="0.2">
      <c r="A53" s="339">
        <v>14</v>
      </c>
      <c r="B53" s="344" t="s">
        <v>49</v>
      </c>
      <c r="C53" s="341">
        <v>1693818</v>
      </c>
      <c r="D53" s="341">
        <v>1917192</v>
      </c>
      <c r="E53" s="341">
        <v>2468522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10966909</v>
      </c>
      <c r="D54" s="352">
        <f>+D51+D52-D53</f>
        <v>12495494</v>
      </c>
      <c r="E54" s="352">
        <f>+E51+E52-E53</f>
        <v>11875956</v>
      </c>
    </row>
    <row r="55" spans="1:5" ht="24" customHeight="1" x14ac:dyDescent="0.2">
      <c r="A55" s="339">
        <v>16</v>
      </c>
      <c r="B55" s="340" t="s">
        <v>75</v>
      </c>
      <c r="C55" s="341">
        <f>+C11</f>
        <v>109569717</v>
      </c>
      <c r="D55" s="341">
        <f>+D11</f>
        <v>116313832</v>
      </c>
      <c r="E55" s="341">
        <f>+E11</f>
        <v>116677548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64.938076242017544</v>
      </c>
      <c r="D57" s="355">
        <f>IF((D61/365)=0,0,+D58/(D61/365))</f>
        <v>63.337552241484289</v>
      </c>
      <c r="E57" s="355">
        <f>IF((E61/365)=0,0,+E58/(E61/365))</f>
        <v>65.211136718572178</v>
      </c>
    </row>
    <row r="58" spans="1:5" ht="24" customHeight="1" x14ac:dyDescent="0.2">
      <c r="A58" s="339">
        <v>18</v>
      </c>
      <c r="B58" s="340" t="s">
        <v>54</v>
      </c>
      <c r="C58" s="353">
        <f>+C40</f>
        <v>19161658</v>
      </c>
      <c r="D58" s="353">
        <f>+D40</f>
        <v>20098346</v>
      </c>
      <c r="E58" s="353">
        <f>+E40</f>
        <v>21233802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113880767</v>
      </c>
      <c r="D59" s="353">
        <f t="shared" si="0"/>
        <v>121882681</v>
      </c>
      <c r="E59" s="353">
        <f t="shared" si="0"/>
        <v>124899985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6178082</v>
      </c>
      <c r="D60" s="356">
        <f t="shared" si="0"/>
        <v>6060455</v>
      </c>
      <c r="E60" s="356">
        <f t="shared" si="0"/>
        <v>6050075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107702685</v>
      </c>
      <c r="D61" s="353">
        <f>+D59-D60</f>
        <v>115822226</v>
      </c>
      <c r="E61" s="353">
        <f>+E59-E60</f>
        <v>118849910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55.531253084854548</v>
      </c>
      <c r="D65" s="357">
        <f>IF(D67=0,0,(D66/D67)*100)</f>
        <v>48.836733349323595</v>
      </c>
      <c r="E65" s="357">
        <f>IF(E67=0,0,(E66/E67)*100)</f>
        <v>63.839860948996254</v>
      </c>
    </row>
    <row r="66" spans="1:5" ht="24" customHeight="1" x14ac:dyDescent="0.2">
      <c r="A66" s="339">
        <v>2</v>
      </c>
      <c r="B66" s="340" t="s">
        <v>67</v>
      </c>
      <c r="C66" s="353">
        <f>+C32</f>
        <v>65985850</v>
      </c>
      <c r="D66" s="353">
        <f>+D32</f>
        <v>61791679</v>
      </c>
      <c r="E66" s="353">
        <f>+E32</f>
        <v>84555779</v>
      </c>
    </row>
    <row r="67" spans="1:5" ht="24" customHeight="1" x14ac:dyDescent="0.2">
      <c r="A67" s="339">
        <v>3</v>
      </c>
      <c r="B67" s="340" t="s">
        <v>43</v>
      </c>
      <c r="C67" s="353">
        <v>118826510</v>
      </c>
      <c r="D67" s="353">
        <v>126527052</v>
      </c>
      <c r="E67" s="353">
        <v>132449817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37.112303390616894</v>
      </c>
      <c r="D69" s="357">
        <f>IF(D75=0,0,(D72/D75)*100)</f>
        <v>36.344154322804435</v>
      </c>
      <c r="E69" s="357">
        <f>IF(E75=0,0,(E72/E75)*100)</f>
        <v>41.17489180694065</v>
      </c>
    </row>
    <row r="70" spans="1:5" ht="24" customHeight="1" x14ac:dyDescent="0.2">
      <c r="A70" s="339">
        <v>5</v>
      </c>
      <c r="B70" s="340" t="s">
        <v>366</v>
      </c>
      <c r="C70" s="353">
        <f>+C28</f>
        <v>2649449</v>
      </c>
      <c r="D70" s="353">
        <f>+D28</f>
        <v>2415624</v>
      </c>
      <c r="E70" s="353">
        <f>+E28</f>
        <v>2692920</v>
      </c>
    </row>
    <row r="71" spans="1:5" ht="24" customHeight="1" x14ac:dyDescent="0.2">
      <c r="A71" s="339">
        <v>6</v>
      </c>
      <c r="B71" s="340" t="s">
        <v>356</v>
      </c>
      <c r="C71" s="356">
        <f>+C47</f>
        <v>6178082</v>
      </c>
      <c r="D71" s="356">
        <f>+D47</f>
        <v>6060455</v>
      </c>
      <c r="E71" s="356">
        <f>+E47</f>
        <v>6050075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8827531</v>
      </c>
      <c r="D72" s="353">
        <f>+D70+D71</f>
        <v>8476079</v>
      </c>
      <c r="E72" s="353">
        <f>+E70+E71</f>
        <v>8742995</v>
      </c>
    </row>
    <row r="73" spans="1:5" ht="24" customHeight="1" x14ac:dyDescent="0.2">
      <c r="A73" s="339">
        <v>8</v>
      </c>
      <c r="B73" s="340" t="s">
        <v>54</v>
      </c>
      <c r="C73" s="341">
        <f>+C40</f>
        <v>19161658</v>
      </c>
      <c r="D73" s="341">
        <f>+D40</f>
        <v>20098346</v>
      </c>
      <c r="E73" s="341">
        <f>+E40</f>
        <v>21233802</v>
      </c>
    </row>
    <row r="74" spans="1:5" ht="24" customHeight="1" x14ac:dyDescent="0.2">
      <c r="A74" s="339">
        <v>9</v>
      </c>
      <c r="B74" s="340" t="s">
        <v>58</v>
      </c>
      <c r="C74" s="353">
        <v>4624338</v>
      </c>
      <c r="D74" s="353">
        <v>3223366</v>
      </c>
      <c r="E74" s="353">
        <v>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23785996</v>
      </c>
      <c r="D75" s="341">
        <f>+D73+D74</f>
        <v>23321712</v>
      </c>
      <c r="E75" s="341">
        <f>+E73+E74</f>
        <v>21233802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6.5491087490094202</v>
      </c>
      <c r="D77" s="359">
        <f>IF(D80=0,0,(D78/D80)*100)</f>
        <v>4.9578770575333753</v>
      </c>
      <c r="E77" s="359">
        <f>IF(E80=0,0,(E78/E80)*100)</f>
        <v>0</v>
      </c>
    </row>
    <row r="78" spans="1:5" ht="24" customHeight="1" x14ac:dyDescent="0.2">
      <c r="A78" s="339">
        <v>12</v>
      </c>
      <c r="B78" s="340" t="s">
        <v>58</v>
      </c>
      <c r="C78" s="341">
        <f>+C74</f>
        <v>4624338</v>
      </c>
      <c r="D78" s="341">
        <f>+D74</f>
        <v>3223366</v>
      </c>
      <c r="E78" s="341">
        <f>+E74</f>
        <v>0</v>
      </c>
    </row>
    <row r="79" spans="1:5" ht="24" customHeight="1" x14ac:dyDescent="0.2">
      <c r="A79" s="339">
        <v>13</v>
      </c>
      <c r="B79" s="340" t="s">
        <v>67</v>
      </c>
      <c r="C79" s="341">
        <f>+C32</f>
        <v>65985850</v>
      </c>
      <c r="D79" s="341">
        <f>+D32</f>
        <v>61791679</v>
      </c>
      <c r="E79" s="341">
        <f>+E32</f>
        <v>84555779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70610188</v>
      </c>
      <c r="D80" s="341">
        <f>+D78+D79</f>
        <v>65015045</v>
      </c>
      <c r="E80" s="341">
        <f>+E78+E79</f>
        <v>84555779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18265</v>
      </c>
      <c r="D11" s="376">
        <v>4981</v>
      </c>
      <c r="E11" s="376">
        <v>4981</v>
      </c>
      <c r="F11" s="377">
        <v>51</v>
      </c>
      <c r="G11" s="377">
        <v>73</v>
      </c>
      <c r="H11" s="378">
        <f>IF(F11=0,0,$C11/(F11*365))</f>
        <v>0.98119795863550896</v>
      </c>
      <c r="I11" s="378">
        <f>IF(G11=0,0,$C11/(G11*365))</f>
        <v>0.68549446425220495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2310</v>
      </c>
      <c r="D13" s="376">
        <v>128</v>
      </c>
      <c r="E13" s="376">
        <v>0</v>
      </c>
      <c r="F13" s="377">
        <v>7</v>
      </c>
      <c r="G13" s="377">
        <v>10</v>
      </c>
      <c r="H13" s="378">
        <f>IF(F13=0,0,$C13/(F13*365))</f>
        <v>0.90410958904109584</v>
      </c>
      <c r="I13" s="378">
        <f>IF(G13=0,0,$C13/(G13*365))</f>
        <v>0.63287671232876708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12</v>
      </c>
      <c r="D15" s="376">
        <v>3</v>
      </c>
      <c r="E15" s="376">
        <v>3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3732</v>
      </c>
      <c r="D16" s="376">
        <v>609</v>
      </c>
      <c r="E16" s="376">
        <v>609</v>
      </c>
      <c r="F16" s="377">
        <v>11</v>
      </c>
      <c r="G16" s="377">
        <v>17</v>
      </c>
      <c r="H16" s="378">
        <f t="shared" si="0"/>
        <v>0.92951432129514322</v>
      </c>
      <c r="I16" s="378">
        <f t="shared" si="0"/>
        <v>0.60145044319097507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3744</v>
      </c>
      <c r="D17" s="381">
        <f>SUM(D15:D16)</f>
        <v>612</v>
      </c>
      <c r="E17" s="381">
        <f>SUM(E15:E16)</f>
        <v>612</v>
      </c>
      <c r="F17" s="381">
        <f>SUM(F15:F16)</f>
        <v>11</v>
      </c>
      <c r="G17" s="381">
        <f>SUM(G15:G16)</f>
        <v>17</v>
      </c>
      <c r="H17" s="382">
        <f t="shared" si="0"/>
        <v>0.93250311332503111</v>
      </c>
      <c r="I17" s="382">
        <f t="shared" si="0"/>
        <v>0.60338436744560842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1062</v>
      </c>
      <c r="D21" s="376">
        <v>436</v>
      </c>
      <c r="E21" s="376">
        <v>453</v>
      </c>
      <c r="F21" s="377">
        <v>3</v>
      </c>
      <c r="G21" s="377">
        <v>7</v>
      </c>
      <c r="H21" s="378">
        <f>IF(F21=0,0,$C21/(F21*365))</f>
        <v>0.96986301369863015</v>
      </c>
      <c r="I21" s="378">
        <f>IF(G21=0,0,$C21/(G21*365))</f>
        <v>0.41565557729941294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1095</v>
      </c>
      <c r="D23" s="376">
        <v>453</v>
      </c>
      <c r="E23" s="376">
        <v>453</v>
      </c>
      <c r="F23" s="377">
        <v>4</v>
      </c>
      <c r="G23" s="377">
        <v>13</v>
      </c>
      <c r="H23" s="378">
        <f>IF(F23=0,0,$C23/(F23*365))</f>
        <v>0.75</v>
      </c>
      <c r="I23" s="378">
        <f>IF(G23=0,0,$C23/(G23*365))</f>
        <v>0.23076923076923078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98</v>
      </c>
      <c r="D27" s="376">
        <v>51</v>
      </c>
      <c r="E27" s="376">
        <v>34</v>
      </c>
      <c r="F27" s="377">
        <v>1</v>
      </c>
      <c r="G27" s="377">
        <v>2</v>
      </c>
      <c r="H27" s="378">
        <f>IF(F27=0,0,$C27/(F27*365))</f>
        <v>0.26849315068493151</v>
      </c>
      <c r="I27" s="378">
        <f>IF(G27=0,0,$C27/(G27*365))</f>
        <v>0.13424657534246576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25479</v>
      </c>
      <c r="D31" s="384">
        <f>SUM(D10:D29)-D13-D17-D23</f>
        <v>6080</v>
      </c>
      <c r="E31" s="384">
        <f>SUM(E10:E29)-E17-E23</f>
        <v>6080</v>
      </c>
      <c r="F31" s="384">
        <f>SUM(F10:F29)-F17-F23</f>
        <v>73</v>
      </c>
      <c r="G31" s="384">
        <f>SUM(G10:G29)-G17-G23</f>
        <v>109</v>
      </c>
      <c r="H31" s="385">
        <f>IF(F31=0,0,$C31/(F31*365))</f>
        <v>0.95623944454869581</v>
      </c>
      <c r="I31" s="385">
        <f>IF(G31=0,0,$C31/(G31*365))</f>
        <v>0.64041724267940181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26574</v>
      </c>
      <c r="D33" s="384">
        <f>SUM(D10:D29)-D13-D17</f>
        <v>6533</v>
      </c>
      <c r="E33" s="384">
        <f>SUM(E10:E29)-E17</f>
        <v>6533</v>
      </c>
      <c r="F33" s="384">
        <f>SUM(F10:F29)-F17</f>
        <v>77</v>
      </c>
      <c r="G33" s="384">
        <f>SUM(G10:G29)-G17</f>
        <v>122</v>
      </c>
      <c r="H33" s="385">
        <f>IF(F33=0,0,$C33/(F33*365))</f>
        <v>0.94552570716954276</v>
      </c>
      <c r="I33" s="385">
        <f>IF(G33=0,0,$C33/(G33*365))</f>
        <v>0.59676622501684262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26574</v>
      </c>
      <c r="D36" s="384">
        <f t="shared" si="1"/>
        <v>6533</v>
      </c>
      <c r="E36" s="384">
        <f t="shared" si="1"/>
        <v>6533</v>
      </c>
      <c r="F36" s="384">
        <f t="shared" si="1"/>
        <v>77</v>
      </c>
      <c r="G36" s="384">
        <f t="shared" si="1"/>
        <v>122</v>
      </c>
      <c r="H36" s="387">
        <f t="shared" si="1"/>
        <v>0.94552570716954276</v>
      </c>
      <c r="I36" s="387">
        <f t="shared" si="1"/>
        <v>0.59676622501684262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25249</v>
      </c>
      <c r="D37" s="384">
        <v>6338</v>
      </c>
      <c r="E37" s="384">
        <v>6338</v>
      </c>
      <c r="F37" s="386">
        <v>75</v>
      </c>
      <c r="G37" s="386">
        <v>122</v>
      </c>
      <c r="H37" s="385">
        <f>IF(F37=0,0,$C37/(F37*365))</f>
        <v>0.92233789954337897</v>
      </c>
      <c r="I37" s="385">
        <f>IF(G37=0,0,$C37/(G37*365))</f>
        <v>0.56701100381765102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1325</v>
      </c>
      <c r="D38" s="384">
        <f t="shared" si="2"/>
        <v>195</v>
      </c>
      <c r="E38" s="384">
        <f t="shared" si="2"/>
        <v>195</v>
      </c>
      <c r="F38" s="384">
        <f t="shared" si="2"/>
        <v>2</v>
      </c>
      <c r="G38" s="384">
        <f t="shared" si="2"/>
        <v>0</v>
      </c>
      <c r="H38" s="387">
        <f t="shared" si="2"/>
        <v>2.3187807626163792E-2</v>
      </c>
      <c r="I38" s="387">
        <f t="shared" si="2"/>
        <v>2.9755221199191606E-2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5.247732583468652E-2</v>
      </c>
      <c r="D40" s="389">
        <f t="shared" si="3"/>
        <v>3.0766803408015148E-2</v>
      </c>
      <c r="E40" s="389">
        <f t="shared" si="3"/>
        <v>3.0766803408015148E-2</v>
      </c>
      <c r="F40" s="389">
        <f t="shared" si="3"/>
        <v>2.6666666666666668E-2</v>
      </c>
      <c r="G40" s="389">
        <f t="shared" si="3"/>
        <v>0</v>
      </c>
      <c r="H40" s="389">
        <f t="shared" si="3"/>
        <v>2.514025243638298E-2</v>
      </c>
      <c r="I40" s="389">
        <f t="shared" si="3"/>
        <v>5.247732583468661E-2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122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3304</v>
      </c>
      <c r="D12" s="409">
        <v>2477</v>
      </c>
      <c r="E12" s="409">
        <f>+D12-C12</f>
        <v>-827</v>
      </c>
      <c r="F12" s="410">
        <f>IF(C12=0,0,+E12/C12)</f>
        <v>-0.25030266343825663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5706</v>
      </c>
      <c r="D13" s="409">
        <v>4583</v>
      </c>
      <c r="E13" s="409">
        <f>+D13-C13</f>
        <v>-1123</v>
      </c>
      <c r="F13" s="410">
        <f>IF(C13=0,0,+E13/C13)</f>
        <v>-0.19681037504381352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4020</v>
      </c>
      <c r="D14" s="409">
        <v>2266</v>
      </c>
      <c r="E14" s="409">
        <f>+D14-C14</f>
        <v>-1754</v>
      </c>
      <c r="F14" s="410">
        <f>IF(C14=0,0,+E14/C14)</f>
        <v>-0.436318407960199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1642</v>
      </c>
      <c r="D15" s="409">
        <v>1538</v>
      </c>
      <c r="E15" s="409">
        <f>+D15-C15</f>
        <v>-104</v>
      </c>
      <c r="F15" s="410">
        <f>IF(C15=0,0,+E15/C15)</f>
        <v>-6.3337393422655291E-2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14672</v>
      </c>
      <c r="D16" s="401">
        <f>SUM(D12:D15)</f>
        <v>10864</v>
      </c>
      <c r="E16" s="401">
        <f>+D16-C16</f>
        <v>-3808</v>
      </c>
      <c r="F16" s="402">
        <f>IF(C16=0,0,+E16/C16)</f>
        <v>-0.25954198473282442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364</v>
      </c>
      <c r="D19" s="409">
        <v>396</v>
      </c>
      <c r="E19" s="409">
        <f>+D19-C19</f>
        <v>32</v>
      </c>
      <c r="F19" s="410">
        <f>IF(C19=0,0,+E19/C19)</f>
        <v>8.7912087912087919E-2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677</v>
      </c>
      <c r="D20" s="409">
        <v>699</v>
      </c>
      <c r="E20" s="409">
        <f>+D20-C20</f>
        <v>22</v>
      </c>
      <c r="F20" s="410">
        <f>IF(C20=0,0,+E20/C20)</f>
        <v>3.2496307237813882E-2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25</v>
      </c>
      <c r="D21" s="409">
        <v>15</v>
      </c>
      <c r="E21" s="409">
        <f>+D21-C21</f>
        <v>-10</v>
      </c>
      <c r="F21" s="410">
        <f>IF(C21=0,0,+E21/C21)</f>
        <v>-0.4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5214</v>
      </c>
      <c r="D22" s="409">
        <v>4931</v>
      </c>
      <c r="E22" s="409">
        <f>+D22-C22</f>
        <v>-283</v>
      </c>
      <c r="F22" s="410">
        <f>IF(C22=0,0,+E22/C22)</f>
        <v>-5.4276946682009976E-2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6280</v>
      </c>
      <c r="D23" s="401">
        <f>SUM(D19:D22)</f>
        <v>6041</v>
      </c>
      <c r="E23" s="401">
        <f>+D23-C23</f>
        <v>-239</v>
      </c>
      <c r="F23" s="402">
        <f>IF(C23=0,0,+E23/C23)</f>
        <v>-3.805732484076433E-2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2</v>
      </c>
      <c r="E26" s="409">
        <f>+D26-C26</f>
        <v>2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126</v>
      </c>
      <c r="D27" s="409">
        <v>291</v>
      </c>
      <c r="E27" s="409">
        <f>+D27-C27</f>
        <v>165</v>
      </c>
      <c r="F27" s="410">
        <f>IF(C27=0,0,+E27/C27)</f>
        <v>1.3095238095238095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182</v>
      </c>
      <c r="D29" s="409">
        <v>0</v>
      </c>
      <c r="E29" s="409">
        <f>+D29-C29</f>
        <v>-182</v>
      </c>
      <c r="F29" s="410">
        <f>IF(C29=0,0,+E29/C29)</f>
        <v>-1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308</v>
      </c>
      <c r="D30" s="401">
        <f>SUM(D26:D29)</f>
        <v>293</v>
      </c>
      <c r="E30" s="401">
        <f>+D30-C30</f>
        <v>-15</v>
      </c>
      <c r="F30" s="402">
        <f>IF(C30=0,0,+E30/C30)</f>
        <v>-4.8701298701298704E-2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78</v>
      </c>
      <c r="D43" s="409">
        <v>75</v>
      </c>
      <c r="E43" s="409">
        <f>+D43-C43</f>
        <v>-3</v>
      </c>
      <c r="F43" s="410">
        <f>IF(C43=0,0,+E43/C43)</f>
        <v>-3.8461538461538464E-2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4580</v>
      </c>
      <c r="D44" s="409">
        <v>4245</v>
      </c>
      <c r="E44" s="409">
        <f>+D44-C44</f>
        <v>-335</v>
      </c>
      <c r="F44" s="410">
        <f>IF(C44=0,0,+E44/C44)</f>
        <v>-7.3144104803493454E-2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4658</v>
      </c>
      <c r="D45" s="401">
        <f>SUM(D43:D44)</f>
        <v>4320</v>
      </c>
      <c r="E45" s="401">
        <f>+D45-C45</f>
        <v>-338</v>
      </c>
      <c r="F45" s="402">
        <f>IF(C45=0,0,+E45/C45)</f>
        <v>-7.2563331902103914E-2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60</v>
      </c>
      <c r="D58" s="409">
        <v>51</v>
      </c>
      <c r="E58" s="409">
        <f>+D58-C58</f>
        <v>-9</v>
      </c>
      <c r="F58" s="410">
        <f>IF(C58=0,0,+E58/C58)</f>
        <v>-0.15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67</v>
      </c>
      <c r="D59" s="409">
        <v>39</v>
      </c>
      <c r="E59" s="409">
        <f>+D59-C59</f>
        <v>-28</v>
      </c>
      <c r="F59" s="410">
        <f>IF(C59=0,0,+E59/C59)</f>
        <v>-0.41791044776119401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127</v>
      </c>
      <c r="D60" s="401">
        <f>SUM(D58:D59)</f>
        <v>90</v>
      </c>
      <c r="E60" s="401">
        <f>SUM(E58:E59)</f>
        <v>-37</v>
      </c>
      <c r="F60" s="402">
        <f>IF(C60=0,0,+E60/C60)</f>
        <v>-0.29133858267716534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1140</v>
      </c>
      <c r="D63" s="409">
        <v>1321</v>
      </c>
      <c r="E63" s="409">
        <f>+D63-C63</f>
        <v>181</v>
      </c>
      <c r="F63" s="410">
        <f>IF(C63=0,0,+E63/C63)</f>
        <v>0.1587719298245614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2920</v>
      </c>
      <c r="D64" s="409">
        <v>2824</v>
      </c>
      <c r="E64" s="409">
        <f>+D64-C64</f>
        <v>-96</v>
      </c>
      <c r="F64" s="410">
        <f>IF(C64=0,0,+E64/C64)</f>
        <v>-3.287671232876712E-2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4060</v>
      </c>
      <c r="D65" s="401">
        <f>SUM(D63:D64)</f>
        <v>4145</v>
      </c>
      <c r="E65" s="401">
        <f>+D65-C65</f>
        <v>85</v>
      </c>
      <c r="F65" s="402">
        <f>IF(C65=0,0,+E65/C65)</f>
        <v>2.0935960591133004E-2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290</v>
      </c>
      <c r="D68" s="409">
        <v>312</v>
      </c>
      <c r="E68" s="409">
        <f>+D68-C68</f>
        <v>22</v>
      </c>
      <c r="F68" s="410">
        <f>IF(C68=0,0,+E68/C68)</f>
        <v>7.586206896551724E-2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604</v>
      </c>
      <c r="D69" s="409">
        <v>482</v>
      </c>
      <c r="E69" s="409">
        <f>+D69-C69</f>
        <v>-122</v>
      </c>
      <c r="F69" s="412">
        <f>IF(C69=0,0,+E69/C69)</f>
        <v>-0.20198675496688742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894</v>
      </c>
      <c r="D70" s="401">
        <f>SUM(D68:D69)</f>
        <v>794</v>
      </c>
      <c r="E70" s="401">
        <f>+D70-C70</f>
        <v>-100</v>
      </c>
      <c r="F70" s="402">
        <f>IF(C70=0,0,+E70/C70)</f>
        <v>-0.11185682326621924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5066</v>
      </c>
      <c r="D73" s="376">
        <v>5182</v>
      </c>
      <c r="E73" s="409">
        <f>+D73-C73</f>
        <v>116</v>
      </c>
      <c r="F73" s="410">
        <f>IF(C73=0,0,+E73/C73)</f>
        <v>2.2897749703908409E-2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35812</v>
      </c>
      <c r="D74" s="376">
        <v>35790</v>
      </c>
      <c r="E74" s="409">
        <f>+D74-C74</f>
        <v>-22</v>
      </c>
      <c r="F74" s="410">
        <f>IF(C74=0,0,+E74/C74)</f>
        <v>-6.1431922260694741E-4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40878</v>
      </c>
      <c r="D75" s="401">
        <f>SUM(D73:D74)</f>
        <v>40972</v>
      </c>
      <c r="E75" s="401">
        <f>SUM(E73:E74)</f>
        <v>94</v>
      </c>
      <c r="F75" s="402">
        <f>IF(C75=0,0,+E75/C75)</f>
        <v>2.2995254170947699E-3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4783</v>
      </c>
      <c r="D79" s="376">
        <v>4685</v>
      </c>
      <c r="E79" s="409">
        <f t="shared" ref="E79:E92" si="0">+D79-C79</f>
        <v>-98</v>
      </c>
      <c r="F79" s="410">
        <f t="shared" ref="F79:F92" si="1">IF(C79=0,0,+E79/C79)</f>
        <v>-2.0489232699142799E-2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33611</v>
      </c>
      <c r="D81" s="376">
        <v>33320</v>
      </c>
      <c r="E81" s="409">
        <f t="shared" si="0"/>
        <v>-291</v>
      </c>
      <c r="F81" s="410">
        <f t="shared" si="1"/>
        <v>-8.6578798607598699E-3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18703</v>
      </c>
      <c r="D82" s="376">
        <v>0</v>
      </c>
      <c r="E82" s="409">
        <f t="shared" si="0"/>
        <v>-18703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10951</v>
      </c>
      <c r="E84" s="409">
        <f t="shared" si="0"/>
        <v>10951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9037</v>
      </c>
      <c r="E85" s="409">
        <f t="shared" si="0"/>
        <v>9037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20464</v>
      </c>
      <c r="D87" s="376">
        <v>0</v>
      </c>
      <c r="E87" s="409">
        <f t="shared" si="0"/>
        <v>-20464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11863</v>
      </c>
      <c r="E88" s="409">
        <f t="shared" si="0"/>
        <v>11863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1806</v>
      </c>
      <c r="E89" s="409">
        <f t="shared" si="0"/>
        <v>1806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24048</v>
      </c>
      <c r="E91" s="409">
        <f t="shared" si="0"/>
        <v>24048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77561</v>
      </c>
      <c r="D92" s="381">
        <f>SUM(D79:D91)</f>
        <v>95710</v>
      </c>
      <c r="E92" s="401">
        <f t="shared" si="0"/>
        <v>18149</v>
      </c>
      <c r="F92" s="402">
        <f t="shared" si="1"/>
        <v>0.23399646729670839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6907</v>
      </c>
      <c r="D95" s="414">
        <v>7478</v>
      </c>
      <c r="E95" s="415">
        <f t="shared" ref="E95:E100" si="2">+D95-C95</f>
        <v>571</v>
      </c>
      <c r="F95" s="412">
        <f t="shared" ref="F95:F100" si="3">IF(C95=0,0,+E95/C95)</f>
        <v>8.2669755320689153E-2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4508</v>
      </c>
      <c r="D96" s="414">
        <v>4885</v>
      </c>
      <c r="E96" s="409">
        <f t="shared" si="2"/>
        <v>377</v>
      </c>
      <c r="F96" s="410">
        <f t="shared" si="3"/>
        <v>8.3629103815439212E-2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130</v>
      </c>
      <c r="D97" s="414">
        <v>411</v>
      </c>
      <c r="E97" s="409">
        <f t="shared" si="2"/>
        <v>281</v>
      </c>
      <c r="F97" s="410">
        <f t="shared" si="3"/>
        <v>2.1615384615384614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1000</v>
      </c>
      <c r="D98" s="414">
        <v>537</v>
      </c>
      <c r="E98" s="409">
        <f t="shared" si="2"/>
        <v>-463</v>
      </c>
      <c r="F98" s="410">
        <f t="shared" si="3"/>
        <v>-0.46300000000000002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123771</v>
      </c>
      <c r="D99" s="414">
        <v>100483</v>
      </c>
      <c r="E99" s="409">
        <f t="shared" si="2"/>
        <v>-23288</v>
      </c>
      <c r="F99" s="410">
        <f t="shared" si="3"/>
        <v>-0.18815392943419704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136316</v>
      </c>
      <c r="D100" s="381">
        <f>SUM(D95:D99)</f>
        <v>113794</v>
      </c>
      <c r="E100" s="401">
        <f t="shared" si="2"/>
        <v>-22522</v>
      </c>
      <c r="F100" s="402">
        <f t="shared" si="3"/>
        <v>-0.16521904985474925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321.39999999999998</v>
      </c>
      <c r="D104" s="416">
        <v>305.89999999999998</v>
      </c>
      <c r="E104" s="417">
        <f>+D104-C104</f>
        <v>-15.5</v>
      </c>
      <c r="F104" s="410">
        <f>IF(C104=0,0,+E104/C104)</f>
        <v>-4.8226509023024271E-2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31.1</v>
      </c>
      <c r="D105" s="416">
        <v>33.9</v>
      </c>
      <c r="E105" s="417">
        <f>+D105-C105</f>
        <v>2.7999999999999972</v>
      </c>
      <c r="F105" s="410">
        <f>IF(C105=0,0,+E105/C105)</f>
        <v>9.0032154340835918E-2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415.9</v>
      </c>
      <c r="D106" s="416">
        <v>449.2</v>
      </c>
      <c r="E106" s="417">
        <f>+D106-C106</f>
        <v>33.300000000000011</v>
      </c>
      <c r="F106" s="410">
        <f>IF(C106=0,0,+E106/C106)</f>
        <v>8.006732387593174E-2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768.4</v>
      </c>
      <c r="D107" s="418">
        <f>SUM(D104:D106)</f>
        <v>789</v>
      </c>
      <c r="E107" s="418">
        <f>+D107-C107</f>
        <v>20.600000000000023</v>
      </c>
      <c r="F107" s="402">
        <f>IF(C107=0,0,+E107/C107)</f>
        <v>2.6808953669963591E-2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2920</v>
      </c>
      <c r="D12" s="409">
        <v>2824</v>
      </c>
      <c r="E12" s="409">
        <f>+D12-C12</f>
        <v>-96</v>
      </c>
      <c r="F12" s="410">
        <f>IF(C12=0,0,+E12/C12)</f>
        <v>-3.287671232876712E-2</v>
      </c>
    </row>
    <row r="13" spans="1:6" ht="15.75" customHeight="1" x14ac:dyDescent="0.25">
      <c r="A13" s="374"/>
      <c r="B13" s="399" t="s">
        <v>622</v>
      </c>
      <c r="C13" s="401">
        <f>SUM(C11:C12)</f>
        <v>2920</v>
      </c>
      <c r="D13" s="401">
        <f>SUM(D11:D12)</f>
        <v>2824</v>
      </c>
      <c r="E13" s="401">
        <f>+D13-C13</f>
        <v>-96</v>
      </c>
      <c r="F13" s="402">
        <f>IF(C13=0,0,+E13/C13)</f>
        <v>-3.287671232876712E-2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604</v>
      </c>
      <c r="D16" s="409">
        <v>482</v>
      </c>
      <c r="E16" s="409">
        <f>+D16-C16</f>
        <v>-122</v>
      </c>
      <c r="F16" s="410">
        <f>IF(C16=0,0,+E16/C16)</f>
        <v>-0.20198675496688742</v>
      </c>
    </row>
    <row r="17" spans="1:6" ht="15.75" customHeight="1" x14ac:dyDescent="0.25">
      <c r="A17" s="374"/>
      <c r="B17" s="399" t="s">
        <v>623</v>
      </c>
      <c r="C17" s="401">
        <f>SUM(C15:C16)</f>
        <v>604</v>
      </c>
      <c r="D17" s="401">
        <f>SUM(D15:D16)</f>
        <v>482</v>
      </c>
      <c r="E17" s="401">
        <f>+D17-C17</f>
        <v>-122</v>
      </c>
      <c r="F17" s="402">
        <f>IF(C17=0,0,+E17/C17)</f>
        <v>-0.20198675496688742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29291</v>
      </c>
      <c r="D20" s="409">
        <v>29714</v>
      </c>
      <c r="E20" s="409">
        <f>+D20-C20</f>
        <v>423</v>
      </c>
      <c r="F20" s="410">
        <f>IF(C20=0,0,+E20/C20)</f>
        <v>1.4441295961216755E-2</v>
      </c>
    </row>
    <row r="21" spans="1:6" ht="15.75" customHeight="1" x14ac:dyDescent="0.2">
      <c r="A21" s="374">
        <v>2</v>
      </c>
      <c r="B21" s="408" t="s">
        <v>625</v>
      </c>
      <c r="C21" s="409">
        <v>6521</v>
      </c>
      <c r="D21" s="409">
        <v>6076</v>
      </c>
      <c r="E21" s="409">
        <f>+D21-C21</f>
        <v>-445</v>
      </c>
      <c r="F21" s="410">
        <f>IF(C21=0,0,+E21/C21)</f>
        <v>-6.8241067320963036E-2</v>
      </c>
    </row>
    <row r="22" spans="1:6" ht="15.75" customHeight="1" x14ac:dyDescent="0.25">
      <c r="A22" s="374"/>
      <c r="B22" s="399" t="s">
        <v>626</v>
      </c>
      <c r="C22" s="401">
        <f>SUM(C19:C21)</f>
        <v>35812</v>
      </c>
      <c r="D22" s="401">
        <f>SUM(D19:D21)</f>
        <v>35790</v>
      </c>
      <c r="E22" s="401">
        <f>+D22-C22</f>
        <v>-22</v>
      </c>
      <c r="F22" s="402">
        <f>IF(C22=0,0,+E22/C22)</f>
        <v>-6.1431922260694741E-4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0" t="s">
        <v>627</v>
      </c>
      <c r="C24" s="811"/>
      <c r="D24" s="811"/>
      <c r="E24" s="811"/>
      <c r="F24" s="812"/>
    </row>
    <row r="25" spans="1:6" ht="15.75" customHeight="1" x14ac:dyDescent="0.25">
      <c r="A25" s="392"/>
    </row>
    <row r="26" spans="1:6" ht="15.75" customHeight="1" x14ac:dyDescent="0.25">
      <c r="B26" s="810" t="s">
        <v>628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629</v>
      </c>
      <c r="C28" s="811"/>
      <c r="D28" s="811"/>
      <c r="E28" s="811"/>
      <c r="F28" s="812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54857930</v>
      </c>
      <c r="D15" s="448">
        <v>62018968</v>
      </c>
      <c r="E15" s="448">
        <f t="shared" ref="E15:E24" si="0">D15-C15</f>
        <v>7161038</v>
      </c>
      <c r="F15" s="449">
        <f t="shared" ref="F15:F24" si="1">IF(C15=0,0,E15/C15)</f>
        <v>0.13053788212570178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32316300</v>
      </c>
      <c r="D16" s="448">
        <v>34553159</v>
      </c>
      <c r="E16" s="448">
        <f t="shared" si="0"/>
        <v>2236859</v>
      </c>
      <c r="F16" s="449">
        <f t="shared" si="1"/>
        <v>6.9217670339735679E-2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0.5890907659111454</v>
      </c>
      <c r="D17" s="453">
        <f>IF(LN_IA1=0,0,LN_IA2/LN_IA1)</f>
        <v>0.55713856767174841</v>
      </c>
      <c r="E17" s="454">
        <f t="shared" si="0"/>
        <v>-3.1952198239396989E-2</v>
      </c>
      <c r="F17" s="449">
        <f t="shared" si="1"/>
        <v>-5.4239855873443536E-2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3482</v>
      </c>
      <c r="D18" s="456">
        <v>3510</v>
      </c>
      <c r="E18" s="456">
        <f t="shared" si="0"/>
        <v>28</v>
      </c>
      <c r="F18" s="449">
        <f t="shared" si="1"/>
        <v>8.0413555427914993E-3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1.3565</v>
      </c>
      <c r="D19" s="459">
        <v>1.4476</v>
      </c>
      <c r="E19" s="460">
        <f t="shared" si="0"/>
        <v>9.1099999999999959E-2</v>
      </c>
      <c r="F19" s="449">
        <f t="shared" si="1"/>
        <v>6.7158127534095072E-2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4723.3330000000005</v>
      </c>
      <c r="D20" s="463">
        <f>LN_IA4*LN_IA5</f>
        <v>5081.076</v>
      </c>
      <c r="E20" s="463">
        <f t="shared" si="0"/>
        <v>357.74299999999948</v>
      </c>
      <c r="F20" s="449">
        <f t="shared" si="1"/>
        <v>7.573952545797627E-2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6841.8424023883126</v>
      </c>
      <c r="D21" s="465">
        <f>IF(LN_IA6=0,0,LN_IA2/LN_IA6)</f>
        <v>6800.3625610008585</v>
      </c>
      <c r="E21" s="465">
        <f t="shared" si="0"/>
        <v>-41.479841387454144</v>
      </c>
      <c r="F21" s="449">
        <f t="shared" si="1"/>
        <v>-6.0626712730147934E-3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15393</v>
      </c>
      <c r="D22" s="456">
        <v>15882</v>
      </c>
      <c r="E22" s="456">
        <f t="shared" si="0"/>
        <v>489</v>
      </c>
      <c r="F22" s="449">
        <f t="shared" si="1"/>
        <v>3.1767686610797118E-2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2099.4153186513349</v>
      </c>
      <c r="D23" s="465">
        <f>IF(LN_IA8=0,0,LN_IA2/LN_IA8)</f>
        <v>2175.6176174285356</v>
      </c>
      <c r="E23" s="465">
        <f t="shared" si="0"/>
        <v>76.202298777200667</v>
      </c>
      <c r="F23" s="449">
        <f t="shared" si="1"/>
        <v>3.6296914717261874E-2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4.4207352096496271</v>
      </c>
      <c r="D24" s="466">
        <f>IF(LN_IA4=0,0,LN_IA8/LN_IA4)</f>
        <v>4.5247863247863247</v>
      </c>
      <c r="E24" s="466">
        <f t="shared" si="0"/>
        <v>0.10405111513669763</v>
      </c>
      <c r="F24" s="449">
        <f t="shared" si="1"/>
        <v>2.3537061190539926E-2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54574434</v>
      </c>
      <c r="D27" s="448">
        <v>60797693</v>
      </c>
      <c r="E27" s="448">
        <f t="shared" ref="E27:E32" si="2">D27-C27</f>
        <v>6223259</v>
      </c>
      <c r="F27" s="449">
        <f t="shared" ref="F27:F32" si="3">IF(C27=0,0,E27/C27)</f>
        <v>0.11403249734115428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21046538</v>
      </c>
      <c r="D28" s="448">
        <v>21867353</v>
      </c>
      <c r="E28" s="448">
        <f t="shared" si="2"/>
        <v>820815</v>
      </c>
      <c r="F28" s="449">
        <f t="shared" si="3"/>
        <v>3.9000000855247546E-2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0.38564830557839591</v>
      </c>
      <c r="D29" s="453">
        <f>IF(LN_IA11=0,0,LN_IA12/LN_IA11)</f>
        <v>0.35967405868508862</v>
      </c>
      <c r="E29" s="454">
        <f t="shared" si="2"/>
        <v>-2.5974246893307296E-2</v>
      </c>
      <c r="F29" s="449">
        <f t="shared" si="3"/>
        <v>-6.7352161328314619E-2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0.99483217831952464</v>
      </c>
      <c r="D30" s="453">
        <f>IF(LN_IA1=0,0,LN_IA11/LN_IA1)</f>
        <v>0.98030804059816024</v>
      </c>
      <c r="E30" s="454">
        <f t="shared" si="2"/>
        <v>-1.4524137721364405E-2</v>
      </c>
      <c r="F30" s="449">
        <f t="shared" si="3"/>
        <v>-1.4599585777270142E-2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3464.0056449085846</v>
      </c>
      <c r="D31" s="463">
        <f>LN_IA14*LN_IA4</f>
        <v>3440.8812224995422</v>
      </c>
      <c r="E31" s="463">
        <f t="shared" si="2"/>
        <v>-23.124422409042381</v>
      </c>
      <c r="F31" s="449">
        <f t="shared" si="3"/>
        <v>-6.6756306944911565E-3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6075.7805146577412</v>
      </c>
      <c r="D32" s="465">
        <f>IF(LN_IA15=0,0,LN_IA12/LN_IA15)</f>
        <v>6355.1606655329442</v>
      </c>
      <c r="E32" s="465">
        <f t="shared" si="2"/>
        <v>279.38015087520307</v>
      </c>
      <c r="F32" s="449">
        <f t="shared" si="3"/>
        <v>4.598259436811486E-2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109432364</v>
      </c>
      <c r="D35" s="448">
        <f>LN_IA1+LN_IA11</f>
        <v>122816661</v>
      </c>
      <c r="E35" s="448">
        <f>D35-C35</f>
        <v>13384297</v>
      </c>
      <c r="F35" s="449">
        <f>IF(C35=0,0,E35/C35)</f>
        <v>0.12230656919739027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53362838</v>
      </c>
      <c r="D36" s="448">
        <f>LN_IA2+LN_IA12</f>
        <v>56420512</v>
      </c>
      <c r="E36" s="448">
        <f>D36-C36</f>
        <v>3057674</v>
      </c>
      <c r="F36" s="449">
        <f>IF(C36=0,0,E36/C36)</f>
        <v>5.7299688596022573E-2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56069526</v>
      </c>
      <c r="D37" s="448">
        <f>LN_IA17-LN_IA18</f>
        <v>66396149</v>
      </c>
      <c r="E37" s="448">
        <f>D37-C37</f>
        <v>10326623</v>
      </c>
      <c r="F37" s="449">
        <f>IF(C37=0,0,E37/C37)</f>
        <v>0.18417532190302446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22018745</v>
      </c>
      <c r="D42" s="448">
        <v>24499963</v>
      </c>
      <c r="E42" s="448">
        <f t="shared" ref="E42:E53" si="4">D42-C42</f>
        <v>2481218</v>
      </c>
      <c r="F42" s="449">
        <f t="shared" ref="F42:F53" si="5">IF(C42=0,0,E42/C42)</f>
        <v>0.11268662223936923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14596102</v>
      </c>
      <c r="D43" s="448">
        <v>15060737</v>
      </c>
      <c r="E43" s="448">
        <f t="shared" si="4"/>
        <v>464635</v>
      </c>
      <c r="F43" s="449">
        <f t="shared" si="5"/>
        <v>3.1832813993763538E-2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0.6628943656870544</v>
      </c>
      <c r="D44" s="453">
        <f>IF(LN_IB1=0,0,LN_IB2/LN_IB1)</f>
        <v>0.61472488754370769</v>
      </c>
      <c r="E44" s="454">
        <f t="shared" si="4"/>
        <v>-4.8169478143346711E-2</v>
      </c>
      <c r="F44" s="449">
        <f t="shared" si="5"/>
        <v>-7.2665390802381671E-2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1720</v>
      </c>
      <c r="D45" s="456">
        <v>1821</v>
      </c>
      <c r="E45" s="456">
        <f t="shared" si="4"/>
        <v>101</v>
      </c>
      <c r="F45" s="449">
        <f t="shared" si="5"/>
        <v>5.8720930232558137E-2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1.1603000000000001</v>
      </c>
      <c r="D46" s="459">
        <v>1.0895999999999999</v>
      </c>
      <c r="E46" s="460">
        <f t="shared" si="4"/>
        <v>-7.0700000000000207E-2</v>
      </c>
      <c r="F46" s="449">
        <f t="shared" si="5"/>
        <v>-6.0932517452383178E-2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1995.7160000000001</v>
      </c>
      <c r="D47" s="463">
        <f>LN_IB4*LN_IB5</f>
        <v>1984.1615999999999</v>
      </c>
      <c r="E47" s="463">
        <f t="shared" si="4"/>
        <v>-11.554400000000214</v>
      </c>
      <c r="F47" s="449">
        <f t="shared" si="5"/>
        <v>-5.7896013260404855E-3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7313.7169817749618</v>
      </c>
      <c r="D48" s="465">
        <f>IF(LN_IB6=0,0,LN_IB2/LN_IB6)</f>
        <v>7590.4790214668001</v>
      </c>
      <c r="E48" s="465">
        <f t="shared" si="4"/>
        <v>276.76203969183825</v>
      </c>
      <c r="F48" s="449">
        <f t="shared" si="5"/>
        <v>3.7841502533048667E-2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-471.8745793866492</v>
      </c>
      <c r="D49" s="465">
        <f>LN_IA7-LN_IB7</f>
        <v>-790.1164604659416</v>
      </c>
      <c r="E49" s="465">
        <f t="shared" si="4"/>
        <v>-318.2418810792924</v>
      </c>
      <c r="F49" s="449">
        <f t="shared" si="5"/>
        <v>0.67442048158845247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-941727.64807520609</v>
      </c>
      <c r="D50" s="479">
        <f>LN_IB8*LN_IB6</f>
        <v>-1567718.7403844395</v>
      </c>
      <c r="E50" s="479">
        <f t="shared" si="4"/>
        <v>-625991.09230923338</v>
      </c>
      <c r="F50" s="449">
        <f t="shared" si="5"/>
        <v>0.66472625454789869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5533</v>
      </c>
      <c r="D51" s="456">
        <v>5952</v>
      </c>
      <c r="E51" s="456">
        <f t="shared" si="4"/>
        <v>419</v>
      </c>
      <c r="F51" s="449">
        <f t="shared" si="5"/>
        <v>7.5727453461051877E-2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2638.0086752213988</v>
      </c>
      <c r="D52" s="465">
        <f>IF(LN_IB10=0,0,LN_IB2/LN_IB10)</f>
        <v>2530.3657594086021</v>
      </c>
      <c r="E52" s="465">
        <f t="shared" si="4"/>
        <v>-107.64291581279667</v>
      </c>
      <c r="F52" s="449">
        <f t="shared" si="5"/>
        <v>-4.0804610244036664E-2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3.2168604651162789</v>
      </c>
      <c r="D53" s="466">
        <f>IF(LN_IB4=0,0,LN_IB10/LN_IB4)</f>
        <v>3.2685337726523889</v>
      </c>
      <c r="E53" s="466">
        <f t="shared" si="4"/>
        <v>5.1673307536109991E-2</v>
      </c>
      <c r="F53" s="449">
        <f t="shared" si="5"/>
        <v>1.6063272901158356E-2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62201161</v>
      </c>
      <c r="D56" s="448">
        <v>63280634</v>
      </c>
      <c r="E56" s="448">
        <f t="shared" ref="E56:E63" si="6">D56-C56</f>
        <v>1079473</v>
      </c>
      <c r="F56" s="449">
        <f t="shared" ref="F56:F63" si="7">IF(C56=0,0,E56/C56)</f>
        <v>1.7354547449685061E-2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29606147</v>
      </c>
      <c r="D57" s="448">
        <v>29610878</v>
      </c>
      <c r="E57" s="448">
        <f t="shared" si="6"/>
        <v>4731</v>
      </c>
      <c r="F57" s="449">
        <f t="shared" si="7"/>
        <v>1.597978960247681E-4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0.47597418639822492</v>
      </c>
      <c r="D58" s="453">
        <f>IF(LN_IB13=0,0,LN_IB14/LN_IB13)</f>
        <v>0.46792954065536069</v>
      </c>
      <c r="E58" s="454">
        <f t="shared" si="6"/>
        <v>-8.0446457428642315E-3</v>
      </c>
      <c r="F58" s="449">
        <f t="shared" si="7"/>
        <v>-1.6901432835548059E-2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2.8249185409976816</v>
      </c>
      <c r="D59" s="453">
        <f>IF(LN_IB1=0,0,LN_IB13/LN_IB1)</f>
        <v>2.5828869210945338</v>
      </c>
      <c r="E59" s="454">
        <f t="shared" si="6"/>
        <v>-0.24203161990314781</v>
      </c>
      <c r="F59" s="449">
        <f t="shared" si="7"/>
        <v>-8.5677380211349061E-2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4858.8598905160125</v>
      </c>
      <c r="D60" s="463">
        <f>LN_IB16*LN_IB4</f>
        <v>4703.4370833131461</v>
      </c>
      <c r="E60" s="463">
        <f t="shared" si="6"/>
        <v>-155.42280720286635</v>
      </c>
      <c r="F60" s="449">
        <f t="shared" si="7"/>
        <v>-3.1987505444689909E-2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6093.2292074912693</v>
      </c>
      <c r="D61" s="465">
        <f>IF(LN_IB17=0,0,LN_IB14/LN_IB17)</f>
        <v>6295.5828844938678</v>
      </c>
      <c r="E61" s="465">
        <f t="shared" si="6"/>
        <v>202.35367700259849</v>
      </c>
      <c r="F61" s="449">
        <f t="shared" si="7"/>
        <v>3.3209595456185445E-2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-17.448692833528185</v>
      </c>
      <c r="D62" s="465">
        <f>LN_IA16-LN_IB18</f>
        <v>59.577781039076399</v>
      </c>
      <c r="E62" s="465">
        <f t="shared" si="6"/>
        <v>77.026473872604583</v>
      </c>
      <c r="F62" s="449">
        <f t="shared" si="7"/>
        <v>-4.4144552607743721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-84780.753750764285</v>
      </c>
      <c r="D63" s="448">
        <f>LN_IB19*LN_IB17</f>
        <v>280220.34468070278</v>
      </c>
      <c r="E63" s="448">
        <f t="shared" si="6"/>
        <v>365001.09843146708</v>
      </c>
      <c r="F63" s="449">
        <f t="shared" si="7"/>
        <v>-4.3052353545297022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84219906</v>
      </c>
      <c r="D66" s="448">
        <f>LN_IB1+LN_IB13</f>
        <v>87780597</v>
      </c>
      <c r="E66" s="448">
        <f>D66-C66</f>
        <v>3560691</v>
      </c>
      <c r="F66" s="449">
        <f>IF(C66=0,0,E66/C66)</f>
        <v>4.2278496487516859E-2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44202249</v>
      </c>
      <c r="D67" s="448">
        <f>LN_IB2+LN_IB14</f>
        <v>44671615</v>
      </c>
      <c r="E67" s="448">
        <f>D67-C67</f>
        <v>469366</v>
      </c>
      <c r="F67" s="449">
        <f>IF(C67=0,0,E67/C67)</f>
        <v>1.0618599972141689E-2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40017657</v>
      </c>
      <c r="D68" s="448">
        <f>LN_IB21-LN_IB22</f>
        <v>43108982</v>
      </c>
      <c r="E68" s="448">
        <f>D68-C68</f>
        <v>3091325</v>
      </c>
      <c r="F68" s="449">
        <f>IF(C68=0,0,E68/C68)</f>
        <v>7.7249025348985326E-2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-1026508.4018259704</v>
      </c>
      <c r="D70" s="441">
        <f>LN_IB9+LN_IB20</f>
        <v>-1287498.3957037367</v>
      </c>
      <c r="E70" s="448">
        <f>D70-C70</f>
        <v>-260989.9938777663</v>
      </c>
      <c r="F70" s="449">
        <f>IF(C70=0,0,E70/C70)</f>
        <v>0.25425022670395381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84219906</v>
      </c>
      <c r="D73" s="488">
        <v>87780597</v>
      </c>
      <c r="E73" s="488">
        <f>D73-C73</f>
        <v>3560691</v>
      </c>
      <c r="F73" s="489">
        <f>IF(C73=0,0,E73/C73)</f>
        <v>4.2278496487516859E-2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49094597</v>
      </c>
      <c r="D74" s="488">
        <v>51264194</v>
      </c>
      <c r="E74" s="488">
        <f>D74-C74</f>
        <v>2169597</v>
      </c>
      <c r="F74" s="489">
        <f>IF(C74=0,0,E74/C74)</f>
        <v>4.4192174548250189E-2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35125309</v>
      </c>
      <c r="D76" s="441">
        <f>LN_IB32-LN_IB33</f>
        <v>36516403</v>
      </c>
      <c r="E76" s="488">
        <f>D76-C76</f>
        <v>1391094</v>
      </c>
      <c r="F76" s="489">
        <f>IF(E76=0,0,E76/C76)</f>
        <v>3.9603751243868064E-2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0.41706658993421342</v>
      </c>
      <c r="D77" s="453">
        <f>IF(LN_IB32=0,0,LN_IB34/LN_IB32)</f>
        <v>0.41599629357726969</v>
      </c>
      <c r="E77" s="493">
        <f>D77-C77</f>
        <v>-1.0702963569437229E-3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1298459</v>
      </c>
      <c r="D83" s="448">
        <v>1590204</v>
      </c>
      <c r="E83" s="448">
        <f t="shared" ref="E83:E95" si="8">D83-C83</f>
        <v>291745</v>
      </c>
      <c r="F83" s="449">
        <f t="shared" ref="F83:F95" si="9">IF(C83=0,0,E83/C83)</f>
        <v>0.22468556958671779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330637</v>
      </c>
      <c r="D84" s="448">
        <v>272165</v>
      </c>
      <c r="E84" s="448">
        <f t="shared" si="8"/>
        <v>-58472</v>
      </c>
      <c r="F84" s="449">
        <f t="shared" si="9"/>
        <v>-0.17684651143096508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0.25463799781125163</v>
      </c>
      <c r="D85" s="453">
        <f>IF(LN_IC1=0,0,LN_IC2/LN_IC1)</f>
        <v>0.17115099697900396</v>
      </c>
      <c r="E85" s="454">
        <f t="shared" si="8"/>
        <v>-8.3487000832247665E-2</v>
      </c>
      <c r="F85" s="449">
        <f t="shared" si="9"/>
        <v>-0.32786544643714854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114</v>
      </c>
      <c r="D86" s="456">
        <v>200</v>
      </c>
      <c r="E86" s="456">
        <f t="shared" si="8"/>
        <v>86</v>
      </c>
      <c r="F86" s="449">
        <f t="shared" si="9"/>
        <v>0.75438596491228072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1.0903</v>
      </c>
      <c r="D87" s="459">
        <v>1.0268999999999999</v>
      </c>
      <c r="E87" s="460">
        <f t="shared" si="8"/>
        <v>-6.3400000000000123E-2</v>
      </c>
      <c r="F87" s="449">
        <f t="shared" si="9"/>
        <v>-5.8149133266073669E-2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124.2942</v>
      </c>
      <c r="D88" s="463">
        <f>LN_IC4*LN_IC5</f>
        <v>205.38</v>
      </c>
      <c r="E88" s="463">
        <f t="shared" si="8"/>
        <v>81.085799999999992</v>
      </c>
      <c r="F88" s="449">
        <f t="shared" si="9"/>
        <v>0.6523699416384674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2660.1160794308985</v>
      </c>
      <c r="D89" s="465">
        <f>IF(LN_IC6=0,0,LN_IC2/LN_IC6)</f>
        <v>1325.1777193494986</v>
      </c>
      <c r="E89" s="465">
        <f t="shared" si="8"/>
        <v>-1334.9383600813999</v>
      </c>
      <c r="F89" s="449">
        <f t="shared" si="9"/>
        <v>-0.50183462684342506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4653.6009023440638</v>
      </c>
      <c r="D90" s="465">
        <f>LN_IB7-LN_IC7</f>
        <v>6265.301302117301</v>
      </c>
      <c r="E90" s="465">
        <f t="shared" si="8"/>
        <v>1611.7003997732372</v>
      </c>
      <c r="F90" s="449">
        <f t="shared" si="9"/>
        <v>0.34633403972425053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4181.7263229574146</v>
      </c>
      <c r="D91" s="465">
        <f>LN_IA7-LN_IC7</f>
        <v>5475.1848416513603</v>
      </c>
      <c r="E91" s="465">
        <f t="shared" si="8"/>
        <v>1293.4585186939457</v>
      </c>
      <c r="F91" s="449">
        <f t="shared" si="9"/>
        <v>0.30931209237508916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519764.3279309335</v>
      </c>
      <c r="D92" s="441">
        <f>LN_IC9*LN_IC6</f>
        <v>1124493.4627783564</v>
      </c>
      <c r="E92" s="441">
        <f t="shared" si="8"/>
        <v>604729.13484742283</v>
      </c>
      <c r="F92" s="449">
        <f t="shared" si="9"/>
        <v>1.1634679456643655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392</v>
      </c>
      <c r="D93" s="456">
        <v>696</v>
      </c>
      <c r="E93" s="456">
        <f t="shared" si="8"/>
        <v>304</v>
      </c>
      <c r="F93" s="449">
        <f t="shared" si="9"/>
        <v>0.77551020408163263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843.46173469387759</v>
      </c>
      <c r="D94" s="499">
        <f>IF(LN_IC11=0,0,LN_IC2/LN_IC11)</f>
        <v>391.04166666666669</v>
      </c>
      <c r="E94" s="499">
        <f t="shared" si="8"/>
        <v>-452.4200680272109</v>
      </c>
      <c r="F94" s="449">
        <f t="shared" si="9"/>
        <v>-0.53638481678295735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3.4385964912280702</v>
      </c>
      <c r="D95" s="466">
        <f>IF(LN_IC4=0,0,LN_IC11/LN_IC4)</f>
        <v>3.48</v>
      </c>
      <c r="E95" s="466">
        <f t="shared" si="8"/>
        <v>4.1403508771929776E-2</v>
      </c>
      <c r="F95" s="449">
        <f t="shared" si="9"/>
        <v>1.2040816326530599E-2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5212131</v>
      </c>
      <c r="D98" s="448">
        <v>5513269</v>
      </c>
      <c r="E98" s="448">
        <f t="shared" ref="E98:E106" si="10">D98-C98</f>
        <v>301138</v>
      </c>
      <c r="F98" s="449">
        <f t="shared" ref="F98:F106" si="11">IF(C98=0,0,E98/C98)</f>
        <v>5.7776368245541027E-2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1327208</v>
      </c>
      <c r="D99" s="448">
        <v>943602</v>
      </c>
      <c r="E99" s="448">
        <f t="shared" si="10"/>
        <v>-383606</v>
      </c>
      <c r="F99" s="449">
        <f t="shared" si="11"/>
        <v>-0.2890323144525952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0.25463826599907025</v>
      </c>
      <c r="D100" s="453">
        <f>IF(LN_IC14=0,0,LN_IC15/LN_IC14)</f>
        <v>0.17115109021526068</v>
      </c>
      <c r="E100" s="454">
        <f t="shared" si="10"/>
        <v>-8.348717578380957E-2</v>
      </c>
      <c r="F100" s="449">
        <f t="shared" si="11"/>
        <v>-0.32786578818485357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4.0140897787300176</v>
      </c>
      <c r="D101" s="453">
        <f>IF(LN_IC1=0,0,LN_IC14/LN_IC1)</f>
        <v>3.4670199546724825</v>
      </c>
      <c r="E101" s="454">
        <f t="shared" si="10"/>
        <v>-0.54706982405753513</v>
      </c>
      <c r="F101" s="449">
        <f t="shared" si="11"/>
        <v>-0.1362873912178959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457.60623477522199</v>
      </c>
      <c r="D102" s="463">
        <f>LN_IC17*LN_IC4</f>
        <v>693.40399093449651</v>
      </c>
      <c r="E102" s="463">
        <f t="shared" si="10"/>
        <v>235.79775615927451</v>
      </c>
      <c r="F102" s="449">
        <f t="shared" si="11"/>
        <v>0.51528527856509498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2900.32761606041</v>
      </c>
      <c r="D103" s="465">
        <f>IF(LN_IC18=0,0,LN_IC15/LN_IC18)</f>
        <v>1360.8257413233418</v>
      </c>
      <c r="E103" s="465">
        <f t="shared" si="10"/>
        <v>-1539.5018747370682</v>
      </c>
      <c r="F103" s="449">
        <f t="shared" si="11"/>
        <v>-0.53080275007973521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3192.9015914308593</v>
      </c>
      <c r="D104" s="465">
        <f>LN_IB18-LN_IC19</f>
        <v>4934.7571431705255</v>
      </c>
      <c r="E104" s="465">
        <f t="shared" si="10"/>
        <v>1741.8555517396662</v>
      </c>
      <c r="F104" s="449">
        <f t="shared" si="11"/>
        <v>0.54554000549671666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3175.4528985973311</v>
      </c>
      <c r="D105" s="465">
        <f>LN_IA16-LN_IC19</f>
        <v>4994.3349242096028</v>
      </c>
      <c r="E105" s="465">
        <f t="shared" si="10"/>
        <v>1818.8820256122717</v>
      </c>
      <c r="F105" s="449">
        <f t="shared" si="11"/>
        <v>0.57279452213437421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1453107.0446331894</v>
      </c>
      <c r="D106" s="448">
        <f>LN_IC21*LN_IC18</f>
        <v>3463091.7685104748</v>
      </c>
      <c r="E106" s="448">
        <f t="shared" si="10"/>
        <v>2009984.7238772854</v>
      </c>
      <c r="F106" s="449">
        <f t="shared" si="11"/>
        <v>1.3832323855980408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6510590</v>
      </c>
      <c r="D109" s="448">
        <f>LN_IC1+LN_IC14</f>
        <v>7103473</v>
      </c>
      <c r="E109" s="448">
        <f>D109-C109</f>
        <v>592883</v>
      </c>
      <c r="F109" s="449">
        <f>IF(C109=0,0,E109/C109)</f>
        <v>9.1064404301299876E-2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1657845</v>
      </c>
      <c r="D110" s="448">
        <f>LN_IC2+LN_IC15</f>
        <v>1215767</v>
      </c>
      <c r="E110" s="448">
        <f>D110-C110</f>
        <v>-442078</v>
      </c>
      <c r="F110" s="449">
        <f>IF(C110=0,0,E110/C110)</f>
        <v>-0.26665822196888128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4852745</v>
      </c>
      <c r="D111" s="448">
        <f>LN_IC23-LN_IC24</f>
        <v>5887706</v>
      </c>
      <c r="E111" s="448">
        <f>D111-C111</f>
        <v>1034961</v>
      </c>
      <c r="F111" s="449">
        <f>IF(C111=0,0,E111/C111)</f>
        <v>0.2132733123211708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1972871.372564123</v>
      </c>
      <c r="D113" s="448">
        <f>LN_IC10+LN_IC22</f>
        <v>4587585.2312888317</v>
      </c>
      <c r="E113" s="448">
        <f>D113-C113</f>
        <v>2614713.8587247087</v>
      </c>
      <c r="F113" s="449">
        <f>IF(C113=0,0,E113/C113)</f>
        <v>1.3253341779329428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11890723</v>
      </c>
      <c r="D118" s="448">
        <v>14536044</v>
      </c>
      <c r="E118" s="448">
        <f t="shared" ref="E118:E130" si="12">D118-C118</f>
        <v>2645321</v>
      </c>
      <c r="F118" s="449">
        <f t="shared" ref="F118:F130" si="13">IF(C118=0,0,E118/C118)</f>
        <v>0.2224693149440955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5127166</v>
      </c>
      <c r="D119" s="448">
        <v>5045202</v>
      </c>
      <c r="E119" s="448">
        <f t="shared" si="12"/>
        <v>-81964</v>
      </c>
      <c r="F119" s="449">
        <f t="shared" si="13"/>
        <v>-1.5986219287614248E-2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0.43119043307963695</v>
      </c>
      <c r="D120" s="453">
        <f>IF(LN_ID1=0,0,LN_1D2/LN_ID1)</f>
        <v>0.34708219100052257</v>
      </c>
      <c r="E120" s="454">
        <f t="shared" si="12"/>
        <v>-8.4108242079114381E-2</v>
      </c>
      <c r="F120" s="449">
        <f t="shared" si="13"/>
        <v>-0.19506054779183923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1103</v>
      </c>
      <c r="D121" s="456">
        <v>1167</v>
      </c>
      <c r="E121" s="456">
        <f t="shared" si="12"/>
        <v>64</v>
      </c>
      <c r="F121" s="449">
        <f t="shared" si="13"/>
        <v>5.8023572076155938E-2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1.0074000000000001</v>
      </c>
      <c r="D122" s="459">
        <v>1.048</v>
      </c>
      <c r="E122" s="460">
        <f t="shared" si="12"/>
        <v>4.0599999999999969E-2</v>
      </c>
      <c r="F122" s="449">
        <f t="shared" si="13"/>
        <v>4.0301766924756767E-2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1111.1622</v>
      </c>
      <c r="D123" s="463">
        <f>LN_ID4*LN_ID5</f>
        <v>1223.0160000000001</v>
      </c>
      <c r="E123" s="463">
        <f t="shared" si="12"/>
        <v>111.85380000000009</v>
      </c>
      <c r="F123" s="449">
        <f t="shared" si="13"/>
        <v>0.10066379147886789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4614.2372373718254</v>
      </c>
      <c r="D124" s="465">
        <f>IF(LN_ID6=0,0,LN_1D2/LN_ID6)</f>
        <v>4125.2134068564919</v>
      </c>
      <c r="E124" s="465">
        <f t="shared" si="12"/>
        <v>-489.02383051533343</v>
      </c>
      <c r="F124" s="449">
        <f t="shared" si="13"/>
        <v>-0.10598151013012745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2699.4797444031365</v>
      </c>
      <c r="D125" s="465">
        <f>LN_IB7-LN_ID7</f>
        <v>3465.2656146103081</v>
      </c>
      <c r="E125" s="465">
        <f t="shared" si="12"/>
        <v>765.78587020717168</v>
      </c>
      <c r="F125" s="449">
        <f t="shared" si="13"/>
        <v>0.28367905771283697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2227.6051650164873</v>
      </c>
      <c r="D126" s="465">
        <f>LN_IA7-LN_ID7</f>
        <v>2675.1491541443665</v>
      </c>
      <c r="E126" s="465">
        <f t="shared" si="12"/>
        <v>447.54398912787929</v>
      </c>
      <c r="F126" s="449">
        <f t="shared" si="13"/>
        <v>0.20090813046959641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2475230.6558910832</v>
      </c>
      <c r="D127" s="479">
        <f>LN_ID9*LN_ID6</f>
        <v>3271750.2179050269</v>
      </c>
      <c r="E127" s="479">
        <f t="shared" si="12"/>
        <v>796519.56201394368</v>
      </c>
      <c r="F127" s="449">
        <f t="shared" si="13"/>
        <v>0.32179609610046489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4172</v>
      </c>
      <c r="D128" s="456">
        <v>4603</v>
      </c>
      <c r="E128" s="456">
        <f t="shared" si="12"/>
        <v>431</v>
      </c>
      <c r="F128" s="449">
        <f t="shared" si="13"/>
        <v>0.10330776605944392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1228.9467881112175</v>
      </c>
      <c r="D129" s="465">
        <f>IF(LN_ID11=0,0,LN_1D2/LN_ID11)</f>
        <v>1096.0682163806214</v>
      </c>
      <c r="E129" s="465">
        <f t="shared" si="12"/>
        <v>-132.87857173059615</v>
      </c>
      <c r="F129" s="449">
        <f t="shared" si="13"/>
        <v>-0.10812394240015774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3.7824116047144152</v>
      </c>
      <c r="D130" s="466">
        <f>IF(LN_ID4=0,0,LN_ID11/LN_ID4)</f>
        <v>3.9443016281062553</v>
      </c>
      <c r="E130" s="466">
        <f t="shared" si="12"/>
        <v>0.16189002339184011</v>
      </c>
      <c r="F130" s="449">
        <f t="shared" si="13"/>
        <v>4.2800742042473548E-2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30243245</v>
      </c>
      <c r="D133" s="448">
        <v>33657530</v>
      </c>
      <c r="E133" s="448">
        <f t="shared" ref="E133:E141" si="14">D133-C133</f>
        <v>3414285</v>
      </c>
      <c r="F133" s="449">
        <f t="shared" ref="F133:F141" si="15">IF(C133=0,0,E133/C133)</f>
        <v>0.1128941355334059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9751063</v>
      </c>
      <c r="D134" s="448">
        <v>10846419</v>
      </c>
      <c r="E134" s="448">
        <f t="shared" si="14"/>
        <v>1095356</v>
      </c>
      <c r="F134" s="449">
        <f t="shared" si="15"/>
        <v>0.11233195806446948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0.32242118859930541</v>
      </c>
      <c r="D135" s="453">
        <f>IF(LN_ID14=0,0,LN_ID15/LN_ID14)</f>
        <v>0.32225831782664976</v>
      </c>
      <c r="E135" s="454">
        <f t="shared" si="14"/>
        <v>-1.6287077265564331E-4</v>
      </c>
      <c r="F135" s="449">
        <f t="shared" si="15"/>
        <v>-5.0514909818180046E-4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2.5434319679299566</v>
      </c>
      <c r="D136" s="453">
        <f>IF(LN_ID1=0,0,LN_ID14/LN_ID1)</f>
        <v>2.3154532278520894</v>
      </c>
      <c r="E136" s="454">
        <f t="shared" si="14"/>
        <v>-0.22797874007786723</v>
      </c>
      <c r="F136" s="449">
        <f t="shared" si="15"/>
        <v>-8.9634298441021054E-2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2805.4054606267423</v>
      </c>
      <c r="D137" s="463">
        <f>LN_ID17*LN_ID4</f>
        <v>2702.1339169033881</v>
      </c>
      <c r="E137" s="463">
        <f t="shared" si="14"/>
        <v>-103.27154372335417</v>
      </c>
      <c r="F137" s="449">
        <f t="shared" si="15"/>
        <v>-3.6811628540953496E-2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3475.8123689620115</v>
      </c>
      <c r="D138" s="465">
        <f>IF(LN_ID18=0,0,LN_ID15/LN_ID18)</f>
        <v>4014.0197834568694</v>
      </c>
      <c r="E138" s="465">
        <f t="shared" si="14"/>
        <v>538.20741449485786</v>
      </c>
      <c r="F138" s="449">
        <f t="shared" si="15"/>
        <v>0.15484363290173334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2617.4168385292578</v>
      </c>
      <c r="D139" s="465">
        <f>LN_IB18-LN_ID19</f>
        <v>2281.5631010369984</v>
      </c>
      <c r="E139" s="465">
        <f t="shared" si="14"/>
        <v>-335.85373749225937</v>
      </c>
      <c r="F139" s="449">
        <f t="shared" si="15"/>
        <v>-0.12831496021129657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2599.9681456957296</v>
      </c>
      <c r="D140" s="465">
        <f>LN_IA16-LN_ID19</f>
        <v>2341.1408820760748</v>
      </c>
      <c r="E140" s="465">
        <f t="shared" si="14"/>
        <v>-258.82726361965479</v>
      </c>
      <c r="F140" s="449">
        <f t="shared" si="15"/>
        <v>-9.9550167200373449E-2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7293964.8333903849</v>
      </c>
      <c r="D141" s="441">
        <f>LN_ID21*LN_ID18</f>
        <v>6326076.1817068774</v>
      </c>
      <c r="E141" s="441">
        <f t="shared" si="14"/>
        <v>-967888.65168350749</v>
      </c>
      <c r="F141" s="449">
        <f t="shared" si="15"/>
        <v>-0.13269719196515689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42133968</v>
      </c>
      <c r="D144" s="448">
        <f>LN_ID1+LN_ID14</f>
        <v>48193574</v>
      </c>
      <c r="E144" s="448">
        <f>D144-C144</f>
        <v>6059606</v>
      </c>
      <c r="F144" s="449">
        <f>IF(C144=0,0,E144/C144)</f>
        <v>0.14381759629190397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14878229</v>
      </c>
      <c r="D145" s="448">
        <f>LN_1D2+LN_ID15</f>
        <v>15891621</v>
      </c>
      <c r="E145" s="448">
        <f>D145-C145</f>
        <v>1013392</v>
      </c>
      <c r="F145" s="449">
        <f>IF(C145=0,0,E145/C145)</f>
        <v>6.8112407733474198E-2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27255739</v>
      </c>
      <c r="D146" s="448">
        <f>LN_ID23-LN_ID24</f>
        <v>32301953</v>
      </c>
      <c r="E146" s="448">
        <f>D146-C146</f>
        <v>5046214</v>
      </c>
      <c r="F146" s="449">
        <f>IF(C146=0,0,E146/C146)</f>
        <v>0.18514317296625127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9769195.4892814681</v>
      </c>
      <c r="D148" s="448">
        <f>LN_ID10+LN_ID22</f>
        <v>9597826.3996119052</v>
      </c>
      <c r="E148" s="448">
        <f>D148-C148</f>
        <v>-171369.08966956288</v>
      </c>
      <c r="F148" s="503">
        <f>IF(C148=0,0,E148/C148)</f>
        <v>-1.7541781189411659E-2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71313</v>
      </c>
      <c r="D153" s="448">
        <v>20290</v>
      </c>
      <c r="E153" s="448">
        <f t="shared" ref="E153:E165" si="16">D153-C153</f>
        <v>-51023</v>
      </c>
      <c r="F153" s="449">
        <f t="shared" ref="F153:F165" si="17">IF(C153=0,0,E153/C153)</f>
        <v>-0.71547964606733694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30421</v>
      </c>
      <c r="D154" s="448">
        <v>18644</v>
      </c>
      <c r="E154" s="448">
        <f t="shared" si="16"/>
        <v>-11777</v>
      </c>
      <c r="F154" s="449">
        <f t="shared" si="17"/>
        <v>-0.38713388777489233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0.42658421325704993</v>
      </c>
      <c r="D155" s="453">
        <f>IF(LN_IE1=0,0,LN_IE2/LN_IE1)</f>
        <v>0.91887629374075896</v>
      </c>
      <c r="E155" s="454">
        <f t="shared" si="16"/>
        <v>0.49229208048370904</v>
      </c>
      <c r="F155" s="449">
        <f t="shared" si="17"/>
        <v>1.1540325806362297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</v>
      </c>
      <c r="D156" s="506">
        <v>3</v>
      </c>
      <c r="E156" s="506">
        <f t="shared" si="16"/>
        <v>1</v>
      </c>
      <c r="F156" s="449">
        <f t="shared" si="17"/>
        <v>0.5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1.512</v>
      </c>
      <c r="D157" s="459">
        <v>1.1234999999999999</v>
      </c>
      <c r="E157" s="460">
        <f t="shared" si="16"/>
        <v>-0.38850000000000007</v>
      </c>
      <c r="F157" s="449">
        <f t="shared" si="17"/>
        <v>-0.25694444444444448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3.024</v>
      </c>
      <c r="D158" s="463">
        <f>LN_IE4*LN_IE5</f>
        <v>3.3704999999999998</v>
      </c>
      <c r="E158" s="463">
        <f t="shared" si="16"/>
        <v>0.34649999999999981</v>
      </c>
      <c r="F158" s="449">
        <f t="shared" si="17"/>
        <v>0.11458333333333327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10059.854497354498</v>
      </c>
      <c r="D159" s="465">
        <f>IF(LN_IE6=0,0,LN_IE2/LN_IE6)</f>
        <v>5531.5235128319246</v>
      </c>
      <c r="E159" s="465">
        <f t="shared" si="16"/>
        <v>-4528.3309845225731</v>
      </c>
      <c r="F159" s="449">
        <f t="shared" si="17"/>
        <v>-0.4501388151999034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-2746.1375155795358</v>
      </c>
      <c r="D160" s="465">
        <f>LN_IB7-LN_IE7</f>
        <v>2058.9555086348755</v>
      </c>
      <c r="E160" s="465">
        <f t="shared" si="16"/>
        <v>4805.0930242144113</v>
      </c>
      <c r="F160" s="449">
        <f t="shared" si="17"/>
        <v>-1.7497641676550784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-3218.012094966185</v>
      </c>
      <c r="D161" s="465">
        <f>LN_IA7-LN_IE7</f>
        <v>1268.8390481689339</v>
      </c>
      <c r="E161" s="465">
        <f t="shared" si="16"/>
        <v>4486.8511431351189</v>
      </c>
      <c r="F161" s="449">
        <f t="shared" si="17"/>
        <v>-1.3942928151680134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-9731.2685751777444</v>
      </c>
      <c r="D162" s="479">
        <f>LN_IE9*LN_IE6</f>
        <v>4276.6220118533911</v>
      </c>
      <c r="E162" s="479">
        <f t="shared" si="16"/>
        <v>14007.890587031136</v>
      </c>
      <c r="F162" s="449">
        <f t="shared" si="17"/>
        <v>-1.4394722002393483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31</v>
      </c>
      <c r="D163" s="456">
        <v>5</v>
      </c>
      <c r="E163" s="506">
        <f t="shared" si="16"/>
        <v>-26</v>
      </c>
      <c r="F163" s="449">
        <f t="shared" si="17"/>
        <v>-0.83870967741935487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981.32258064516134</v>
      </c>
      <c r="D164" s="465">
        <f>IF(LN_IE11=0,0,LN_IE2/LN_IE11)</f>
        <v>3728.8</v>
      </c>
      <c r="E164" s="465">
        <f t="shared" si="16"/>
        <v>2747.4774193548387</v>
      </c>
      <c r="F164" s="449">
        <f t="shared" si="17"/>
        <v>2.7997698957956674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15.5</v>
      </c>
      <c r="D165" s="466">
        <f>IF(LN_IE4=0,0,LN_IE11/LN_IE4)</f>
        <v>1.6666666666666667</v>
      </c>
      <c r="E165" s="466">
        <f t="shared" si="16"/>
        <v>-13.833333333333334</v>
      </c>
      <c r="F165" s="449">
        <f t="shared" si="17"/>
        <v>-0.89247311827956988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205041</v>
      </c>
      <c r="D168" s="511">
        <v>153409</v>
      </c>
      <c r="E168" s="511">
        <f t="shared" ref="E168:E176" si="18">D168-C168</f>
        <v>-51632</v>
      </c>
      <c r="F168" s="449">
        <f t="shared" ref="F168:F176" si="19">IF(C168=0,0,E168/C168)</f>
        <v>-0.2518130520237416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37780</v>
      </c>
      <c r="D169" s="511">
        <v>31406</v>
      </c>
      <c r="E169" s="511">
        <f t="shared" si="18"/>
        <v>-6374</v>
      </c>
      <c r="F169" s="449">
        <f t="shared" si="19"/>
        <v>-0.16871360508205399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0.18425583176047716</v>
      </c>
      <c r="D170" s="453">
        <f>IF(LN_IE14=0,0,LN_IE15/LN_IE14)</f>
        <v>0.20472071390857122</v>
      </c>
      <c r="E170" s="454">
        <f t="shared" si="18"/>
        <v>2.0464882148094055E-2</v>
      </c>
      <c r="F170" s="449">
        <f t="shared" si="19"/>
        <v>0.11106775808701305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2.8752261158554542</v>
      </c>
      <c r="D171" s="453">
        <f>IF(LN_IE1=0,0,LN_IE14/LN_IE1)</f>
        <v>7.5608181370133067</v>
      </c>
      <c r="E171" s="454">
        <f t="shared" si="18"/>
        <v>4.6855920211578521</v>
      </c>
      <c r="F171" s="449">
        <f t="shared" si="19"/>
        <v>1.6296429680153233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5.7504522317109084</v>
      </c>
      <c r="D172" s="463">
        <f>LN_IE17*LN_IE4</f>
        <v>22.68245441103992</v>
      </c>
      <c r="E172" s="463">
        <f t="shared" si="18"/>
        <v>16.932002179329011</v>
      </c>
      <c r="F172" s="449">
        <f t="shared" si="19"/>
        <v>2.9444644520229848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6569.9180651674542</v>
      </c>
      <c r="D173" s="465">
        <f>IF(LN_IE18=0,0,LN_IE15/LN_IE18)</f>
        <v>1384.5944284016366</v>
      </c>
      <c r="E173" s="465">
        <f t="shared" si="18"/>
        <v>-5185.3236367658174</v>
      </c>
      <c r="F173" s="449">
        <f t="shared" si="19"/>
        <v>-0.78925240548394171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-476.68885767618485</v>
      </c>
      <c r="D174" s="465">
        <f>LN_IB18-LN_IE19</f>
        <v>4910.988456092231</v>
      </c>
      <c r="E174" s="465">
        <f t="shared" si="18"/>
        <v>5387.6773137684158</v>
      </c>
      <c r="F174" s="449">
        <f t="shared" si="19"/>
        <v>-11.302293366018363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-494.13755050971304</v>
      </c>
      <c r="D175" s="465">
        <f>LN_IA16-LN_IE19</f>
        <v>4970.5662371313074</v>
      </c>
      <c r="E175" s="465">
        <f t="shared" si="18"/>
        <v>5464.7037876410204</v>
      </c>
      <c r="F175" s="449">
        <f t="shared" si="19"/>
        <v>-11.05907410194604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-2841.5143801007412</v>
      </c>
      <c r="D176" s="441">
        <f>LN_IE21*LN_IE18</f>
        <v>112744.64207078512</v>
      </c>
      <c r="E176" s="441">
        <f t="shared" si="18"/>
        <v>115586.15645088586</v>
      </c>
      <c r="F176" s="449">
        <f t="shared" si="19"/>
        <v>-40.677660215391185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276354</v>
      </c>
      <c r="D179" s="448">
        <f>LN_IE1+LN_IE14</f>
        <v>173699</v>
      </c>
      <c r="E179" s="448">
        <f>D179-C179</f>
        <v>-102655</v>
      </c>
      <c r="F179" s="449">
        <f>IF(C179=0,0,E179/C179)</f>
        <v>-0.37146196545011106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68201</v>
      </c>
      <c r="D180" s="448">
        <f>LN_IE15+LN_IE2</f>
        <v>50050</v>
      </c>
      <c r="E180" s="448">
        <f>D180-C180</f>
        <v>-18151</v>
      </c>
      <c r="F180" s="449">
        <f>IF(C180=0,0,E180/C180)</f>
        <v>-0.26613979267166171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208153</v>
      </c>
      <c r="D181" s="448">
        <f>LN_IE23-LN_IE24</f>
        <v>123649</v>
      </c>
      <c r="E181" s="448">
        <f>D181-C181</f>
        <v>-84504</v>
      </c>
      <c r="F181" s="449">
        <f>IF(C181=0,0,E181/C181)</f>
        <v>-0.40597060815842195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-12572.782955278486</v>
      </c>
      <c r="D183" s="448">
        <f>LN_IE10+LN_IE22</f>
        <v>117021.26408263852</v>
      </c>
      <c r="E183" s="441">
        <f>D183-C183</f>
        <v>129594.047037917</v>
      </c>
      <c r="F183" s="449">
        <f>IF(C183=0,0,E183/C183)</f>
        <v>-10.307506897946485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11962036</v>
      </c>
      <c r="D188" s="448">
        <f>LN_ID1+LN_IE1</f>
        <v>14556334</v>
      </c>
      <c r="E188" s="448">
        <f t="shared" ref="E188:E200" si="20">D188-C188</f>
        <v>2594298</v>
      </c>
      <c r="F188" s="449">
        <f t="shared" ref="F188:F200" si="21">IF(C188=0,0,E188/C188)</f>
        <v>0.21687762852410744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5157587</v>
      </c>
      <c r="D189" s="448">
        <f>LN_1D2+LN_IE2</f>
        <v>5063846</v>
      </c>
      <c r="E189" s="448">
        <f t="shared" si="20"/>
        <v>-93741</v>
      </c>
      <c r="F189" s="449">
        <f t="shared" si="21"/>
        <v>-1.8175359911524518E-2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0.4311629725909536</v>
      </c>
      <c r="D190" s="453">
        <f>IF(LN_IF1=0,0,LN_IF2/LN_IF1)</f>
        <v>0.34787921189497301</v>
      </c>
      <c r="E190" s="454">
        <f t="shared" si="20"/>
        <v>-8.3283760695980591E-2</v>
      </c>
      <c r="F190" s="449">
        <f t="shared" si="21"/>
        <v>-0.19316074429005364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1105</v>
      </c>
      <c r="D191" s="456">
        <f>LN_ID4+LN_IE4</f>
        <v>1170</v>
      </c>
      <c r="E191" s="456">
        <f t="shared" si="20"/>
        <v>65</v>
      </c>
      <c r="F191" s="449">
        <f t="shared" si="21"/>
        <v>5.8823529411764705E-2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1.0083133031674207</v>
      </c>
      <c r="D192" s="459">
        <f>IF((LN_ID4+LN_IE4)=0,0,(LN_ID6+LN_IE6)/(LN_ID4+LN_IE4))</f>
        <v>1.0481935897435899</v>
      </c>
      <c r="E192" s="460">
        <f t="shared" si="20"/>
        <v>3.9880286576169155E-2</v>
      </c>
      <c r="F192" s="449">
        <f t="shared" si="21"/>
        <v>3.9551483106384656E-2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1114.1861999999999</v>
      </c>
      <c r="D193" s="463">
        <f>LN_IF4*LN_IF5</f>
        <v>1226.3865000000001</v>
      </c>
      <c r="E193" s="463">
        <f t="shared" si="20"/>
        <v>112.2003000000002</v>
      </c>
      <c r="F193" s="449">
        <f t="shared" si="21"/>
        <v>0.10070157034793664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4629.0171247857861</v>
      </c>
      <c r="D194" s="465">
        <f>IF(LN_IF6=0,0,LN_IF2/LN_IF6)</f>
        <v>4129.0783941277887</v>
      </c>
      <c r="E194" s="465">
        <f t="shared" si="20"/>
        <v>-499.93873065799744</v>
      </c>
      <c r="F194" s="449">
        <f t="shared" si="21"/>
        <v>-0.10800105447463272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2684.6998569891757</v>
      </c>
      <c r="D195" s="465">
        <f>LN_IB7-LN_IF7</f>
        <v>3461.4006273390114</v>
      </c>
      <c r="E195" s="465">
        <f t="shared" si="20"/>
        <v>776.70077034983569</v>
      </c>
      <c r="F195" s="449">
        <f t="shared" si="21"/>
        <v>0.28930637006882637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2212.8252776025265</v>
      </c>
      <c r="D196" s="465">
        <f>LN_IA7-LN_IF7</f>
        <v>2671.2841668730698</v>
      </c>
      <c r="E196" s="465">
        <f t="shared" si="20"/>
        <v>458.4588892705433</v>
      </c>
      <c r="F196" s="449">
        <f t="shared" si="21"/>
        <v>0.20718259770028391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2465499.3873159057</v>
      </c>
      <c r="D197" s="479">
        <f>LN_IF9*LN_IF6</f>
        <v>3276026.8399168802</v>
      </c>
      <c r="E197" s="479">
        <f t="shared" si="20"/>
        <v>810527.45260097459</v>
      </c>
      <c r="F197" s="449">
        <f t="shared" si="21"/>
        <v>0.32874778098540297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4203</v>
      </c>
      <c r="D198" s="456">
        <f>LN_ID11+LN_IE11</f>
        <v>4608</v>
      </c>
      <c r="E198" s="456">
        <f t="shared" si="20"/>
        <v>405</v>
      </c>
      <c r="F198" s="449">
        <f t="shared" si="21"/>
        <v>9.6359743040685231E-2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1227.1203901974779</v>
      </c>
      <c r="D199" s="519">
        <f>IF(LN_IF11=0,0,LN_IF2/LN_IF11)</f>
        <v>1098.9249131944443</v>
      </c>
      <c r="E199" s="519">
        <f t="shared" si="20"/>
        <v>-128.1954770030336</v>
      </c>
      <c r="F199" s="449">
        <f t="shared" si="21"/>
        <v>-0.10446854116930072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3.8036199095022623</v>
      </c>
      <c r="D200" s="466">
        <f>IF(LN_IF4=0,0,LN_IF11/LN_IF4)</f>
        <v>3.9384615384615387</v>
      </c>
      <c r="E200" s="466">
        <f t="shared" si="20"/>
        <v>0.13484162895927643</v>
      </c>
      <c r="F200" s="449">
        <f t="shared" si="21"/>
        <v>3.5450868427313931E-2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30448286</v>
      </c>
      <c r="D203" s="448">
        <f>LN_ID14+LN_IE14</f>
        <v>33810939</v>
      </c>
      <c r="E203" s="448">
        <f t="shared" ref="E203:E211" si="22">D203-C203</f>
        <v>3362653</v>
      </c>
      <c r="F203" s="449">
        <f t="shared" ref="F203:F211" si="23">IF(C203=0,0,E203/C203)</f>
        <v>0.11043817047698515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9788843</v>
      </c>
      <c r="D204" s="448">
        <f>LN_ID15+LN_IE15</f>
        <v>10877825</v>
      </c>
      <c r="E204" s="448">
        <f t="shared" si="22"/>
        <v>1088982</v>
      </c>
      <c r="F204" s="449">
        <f t="shared" si="23"/>
        <v>0.11124726384926185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0.32149077291247197</v>
      </c>
      <c r="D205" s="453">
        <f>IF(LN_IF14=0,0,LN_IF15/LN_IF14)</f>
        <v>0.32172501923120206</v>
      </c>
      <c r="E205" s="454">
        <f t="shared" si="22"/>
        <v>2.3424631873009139E-4</v>
      </c>
      <c r="F205" s="449">
        <f t="shared" si="23"/>
        <v>7.2862532447818195E-4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2.545409995422184</v>
      </c>
      <c r="D206" s="453">
        <f>IF(LN_IF1=0,0,LN_IF14/LN_IF1)</f>
        <v>2.3227647153465978</v>
      </c>
      <c r="E206" s="454">
        <f t="shared" si="22"/>
        <v>-0.22264528007558626</v>
      </c>
      <c r="F206" s="449">
        <f t="shared" si="23"/>
        <v>-8.7469319471521173E-2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2811.1559128584531</v>
      </c>
      <c r="D207" s="463">
        <f>LN_ID18+LN_IE18</f>
        <v>2724.8163713144281</v>
      </c>
      <c r="E207" s="463">
        <f t="shared" si="22"/>
        <v>-86.339541544024996</v>
      </c>
      <c r="F207" s="449">
        <f t="shared" si="23"/>
        <v>-3.071318141733121E-2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3482.141618408657</v>
      </c>
      <c r="D208" s="465">
        <f>IF(LN_IF18=0,0,LN_IF15/LN_IF18)</f>
        <v>3992.1314017768582</v>
      </c>
      <c r="E208" s="465">
        <f t="shared" si="22"/>
        <v>509.98978336820119</v>
      </c>
      <c r="F208" s="449">
        <f t="shared" si="23"/>
        <v>0.14645865655552145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2611.0875890826123</v>
      </c>
      <c r="D209" s="465">
        <f>LN_IB18-LN_IF19</f>
        <v>2303.4514827170096</v>
      </c>
      <c r="E209" s="465">
        <f t="shared" si="22"/>
        <v>-307.6361063656027</v>
      </c>
      <c r="F209" s="449">
        <f t="shared" si="23"/>
        <v>-0.11781914465523101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2593.6388962490842</v>
      </c>
      <c r="D210" s="465">
        <f>LN_IA16-LN_IF19</f>
        <v>2363.029263756086</v>
      </c>
      <c r="E210" s="465">
        <f t="shared" si="22"/>
        <v>-230.60963249299812</v>
      </c>
      <c r="F210" s="449">
        <f t="shared" si="23"/>
        <v>-8.8913546456488357E-2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7291123.3190102838</v>
      </c>
      <c r="D211" s="441">
        <f>LN_IF21*LN_IF18</f>
        <v>6438820.8237776626</v>
      </c>
      <c r="E211" s="441">
        <f t="shared" si="22"/>
        <v>-852302.49523262121</v>
      </c>
      <c r="F211" s="449">
        <f t="shared" si="23"/>
        <v>-0.11689590999104305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42410322</v>
      </c>
      <c r="D214" s="448">
        <f>LN_IF1+LN_IF14</f>
        <v>48367273</v>
      </c>
      <c r="E214" s="448">
        <f>D214-C214</f>
        <v>5956951</v>
      </c>
      <c r="F214" s="449">
        <f>IF(C214=0,0,E214/C214)</f>
        <v>0.14045993331529055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14946430</v>
      </c>
      <c r="D215" s="448">
        <f>LN_IF2+LN_IF15</f>
        <v>15941671</v>
      </c>
      <c r="E215" s="448">
        <f>D215-C215</f>
        <v>995241</v>
      </c>
      <c r="F215" s="449">
        <f>IF(C215=0,0,E215/C215)</f>
        <v>6.6587205105165581E-2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27463892</v>
      </c>
      <c r="D216" s="448">
        <f>LN_IF23-LN_IF24</f>
        <v>32425602</v>
      </c>
      <c r="E216" s="448">
        <f>D216-C216</f>
        <v>4961710</v>
      </c>
      <c r="F216" s="449">
        <f>IF(C216=0,0,E216/C216)</f>
        <v>0.18066303202765288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483092</v>
      </c>
      <c r="D221" s="448">
        <v>353945</v>
      </c>
      <c r="E221" s="448">
        <f t="shared" ref="E221:E230" si="24">D221-C221</f>
        <v>-129147</v>
      </c>
      <c r="F221" s="449">
        <f t="shared" ref="F221:F230" si="25">IF(C221=0,0,E221/C221)</f>
        <v>-0.26733417237296414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282459</v>
      </c>
      <c r="D222" s="448">
        <v>220612</v>
      </c>
      <c r="E222" s="448">
        <f t="shared" si="24"/>
        <v>-61847</v>
      </c>
      <c r="F222" s="449">
        <f t="shared" si="25"/>
        <v>-0.21895921177940869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0.58468987273645601</v>
      </c>
      <c r="D223" s="453">
        <f>IF(LN_IG1=0,0,LN_IG2/LN_IG1)</f>
        <v>0.62329457966633239</v>
      </c>
      <c r="E223" s="454">
        <f t="shared" si="24"/>
        <v>3.8604706929876387E-2</v>
      </c>
      <c r="F223" s="449">
        <f t="shared" si="25"/>
        <v>6.6025954493104638E-2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31</v>
      </c>
      <c r="D224" s="456">
        <v>32</v>
      </c>
      <c r="E224" s="456">
        <f t="shared" si="24"/>
        <v>1</v>
      </c>
      <c r="F224" s="449">
        <f t="shared" si="25"/>
        <v>3.2258064516129031E-2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1.0644</v>
      </c>
      <c r="D225" s="459">
        <v>1.0033000000000001</v>
      </c>
      <c r="E225" s="460">
        <f t="shared" si="24"/>
        <v>-6.1099999999999932E-2</v>
      </c>
      <c r="F225" s="449">
        <f t="shared" si="25"/>
        <v>-5.740323186771884E-2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32.996400000000001</v>
      </c>
      <c r="D226" s="463">
        <f>LN_IG3*LN_IG4</f>
        <v>32.105600000000003</v>
      </c>
      <c r="E226" s="463">
        <f t="shared" si="24"/>
        <v>-0.8907999999999987</v>
      </c>
      <c r="F226" s="449">
        <f t="shared" si="25"/>
        <v>-2.6996884508613022E-2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8560.297486998581</v>
      </c>
      <c r="D227" s="465">
        <f>IF(LN_IG5=0,0,LN_IG2/LN_IG5)</f>
        <v>6871.4492175819787</v>
      </c>
      <c r="E227" s="465">
        <f t="shared" si="24"/>
        <v>-1688.8482694166023</v>
      </c>
      <c r="F227" s="449">
        <f t="shared" si="25"/>
        <v>-0.19728850217899935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120</v>
      </c>
      <c r="D228" s="456">
        <v>132</v>
      </c>
      <c r="E228" s="456">
        <f t="shared" si="24"/>
        <v>12</v>
      </c>
      <c r="F228" s="449">
        <f t="shared" si="25"/>
        <v>0.1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2353.8249999999998</v>
      </c>
      <c r="D229" s="465">
        <f>IF(LN_IG6=0,0,LN_IG2/LN_IG6)</f>
        <v>1671.3030303030303</v>
      </c>
      <c r="E229" s="465">
        <f t="shared" si="24"/>
        <v>-682.52196969696956</v>
      </c>
      <c r="F229" s="449">
        <f t="shared" si="25"/>
        <v>-0.28996291979946243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3.870967741935484</v>
      </c>
      <c r="D230" s="466">
        <f>IF(LN_IG3=0,0,LN_IG6/LN_IG3)</f>
        <v>4.125</v>
      </c>
      <c r="E230" s="466">
        <f t="shared" si="24"/>
        <v>0.25403225806451601</v>
      </c>
      <c r="F230" s="449">
        <f t="shared" si="25"/>
        <v>6.5624999999999975E-2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523735</v>
      </c>
      <c r="D233" s="448">
        <v>620095</v>
      </c>
      <c r="E233" s="448">
        <f>D233-C233</f>
        <v>96360</v>
      </c>
      <c r="F233" s="449">
        <f>IF(C233=0,0,E233/C233)</f>
        <v>0.1839861762150706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189582</v>
      </c>
      <c r="D234" s="448">
        <v>228839</v>
      </c>
      <c r="E234" s="448">
        <f>D234-C234</f>
        <v>39257</v>
      </c>
      <c r="F234" s="449">
        <f>IF(C234=0,0,E234/C234)</f>
        <v>0.20707134643584307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1006827</v>
      </c>
      <c r="D237" s="448">
        <f>LN_IG1+LN_IG9</f>
        <v>974040</v>
      </c>
      <c r="E237" s="448">
        <f>D237-C237</f>
        <v>-32787</v>
      </c>
      <c r="F237" s="449">
        <f>IF(C237=0,0,E237/C237)</f>
        <v>-3.2564680923336385E-2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472041</v>
      </c>
      <c r="D238" s="448">
        <f>LN_IG2+LN_IG10</f>
        <v>449451</v>
      </c>
      <c r="E238" s="448">
        <f>D238-C238</f>
        <v>-22590</v>
      </c>
      <c r="F238" s="449">
        <f>IF(C238=0,0,E238/C238)</f>
        <v>-4.7856012507388128E-2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534786</v>
      </c>
      <c r="D239" s="448">
        <f>LN_IG13-LN_IG14</f>
        <v>524589</v>
      </c>
      <c r="E239" s="448">
        <f>D239-C239</f>
        <v>-10197</v>
      </c>
      <c r="F239" s="449">
        <f>IF(C239=0,0,E239/C239)</f>
        <v>-1.9067440060136203E-2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5735128</v>
      </c>
      <c r="D243" s="448">
        <v>8250545</v>
      </c>
      <c r="E243" s="441">
        <f>D243-C243</f>
        <v>2515417</v>
      </c>
      <c r="F243" s="503">
        <f>IF(C243=0,0,E243/C243)</f>
        <v>0.43859823180929874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121882681</v>
      </c>
      <c r="D244" s="448">
        <v>124899985</v>
      </c>
      <c r="E244" s="441">
        <f>D244-C244</f>
        <v>3017304</v>
      </c>
      <c r="F244" s="503">
        <f>IF(C244=0,0,E244/C244)</f>
        <v>2.4755805954087932E-2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1766984</v>
      </c>
      <c r="D248" s="441">
        <v>3214518</v>
      </c>
      <c r="E248" s="441">
        <f>D248-C248</f>
        <v>1447534</v>
      </c>
      <c r="F248" s="449">
        <f>IF(C248=0,0,E248/C248)</f>
        <v>0.81921171895161471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3125364</v>
      </c>
      <c r="D249" s="441">
        <v>3378061</v>
      </c>
      <c r="E249" s="441">
        <f>D249-C249</f>
        <v>252697</v>
      </c>
      <c r="F249" s="449">
        <f>IF(C249=0,0,E249/C249)</f>
        <v>8.0853622170089623E-2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4892348</v>
      </c>
      <c r="D250" s="441">
        <f>LN_IH4+LN_IH5</f>
        <v>6592579</v>
      </c>
      <c r="E250" s="441">
        <f>D250-C250</f>
        <v>1700231</v>
      </c>
      <c r="F250" s="449">
        <f>IF(C250=0,0,E250/C250)</f>
        <v>0.34752863042449145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2331616.1415749029</v>
      </c>
      <c r="D251" s="441">
        <f>LN_IH6*LN_III10</f>
        <v>2979617.8275103737</v>
      </c>
      <c r="E251" s="441">
        <f>D251-C251</f>
        <v>648001.68593547074</v>
      </c>
      <c r="F251" s="449">
        <f>IF(C251=0,0,E251/C251)</f>
        <v>0.27791954017687254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42410322</v>
      </c>
      <c r="D254" s="441">
        <f>LN_IF23</f>
        <v>48367273</v>
      </c>
      <c r="E254" s="441">
        <f>D254-C254</f>
        <v>5956951</v>
      </c>
      <c r="F254" s="449">
        <f>IF(C254=0,0,E254/C254)</f>
        <v>0.14045993331529055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14946430</v>
      </c>
      <c r="D255" s="441">
        <f>LN_IF24</f>
        <v>15941671</v>
      </c>
      <c r="E255" s="441">
        <f>D255-C255</f>
        <v>995241</v>
      </c>
      <c r="F255" s="449">
        <f>IF(C255=0,0,E255/C255)</f>
        <v>6.6587205105165581E-2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20212092.709796857</v>
      </c>
      <c r="D256" s="441">
        <f>LN_IH8*LN_III10</f>
        <v>21860335.522541504</v>
      </c>
      <c r="E256" s="441">
        <f>D256-C256</f>
        <v>1648242.8127446473</v>
      </c>
      <c r="F256" s="449">
        <f>IF(C256=0,0,E256/C256)</f>
        <v>8.1547360602880051E-2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5265662.7097968571</v>
      </c>
      <c r="D257" s="441">
        <f>LN_IH10-LN_IH9</f>
        <v>5918664.5225415044</v>
      </c>
      <c r="E257" s="441">
        <f>D257-C257</f>
        <v>653001.81274464726</v>
      </c>
      <c r="F257" s="449">
        <f>IF(C257=0,0,E257/C257)</f>
        <v>0.12401132558865308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89321803</v>
      </c>
      <c r="D261" s="448">
        <f>LN_IA1+LN_IB1+LN_IF1+LN_IG1</f>
        <v>101429210</v>
      </c>
      <c r="E261" s="448">
        <f t="shared" ref="E261:E274" si="26">D261-C261</f>
        <v>12107407</v>
      </c>
      <c r="F261" s="503">
        <f t="shared" ref="F261:F274" si="27">IF(C261=0,0,E261/C261)</f>
        <v>0.13554817069691261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52352448</v>
      </c>
      <c r="D262" s="448">
        <f>+LN_IA2+LN_IB2+LN_IF2+LN_IG2</f>
        <v>54898354</v>
      </c>
      <c r="E262" s="448">
        <f t="shared" si="26"/>
        <v>2545906</v>
      </c>
      <c r="F262" s="503">
        <f t="shared" si="27"/>
        <v>4.8630123275228698E-2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0.58611051548074999</v>
      </c>
      <c r="D263" s="453">
        <f>IF(LN_IIA1=0,0,LN_IIA2/LN_IIA1)</f>
        <v>0.54124796988954171</v>
      </c>
      <c r="E263" s="454">
        <f t="shared" si="26"/>
        <v>-4.486254559120828E-2</v>
      </c>
      <c r="F263" s="458">
        <f t="shared" si="27"/>
        <v>-7.6542809600353826E-2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6338</v>
      </c>
      <c r="D264" s="456">
        <f>LN_IA4+LN_IB4+LN_IF4+LN_IG3</f>
        <v>6533</v>
      </c>
      <c r="E264" s="456">
        <f t="shared" si="26"/>
        <v>195</v>
      </c>
      <c r="F264" s="503">
        <f t="shared" si="27"/>
        <v>3.0766803408015148E-2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1.2411220574313666</v>
      </c>
      <c r="D265" s="525">
        <f>IF(LN_IIA4=0,0,LN_IIA6/LN_IIA4)</f>
        <v>1.2741052655747744</v>
      </c>
      <c r="E265" s="525">
        <f t="shared" si="26"/>
        <v>3.2983208143407827E-2</v>
      </c>
      <c r="F265" s="503">
        <f t="shared" si="27"/>
        <v>2.6575313802471665E-2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7866.231600000001</v>
      </c>
      <c r="D266" s="463">
        <f>LN_IA6+LN_IB6+LN_IF6+LN_IG5</f>
        <v>8323.7297000000017</v>
      </c>
      <c r="E266" s="463">
        <f t="shared" si="26"/>
        <v>457.4981000000007</v>
      </c>
      <c r="F266" s="503">
        <f t="shared" si="27"/>
        <v>5.8159754665753884E-2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147747616</v>
      </c>
      <c r="D267" s="448">
        <f>LN_IA11+LN_IB13+LN_IF14+LN_IG9</f>
        <v>158509361</v>
      </c>
      <c r="E267" s="448">
        <f t="shared" si="26"/>
        <v>10761745</v>
      </c>
      <c r="F267" s="503">
        <f t="shared" si="27"/>
        <v>7.2838704889830505E-2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1.6541047206581803</v>
      </c>
      <c r="D268" s="453">
        <f>IF(LN_IIA1=0,0,LN_IIA7/LN_IIA1)</f>
        <v>1.5627585091119216</v>
      </c>
      <c r="E268" s="454">
        <f t="shared" si="26"/>
        <v>-9.134621154625866E-2</v>
      </c>
      <c r="F268" s="458">
        <f t="shared" si="27"/>
        <v>-5.5223959163789423E-2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60631110</v>
      </c>
      <c r="D269" s="448">
        <f>LN_IA12+LN_IB14+LN_IF15+LN_IG10</f>
        <v>62584895</v>
      </c>
      <c r="E269" s="448">
        <f t="shared" si="26"/>
        <v>1953785</v>
      </c>
      <c r="F269" s="503">
        <f t="shared" si="27"/>
        <v>3.2224133782145829E-2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0.41036946410018554</v>
      </c>
      <c r="D270" s="453">
        <f>IF(LN_IIA7=0,0,LN_IIA9/LN_IIA7)</f>
        <v>0.39483406282863004</v>
      </c>
      <c r="E270" s="454">
        <f t="shared" si="26"/>
        <v>-1.5535401271555505E-2</v>
      </c>
      <c r="F270" s="458">
        <f t="shared" si="27"/>
        <v>-3.7857108363605653E-2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237069419</v>
      </c>
      <c r="D271" s="441">
        <f>LN_IIA1+LN_IIA7</f>
        <v>259938571</v>
      </c>
      <c r="E271" s="441">
        <f t="shared" si="26"/>
        <v>22869152</v>
      </c>
      <c r="F271" s="503">
        <f t="shared" si="27"/>
        <v>9.6466056636347511E-2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112983558</v>
      </c>
      <c r="D272" s="441">
        <f>LN_IIA2+LN_IIA9</f>
        <v>117483249</v>
      </c>
      <c r="E272" s="441">
        <f t="shared" si="26"/>
        <v>4499691</v>
      </c>
      <c r="F272" s="503">
        <f t="shared" si="27"/>
        <v>3.982606920557414E-2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0.4765842784640224</v>
      </c>
      <c r="D273" s="453">
        <f>IF(LN_IIA11=0,0,LN_IIA12/LN_IIA11)</f>
        <v>0.45196543378704657</v>
      </c>
      <c r="E273" s="454">
        <f t="shared" si="26"/>
        <v>-2.4618844676975837E-2</v>
      </c>
      <c r="F273" s="458">
        <f t="shared" si="27"/>
        <v>-5.1656854389573251E-2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25249</v>
      </c>
      <c r="D274" s="508">
        <f>LN_IA8+LN_IB10+LN_IF11+LN_IG6</f>
        <v>26574</v>
      </c>
      <c r="E274" s="528">
        <f t="shared" si="26"/>
        <v>1325</v>
      </c>
      <c r="F274" s="458">
        <f t="shared" si="27"/>
        <v>5.247732583468652E-2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67303058</v>
      </c>
      <c r="D277" s="448">
        <f>LN_IA1+LN_IF1+LN_IG1</f>
        <v>76929247</v>
      </c>
      <c r="E277" s="448">
        <f t="shared" ref="E277:E291" si="28">D277-C277</f>
        <v>9626189</v>
      </c>
      <c r="F277" s="503">
        <f t="shared" ref="F277:F291" si="29">IF(C277=0,0,E277/C277)</f>
        <v>0.14302751295490912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37756346</v>
      </c>
      <c r="D278" s="448">
        <f>LN_IA2+LN_IF2+LN_IG2</f>
        <v>39837617</v>
      </c>
      <c r="E278" s="448">
        <f t="shared" si="28"/>
        <v>2081271</v>
      </c>
      <c r="F278" s="503">
        <f t="shared" si="29"/>
        <v>5.5123739993271595E-2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0.56099005189333295</v>
      </c>
      <c r="D279" s="453">
        <f>IF(D277=0,0,LN_IIB2/D277)</f>
        <v>0.51784748393546609</v>
      </c>
      <c r="E279" s="454">
        <f t="shared" si="28"/>
        <v>-4.3142567957866862E-2</v>
      </c>
      <c r="F279" s="458">
        <f t="shared" si="29"/>
        <v>-7.6904336916958416E-2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4618</v>
      </c>
      <c r="D280" s="456">
        <f>LN_IA4+LN_IF4+LN_IG3</f>
        <v>4712</v>
      </c>
      <c r="E280" s="456">
        <f t="shared" si="28"/>
        <v>94</v>
      </c>
      <c r="F280" s="503">
        <f t="shared" si="29"/>
        <v>2.0355132091814637E-2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1.2712246860112604</v>
      </c>
      <c r="D281" s="525">
        <f>IF(LN_IIB4=0,0,LN_IIB6/LN_IIB4)</f>
        <v>1.3454091893039049</v>
      </c>
      <c r="E281" s="525">
        <f t="shared" si="28"/>
        <v>7.4184503292644477E-2</v>
      </c>
      <c r="F281" s="503">
        <f t="shared" si="29"/>
        <v>5.8356720184072446E-2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5870.5156000000006</v>
      </c>
      <c r="D282" s="463">
        <f>LN_IA6+LN_IF6+LN_IG5</f>
        <v>6339.5680999999995</v>
      </c>
      <c r="E282" s="463">
        <f t="shared" si="28"/>
        <v>469.05249999999887</v>
      </c>
      <c r="F282" s="503">
        <f t="shared" si="29"/>
        <v>7.9899711023678877E-2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85546455</v>
      </c>
      <c r="D283" s="448">
        <f>LN_IA11+LN_IF14+LN_IG9</f>
        <v>95228727</v>
      </c>
      <c r="E283" s="448">
        <f t="shared" si="28"/>
        <v>9682272</v>
      </c>
      <c r="F283" s="503">
        <f t="shared" si="29"/>
        <v>0.11318145211277311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1.2710634188419789</v>
      </c>
      <c r="D284" s="453">
        <f>IF(D277=0,0,LN_IIB7/D277)</f>
        <v>1.2378741598757621</v>
      </c>
      <c r="E284" s="454">
        <f t="shared" si="28"/>
        <v>-3.3189258966216828E-2</v>
      </c>
      <c r="F284" s="458">
        <f t="shared" si="29"/>
        <v>-2.6111410708723245E-2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31024963</v>
      </c>
      <c r="D285" s="448">
        <f>LN_IA12+LN_IF15+LN_IG10</f>
        <v>32974017</v>
      </c>
      <c r="E285" s="448">
        <f t="shared" si="28"/>
        <v>1949054</v>
      </c>
      <c r="F285" s="503">
        <f t="shared" si="29"/>
        <v>6.2822121657324786E-2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0.36266801470616172</v>
      </c>
      <c r="D286" s="453">
        <f>IF(LN_IIB7=0,0,LN_IIB9/LN_IIB7)</f>
        <v>0.34626123900616668</v>
      </c>
      <c r="E286" s="454">
        <f t="shared" si="28"/>
        <v>-1.6406775699995046E-2</v>
      </c>
      <c r="F286" s="458">
        <f t="shared" si="29"/>
        <v>-4.5239103076922915E-2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152849513</v>
      </c>
      <c r="D287" s="441">
        <f>D277+LN_IIB7</f>
        <v>172157974</v>
      </c>
      <c r="E287" s="441">
        <f t="shared" si="28"/>
        <v>19308461</v>
      </c>
      <c r="F287" s="503">
        <f t="shared" si="29"/>
        <v>0.12632334000305254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68781309</v>
      </c>
      <c r="D288" s="441">
        <f>LN_IIB2+LN_IIB9</f>
        <v>72811634</v>
      </c>
      <c r="E288" s="441">
        <f t="shared" si="28"/>
        <v>4030325</v>
      </c>
      <c r="F288" s="503">
        <f t="shared" si="29"/>
        <v>5.8596224157350656E-2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0.44999364178543377</v>
      </c>
      <c r="D289" s="453">
        <f>IF(LN_IIB11=0,0,LN_IIB12/LN_IIB11)</f>
        <v>0.42293500735551176</v>
      </c>
      <c r="E289" s="454">
        <f t="shared" si="28"/>
        <v>-2.7058634429922013E-2</v>
      </c>
      <c r="F289" s="458">
        <f t="shared" si="29"/>
        <v>-6.0131148348145161E-2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19716</v>
      </c>
      <c r="D290" s="508">
        <f>LN_IA8+LN_IF11+LN_IG6</f>
        <v>20622</v>
      </c>
      <c r="E290" s="528">
        <f t="shared" si="28"/>
        <v>906</v>
      </c>
      <c r="F290" s="458">
        <f t="shared" si="29"/>
        <v>4.5952525867315887E-2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84068204</v>
      </c>
      <c r="D291" s="516">
        <f>LN_IIB11-LN_IIB12</f>
        <v>99346340</v>
      </c>
      <c r="E291" s="441">
        <f t="shared" si="28"/>
        <v>15278136</v>
      </c>
      <c r="F291" s="503">
        <f t="shared" si="29"/>
        <v>0.18173501125348177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4.4207352096496271</v>
      </c>
      <c r="D294" s="466">
        <f>IF(LN_IA4=0,0,LN_IA8/LN_IA4)</f>
        <v>4.5247863247863247</v>
      </c>
      <c r="E294" s="466">
        <f t="shared" ref="E294:E300" si="30">D294-C294</f>
        <v>0.10405111513669763</v>
      </c>
      <c r="F294" s="503">
        <f t="shared" ref="F294:F300" si="31">IF(C294=0,0,E294/C294)</f>
        <v>2.3537061190539926E-2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3.2168604651162789</v>
      </c>
      <c r="D295" s="466">
        <f>IF(LN_IB4=0,0,(LN_IB10)/(LN_IB4))</f>
        <v>3.2685337726523889</v>
      </c>
      <c r="E295" s="466">
        <f t="shared" si="30"/>
        <v>5.1673307536109991E-2</v>
      </c>
      <c r="F295" s="503">
        <f t="shared" si="31"/>
        <v>1.6063272901158356E-2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3.4385964912280702</v>
      </c>
      <c r="D296" s="466">
        <f>IF(LN_IC4=0,0,LN_IC11/LN_IC4)</f>
        <v>3.48</v>
      </c>
      <c r="E296" s="466">
        <f t="shared" si="30"/>
        <v>4.1403508771929776E-2</v>
      </c>
      <c r="F296" s="503">
        <f t="shared" si="31"/>
        <v>1.2040816326530599E-2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3.7824116047144152</v>
      </c>
      <c r="D297" s="466">
        <f>IF(LN_ID4=0,0,LN_ID11/LN_ID4)</f>
        <v>3.9443016281062553</v>
      </c>
      <c r="E297" s="466">
        <f t="shared" si="30"/>
        <v>0.16189002339184011</v>
      </c>
      <c r="F297" s="503">
        <f t="shared" si="31"/>
        <v>4.2800742042473548E-2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15.5</v>
      </c>
      <c r="D298" s="466">
        <f>IF(LN_IE4=0,0,LN_IE11/LN_IE4)</f>
        <v>1.6666666666666667</v>
      </c>
      <c r="E298" s="466">
        <f t="shared" si="30"/>
        <v>-13.833333333333334</v>
      </c>
      <c r="F298" s="503">
        <f t="shared" si="31"/>
        <v>-0.89247311827956988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3.870967741935484</v>
      </c>
      <c r="D299" s="466">
        <f>IF(LN_IG3=0,0,LN_IG6/LN_IG3)</f>
        <v>4.125</v>
      </c>
      <c r="E299" s="466">
        <f t="shared" si="30"/>
        <v>0.25403225806451601</v>
      </c>
      <c r="F299" s="503">
        <f t="shared" si="31"/>
        <v>6.5624999999999975E-2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3.9837488166614072</v>
      </c>
      <c r="D300" s="466">
        <f>IF(LN_IIA4=0,0,LN_IIA14/LN_IIA4)</f>
        <v>4.0676565130874023</v>
      </c>
      <c r="E300" s="466">
        <f t="shared" si="30"/>
        <v>8.3907696425995049E-2</v>
      </c>
      <c r="F300" s="503">
        <f t="shared" si="31"/>
        <v>2.1062496730482657E-2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237069419</v>
      </c>
      <c r="D304" s="441">
        <f>LN_IIA11</f>
        <v>259938571</v>
      </c>
      <c r="E304" s="441">
        <f t="shared" ref="E304:E316" si="32">D304-C304</f>
        <v>22869152</v>
      </c>
      <c r="F304" s="449">
        <f>IF(C304=0,0,E304/C304)</f>
        <v>9.6466056636347511E-2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84068204</v>
      </c>
      <c r="D305" s="441">
        <f>LN_IIB14</f>
        <v>99346340</v>
      </c>
      <c r="E305" s="441">
        <f t="shared" si="32"/>
        <v>15278136</v>
      </c>
      <c r="F305" s="449">
        <f>IF(C305=0,0,E305/C305)</f>
        <v>0.18173501125348177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4892348</v>
      </c>
      <c r="D306" s="441">
        <f>LN_IH6</f>
        <v>6592579</v>
      </c>
      <c r="E306" s="441">
        <f t="shared" si="32"/>
        <v>1700231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35125309</v>
      </c>
      <c r="D307" s="441">
        <f>LN_IB32-LN_IB33</f>
        <v>36516403</v>
      </c>
      <c r="E307" s="441">
        <f t="shared" si="32"/>
        <v>1391094</v>
      </c>
      <c r="F307" s="449">
        <f t="shared" ref="F307:F316" si="33">IF(C307=0,0,E307/C307)</f>
        <v>3.9603751243868064E-2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124085861</v>
      </c>
      <c r="D309" s="441">
        <f>LN_III2+LN_III3+LN_III4+LN_III5</f>
        <v>142455322</v>
      </c>
      <c r="E309" s="441">
        <f t="shared" si="32"/>
        <v>18369461</v>
      </c>
      <c r="F309" s="449">
        <f t="shared" si="33"/>
        <v>0.14803830873204804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112983558</v>
      </c>
      <c r="D310" s="441">
        <f>LN_III1-LN_III6</f>
        <v>117483249</v>
      </c>
      <c r="E310" s="441">
        <f t="shared" si="32"/>
        <v>4499691</v>
      </c>
      <c r="F310" s="449">
        <f t="shared" si="33"/>
        <v>3.982606920557414E-2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112983558</v>
      </c>
      <c r="D312" s="441">
        <f>LN_III7+LN_III8</f>
        <v>117483249</v>
      </c>
      <c r="E312" s="441">
        <f t="shared" si="32"/>
        <v>4499691</v>
      </c>
      <c r="F312" s="449">
        <f t="shared" si="33"/>
        <v>3.982606920557414E-2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0.4765842784640224</v>
      </c>
      <c r="D313" s="532">
        <f>IF(LN_III1=0,0,LN_III9/LN_III1)</f>
        <v>0.45196543378704657</v>
      </c>
      <c r="E313" s="532">
        <f t="shared" si="32"/>
        <v>-2.4618844676975837E-2</v>
      </c>
      <c r="F313" s="449">
        <f t="shared" si="33"/>
        <v>-5.1656854389573251E-2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2331616.1415749029</v>
      </c>
      <c r="D314" s="441">
        <f>D313*LN_III5</f>
        <v>2979617.8275103737</v>
      </c>
      <c r="E314" s="441">
        <f t="shared" si="32"/>
        <v>648001.68593547074</v>
      </c>
      <c r="F314" s="449">
        <f t="shared" si="33"/>
        <v>0.27791954017687254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5265662.7097968571</v>
      </c>
      <c r="D315" s="441">
        <f>D313*LN_IH8-LN_IH9</f>
        <v>5918664.5225415044</v>
      </c>
      <c r="E315" s="441">
        <f t="shared" si="32"/>
        <v>653001.81274464726</v>
      </c>
      <c r="F315" s="449">
        <f t="shared" si="33"/>
        <v>0.12401132558865308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7597278.8513717595</v>
      </c>
      <c r="D318" s="441">
        <f>D314+D315+D316</f>
        <v>8898282.350051878</v>
      </c>
      <c r="E318" s="441">
        <f>D318-C318</f>
        <v>1301003.4986801185</v>
      </c>
      <c r="F318" s="449">
        <f>IF(C318=0,0,E318/C318)</f>
        <v>0.17124598479693953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7293964.8333903849</v>
      </c>
      <c r="D322" s="441">
        <f>LN_ID22</f>
        <v>6326076.1817068774</v>
      </c>
      <c r="E322" s="441">
        <f>LN_IV2-C322</f>
        <v>-967888.65168350749</v>
      </c>
      <c r="F322" s="449">
        <f>IF(C322=0,0,E322/C322)</f>
        <v>-0.13269719196515689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-12572.782955278486</v>
      </c>
      <c r="D323" s="441">
        <f>LN_IE10+LN_IE22</f>
        <v>117021.26408263852</v>
      </c>
      <c r="E323" s="441">
        <f>LN_IV3-C323</f>
        <v>129594.047037917</v>
      </c>
      <c r="F323" s="449">
        <f>IF(C323=0,0,E323/C323)</f>
        <v>-10.307506897946485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1972871.372564123</v>
      </c>
      <c r="D324" s="441">
        <f>LN_IC10+LN_IC22</f>
        <v>4587585.2312888317</v>
      </c>
      <c r="E324" s="441">
        <f>LN_IV1-C324</f>
        <v>2614713.8587247087</v>
      </c>
      <c r="F324" s="449">
        <f>IF(C324=0,0,E324/C324)</f>
        <v>1.3253341779329428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9254263.4229992293</v>
      </c>
      <c r="D325" s="516">
        <f>LN_IV1+LN_IV2+LN_IV3</f>
        <v>11030682.677078348</v>
      </c>
      <c r="E325" s="441">
        <f>LN_IV4-C325</f>
        <v>1776419.2540791184</v>
      </c>
      <c r="F325" s="449">
        <f>IF(C325=0,0,E325/C325)</f>
        <v>0.19195684981953925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3330273</v>
      </c>
      <c r="D330" s="516">
        <v>-805705</v>
      </c>
      <c r="E330" s="518">
        <f t="shared" si="34"/>
        <v>-4135978</v>
      </c>
      <c r="F330" s="543">
        <f t="shared" si="35"/>
        <v>-1.2419336192558388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116313832</v>
      </c>
      <c r="D331" s="516">
        <v>116677547</v>
      </c>
      <c r="E331" s="518">
        <f t="shared" si="34"/>
        <v>363715</v>
      </c>
      <c r="F331" s="542">
        <f t="shared" si="35"/>
        <v>3.1270141628555407E-3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-3214517</v>
      </c>
      <c r="E332" s="518">
        <f t="shared" si="34"/>
        <v>-3214517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237069419</v>
      </c>
      <c r="D333" s="516">
        <v>256724054</v>
      </c>
      <c r="E333" s="518">
        <f t="shared" si="34"/>
        <v>19654635</v>
      </c>
      <c r="F333" s="542">
        <f t="shared" si="35"/>
        <v>8.2906665410100833E-2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4892348</v>
      </c>
      <c r="D335" s="516">
        <v>6592579</v>
      </c>
      <c r="E335" s="516">
        <f t="shared" si="34"/>
        <v>1700231</v>
      </c>
      <c r="F335" s="542">
        <f t="shared" si="35"/>
        <v>0.34752863042449145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22018745</v>
      </c>
      <c r="D14" s="589">
        <v>24499963</v>
      </c>
      <c r="E14" s="590">
        <f t="shared" ref="E14:E22" si="0">D14-C14</f>
        <v>2481218</v>
      </c>
    </row>
    <row r="15" spans="1:5" s="421" customFormat="1" x14ac:dyDescent="0.2">
      <c r="A15" s="588">
        <v>2</v>
      </c>
      <c r="B15" s="587" t="s">
        <v>636</v>
      </c>
      <c r="C15" s="589">
        <v>54857930</v>
      </c>
      <c r="D15" s="591">
        <v>62018968</v>
      </c>
      <c r="E15" s="590">
        <f t="shared" si="0"/>
        <v>7161038</v>
      </c>
    </row>
    <row r="16" spans="1:5" s="421" customFormat="1" x14ac:dyDescent="0.2">
      <c r="A16" s="588">
        <v>3</v>
      </c>
      <c r="B16" s="587" t="s">
        <v>778</v>
      </c>
      <c r="C16" s="589">
        <v>11962036</v>
      </c>
      <c r="D16" s="591">
        <v>14556334</v>
      </c>
      <c r="E16" s="590">
        <f t="shared" si="0"/>
        <v>2594298</v>
      </c>
    </row>
    <row r="17" spans="1:5" s="421" customFormat="1" x14ac:dyDescent="0.2">
      <c r="A17" s="588">
        <v>4</v>
      </c>
      <c r="B17" s="587" t="s">
        <v>115</v>
      </c>
      <c r="C17" s="589">
        <v>11890723</v>
      </c>
      <c r="D17" s="591">
        <v>14536044</v>
      </c>
      <c r="E17" s="590">
        <f t="shared" si="0"/>
        <v>2645321</v>
      </c>
    </row>
    <row r="18" spans="1:5" s="421" customFormat="1" x14ac:dyDescent="0.2">
      <c r="A18" s="588">
        <v>5</v>
      </c>
      <c r="B18" s="587" t="s">
        <v>744</v>
      </c>
      <c r="C18" s="589">
        <v>71313</v>
      </c>
      <c r="D18" s="591">
        <v>20290</v>
      </c>
      <c r="E18" s="590">
        <f t="shared" si="0"/>
        <v>-51023</v>
      </c>
    </row>
    <row r="19" spans="1:5" s="421" customFormat="1" x14ac:dyDescent="0.2">
      <c r="A19" s="588">
        <v>6</v>
      </c>
      <c r="B19" s="587" t="s">
        <v>424</v>
      </c>
      <c r="C19" s="589">
        <v>483092</v>
      </c>
      <c r="D19" s="591">
        <v>353945</v>
      </c>
      <c r="E19" s="590">
        <f t="shared" si="0"/>
        <v>-129147</v>
      </c>
    </row>
    <row r="20" spans="1:5" s="421" customFormat="1" x14ac:dyDescent="0.2">
      <c r="A20" s="588">
        <v>7</v>
      </c>
      <c r="B20" s="587" t="s">
        <v>759</v>
      </c>
      <c r="C20" s="589">
        <v>1298459</v>
      </c>
      <c r="D20" s="591">
        <v>1590204</v>
      </c>
      <c r="E20" s="590">
        <f t="shared" si="0"/>
        <v>291745</v>
      </c>
    </row>
    <row r="21" spans="1:5" s="421" customFormat="1" x14ac:dyDescent="0.2">
      <c r="A21" s="588"/>
      <c r="B21" s="592" t="s">
        <v>779</v>
      </c>
      <c r="C21" s="593">
        <f>SUM(C15+C16+C19)</f>
        <v>67303058</v>
      </c>
      <c r="D21" s="593">
        <f>SUM(D15+D16+D19)</f>
        <v>76929247</v>
      </c>
      <c r="E21" s="593">
        <f t="shared" si="0"/>
        <v>9626189</v>
      </c>
    </row>
    <row r="22" spans="1:5" s="421" customFormat="1" x14ac:dyDescent="0.2">
      <c r="A22" s="588"/>
      <c r="B22" s="592" t="s">
        <v>465</v>
      </c>
      <c r="C22" s="593">
        <f>SUM(C14+C21)</f>
        <v>89321803</v>
      </c>
      <c r="D22" s="593">
        <f>SUM(D14+D21)</f>
        <v>101429210</v>
      </c>
      <c r="E22" s="593">
        <f t="shared" si="0"/>
        <v>12107407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62201161</v>
      </c>
      <c r="D25" s="589">
        <v>63280634</v>
      </c>
      <c r="E25" s="590">
        <f t="shared" ref="E25:E33" si="1">D25-C25</f>
        <v>1079473</v>
      </c>
    </row>
    <row r="26" spans="1:5" s="421" customFormat="1" x14ac:dyDescent="0.2">
      <c r="A26" s="588">
        <v>2</v>
      </c>
      <c r="B26" s="587" t="s">
        <v>636</v>
      </c>
      <c r="C26" s="589">
        <v>54574434</v>
      </c>
      <c r="D26" s="591">
        <v>60797693</v>
      </c>
      <c r="E26" s="590">
        <f t="shared" si="1"/>
        <v>6223259</v>
      </c>
    </row>
    <row r="27" spans="1:5" s="421" customFormat="1" x14ac:dyDescent="0.2">
      <c r="A27" s="588">
        <v>3</v>
      </c>
      <c r="B27" s="587" t="s">
        <v>778</v>
      </c>
      <c r="C27" s="589">
        <v>30448286</v>
      </c>
      <c r="D27" s="591">
        <v>33810939</v>
      </c>
      <c r="E27" s="590">
        <f t="shared" si="1"/>
        <v>3362653</v>
      </c>
    </row>
    <row r="28" spans="1:5" s="421" customFormat="1" x14ac:dyDescent="0.2">
      <c r="A28" s="588">
        <v>4</v>
      </c>
      <c r="B28" s="587" t="s">
        <v>115</v>
      </c>
      <c r="C28" s="589">
        <v>30243245</v>
      </c>
      <c r="D28" s="591">
        <v>33657530</v>
      </c>
      <c r="E28" s="590">
        <f t="shared" si="1"/>
        <v>3414285</v>
      </c>
    </row>
    <row r="29" spans="1:5" s="421" customFormat="1" x14ac:dyDescent="0.2">
      <c r="A29" s="588">
        <v>5</v>
      </c>
      <c r="B29" s="587" t="s">
        <v>744</v>
      </c>
      <c r="C29" s="589">
        <v>205041</v>
      </c>
      <c r="D29" s="591">
        <v>153409</v>
      </c>
      <c r="E29" s="590">
        <f t="shared" si="1"/>
        <v>-51632</v>
      </c>
    </row>
    <row r="30" spans="1:5" s="421" customFormat="1" x14ac:dyDescent="0.2">
      <c r="A30" s="588">
        <v>6</v>
      </c>
      <c r="B30" s="587" t="s">
        <v>424</v>
      </c>
      <c r="C30" s="589">
        <v>523735</v>
      </c>
      <c r="D30" s="591">
        <v>620095</v>
      </c>
      <c r="E30" s="590">
        <f t="shared" si="1"/>
        <v>96360</v>
      </c>
    </row>
    <row r="31" spans="1:5" s="421" customFormat="1" x14ac:dyDescent="0.2">
      <c r="A31" s="588">
        <v>7</v>
      </c>
      <c r="B31" s="587" t="s">
        <v>759</v>
      </c>
      <c r="C31" s="590">
        <v>5212131</v>
      </c>
      <c r="D31" s="594">
        <v>5513269</v>
      </c>
      <c r="E31" s="590">
        <f t="shared" si="1"/>
        <v>301138</v>
      </c>
    </row>
    <row r="32" spans="1:5" s="421" customFormat="1" x14ac:dyDescent="0.2">
      <c r="A32" s="588"/>
      <c r="B32" s="592" t="s">
        <v>781</v>
      </c>
      <c r="C32" s="593">
        <f>SUM(C26+C27+C30)</f>
        <v>85546455</v>
      </c>
      <c r="D32" s="593">
        <f>SUM(D26+D27+D30)</f>
        <v>95228727</v>
      </c>
      <c r="E32" s="593">
        <f t="shared" si="1"/>
        <v>9682272</v>
      </c>
    </row>
    <row r="33" spans="1:5" s="421" customFormat="1" x14ac:dyDescent="0.2">
      <c r="A33" s="588"/>
      <c r="B33" s="592" t="s">
        <v>467</v>
      </c>
      <c r="C33" s="593">
        <f>SUM(C25+C32)</f>
        <v>147747616</v>
      </c>
      <c r="D33" s="593">
        <f>SUM(D25+D32)</f>
        <v>158509361</v>
      </c>
      <c r="E33" s="593">
        <f t="shared" si="1"/>
        <v>10761745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84219906</v>
      </c>
      <c r="D36" s="590">
        <f t="shared" si="2"/>
        <v>87780597</v>
      </c>
      <c r="E36" s="590">
        <f t="shared" ref="E36:E44" si="3">D36-C36</f>
        <v>3560691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109432364</v>
      </c>
      <c r="D37" s="590">
        <f t="shared" si="2"/>
        <v>122816661</v>
      </c>
      <c r="E37" s="590">
        <f t="shared" si="3"/>
        <v>13384297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42410322</v>
      </c>
      <c r="D38" s="590">
        <f t="shared" si="2"/>
        <v>48367273</v>
      </c>
      <c r="E38" s="590">
        <f t="shared" si="3"/>
        <v>5956951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42133968</v>
      </c>
      <c r="D39" s="590">
        <f t="shared" si="2"/>
        <v>48193574</v>
      </c>
      <c r="E39" s="590">
        <f t="shared" si="3"/>
        <v>6059606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276354</v>
      </c>
      <c r="D40" s="590">
        <f t="shared" si="2"/>
        <v>173699</v>
      </c>
      <c r="E40" s="590">
        <f t="shared" si="3"/>
        <v>-102655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1006827</v>
      </c>
      <c r="D41" s="590">
        <f t="shared" si="2"/>
        <v>974040</v>
      </c>
      <c r="E41" s="590">
        <f t="shared" si="3"/>
        <v>-32787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6510590</v>
      </c>
      <c r="D42" s="590">
        <f t="shared" si="2"/>
        <v>7103473</v>
      </c>
      <c r="E42" s="590">
        <f t="shared" si="3"/>
        <v>592883</v>
      </c>
    </row>
    <row r="43" spans="1:5" s="421" customFormat="1" x14ac:dyDescent="0.2">
      <c r="A43" s="588"/>
      <c r="B43" s="592" t="s">
        <v>789</v>
      </c>
      <c r="C43" s="593">
        <f>SUM(C37+C38+C41)</f>
        <v>152849513</v>
      </c>
      <c r="D43" s="593">
        <f>SUM(D37+D38+D41)</f>
        <v>172157974</v>
      </c>
      <c r="E43" s="593">
        <f t="shared" si="3"/>
        <v>19308461</v>
      </c>
    </row>
    <row r="44" spans="1:5" s="421" customFormat="1" x14ac:dyDescent="0.2">
      <c r="A44" s="588"/>
      <c r="B44" s="592" t="s">
        <v>726</v>
      </c>
      <c r="C44" s="593">
        <f>SUM(C36+C43)</f>
        <v>237069419</v>
      </c>
      <c r="D44" s="593">
        <f>SUM(D36+D43)</f>
        <v>259938571</v>
      </c>
      <c r="E44" s="593">
        <f t="shared" si="3"/>
        <v>22869152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14596102</v>
      </c>
      <c r="D47" s="589">
        <v>15060737</v>
      </c>
      <c r="E47" s="590">
        <f t="shared" ref="E47:E55" si="4">D47-C47</f>
        <v>464635</v>
      </c>
    </row>
    <row r="48" spans="1:5" s="421" customFormat="1" x14ac:dyDescent="0.2">
      <c r="A48" s="588">
        <v>2</v>
      </c>
      <c r="B48" s="587" t="s">
        <v>636</v>
      </c>
      <c r="C48" s="589">
        <v>32316300</v>
      </c>
      <c r="D48" s="591">
        <v>34553159</v>
      </c>
      <c r="E48" s="590">
        <f t="shared" si="4"/>
        <v>2236859</v>
      </c>
    </row>
    <row r="49" spans="1:5" s="421" customFormat="1" x14ac:dyDescent="0.2">
      <c r="A49" s="588">
        <v>3</v>
      </c>
      <c r="B49" s="587" t="s">
        <v>778</v>
      </c>
      <c r="C49" s="589">
        <v>5157587</v>
      </c>
      <c r="D49" s="591">
        <v>5063846</v>
      </c>
      <c r="E49" s="590">
        <f t="shared" si="4"/>
        <v>-93741</v>
      </c>
    </row>
    <row r="50" spans="1:5" s="421" customFormat="1" x14ac:dyDescent="0.2">
      <c r="A50" s="588">
        <v>4</v>
      </c>
      <c r="B50" s="587" t="s">
        <v>115</v>
      </c>
      <c r="C50" s="589">
        <v>5127166</v>
      </c>
      <c r="D50" s="591">
        <v>5045202</v>
      </c>
      <c r="E50" s="590">
        <f t="shared" si="4"/>
        <v>-81964</v>
      </c>
    </row>
    <row r="51" spans="1:5" s="421" customFormat="1" x14ac:dyDescent="0.2">
      <c r="A51" s="588">
        <v>5</v>
      </c>
      <c r="B51" s="587" t="s">
        <v>744</v>
      </c>
      <c r="C51" s="589">
        <v>30421</v>
      </c>
      <c r="D51" s="591">
        <v>18644</v>
      </c>
      <c r="E51" s="590">
        <f t="shared" si="4"/>
        <v>-11777</v>
      </c>
    </row>
    <row r="52" spans="1:5" s="421" customFormat="1" x14ac:dyDescent="0.2">
      <c r="A52" s="588">
        <v>6</v>
      </c>
      <c r="B52" s="587" t="s">
        <v>424</v>
      </c>
      <c r="C52" s="589">
        <v>282459</v>
      </c>
      <c r="D52" s="591">
        <v>220612</v>
      </c>
      <c r="E52" s="590">
        <f t="shared" si="4"/>
        <v>-61847</v>
      </c>
    </row>
    <row r="53" spans="1:5" s="421" customFormat="1" x14ac:dyDescent="0.2">
      <c r="A53" s="588">
        <v>7</v>
      </c>
      <c r="B53" s="587" t="s">
        <v>759</v>
      </c>
      <c r="C53" s="589">
        <v>330637</v>
      </c>
      <c r="D53" s="591">
        <v>272165</v>
      </c>
      <c r="E53" s="590">
        <f t="shared" si="4"/>
        <v>-58472</v>
      </c>
    </row>
    <row r="54" spans="1:5" s="421" customFormat="1" x14ac:dyDescent="0.2">
      <c r="A54" s="588"/>
      <c r="B54" s="592" t="s">
        <v>791</v>
      </c>
      <c r="C54" s="593">
        <f>SUM(C48+C49+C52)</f>
        <v>37756346</v>
      </c>
      <c r="D54" s="593">
        <f>SUM(D48+D49+D52)</f>
        <v>39837617</v>
      </c>
      <c r="E54" s="593">
        <f t="shared" si="4"/>
        <v>2081271</v>
      </c>
    </row>
    <row r="55" spans="1:5" s="421" customFormat="1" x14ac:dyDescent="0.2">
      <c r="A55" s="588"/>
      <c r="B55" s="592" t="s">
        <v>466</v>
      </c>
      <c r="C55" s="593">
        <f>SUM(C47+C54)</f>
        <v>52352448</v>
      </c>
      <c r="D55" s="593">
        <f>SUM(D47+D54)</f>
        <v>54898354</v>
      </c>
      <c r="E55" s="593">
        <f t="shared" si="4"/>
        <v>2545906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29606147</v>
      </c>
      <c r="D58" s="589">
        <v>29610878</v>
      </c>
      <c r="E58" s="590">
        <f t="shared" ref="E58:E66" si="5">D58-C58</f>
        <v>4731</v>
      </c>
    </row>
    <row r="59" spans="1:5" s="421" customFormat="1" x14ac:dyDescent="0.2">
      <c r="A59" s="588">
        <v>2</v>
      </c>
      <c r="B59" s="587" t="s">
        <v>636</v>
      </c>
      <c r="C59" s="589">
        <v>21046538</v>
      </c>
      <c r="D59" s="591">
        <v>21867353</v>
      </c>
      <c r="E59" s="590">
        <f t="shared" si="5"/>
        <v>820815</v>
      </c>
    </row>
    <row r="60" spans="1:5" s="421" customFormat="1" x14ac:dyDescent="0.2">
      <c r="A60" s="588">
        <v>3</v>
      </c>
      <c r="B60" s="587" t="s">
        <v>778</v>
      </c>
      <c r="C60" s="589">
        <f>C61+C62</f>
        <v>9788843</v>
      </c>
      <c r="D60" s="591">
        <f>D61+D62</f>
        <v>10877825</v>
      </c>
      <c r="E60" s="590">
        <f t="shared" si="5"/>
        <v>1088982</v>
      </c>
    </row>
    <row r="61" spans="1:5" s="421" customFormat="1" x14ac:dyDescent="0.2">
      <c r="A61" s="588">
        <v>4</v>
      </c>
      <c r="B61" s="587" t="s">
        <v>115</v>
      </c>
      <c r="C61" s="589">
        <v>9751063</v>
      </c>
      <c r="D61" s="591">
        <v>10846419</v>
      </c>
      <c r="E61" s="590">
        <f t="shared" si="5"/>
        <v>1095356</v>
      </c>
    </row>
    <row r="62" spans="1:5" s="421" customFormat="1" x14ac:dyDescent="0.2">
      <c r="A62" s="588">
        <v>5</v>
      </c>
      <c r="B62" s="587" t="s">
        <v>744</v>
      </c>
      <c r="C62" s="589">
        <v>37780</v>
      </c>
      <c r="D62" s="591">
        <v>31406</v>
      </c>
      <c r="E62" s="590">
        <f t="shared" si="5"/>
        <v>-6374</v>
      </c>
    </row>
    <row r="63" spans="1:5" s="421" customFormat="1" x14ac:dyDescent="0.2">
      <c r="A63" s="588">
        <v>6</v>
      </c>
      <c r="B63" s="587" t="s">
        <v>424</v>
      </c>
      <c r="C63" s="589">
        <v>189582</v>
      </c>
      <c r="D63" s="591">
        <v>228839</v>
      </c>
      <c r="E63" s="590">
        <f t="shared" si="5"/>
        <v>39257</v>
      </c>
    </row>
    <row r="64" spans="1:5" s="421" customFormat="1" x14ac:dyDescent="0.2">
      <c r="A64" s="588">
        <v>7</v>
      </c>
      <c r="B64" s="587" t="s">
        <v>759</v>
      </c>
      <c r="C64" s="589">
        <v>1327208</v>
      </c>
      <c r="D64" s="591">
        <v>943602</v>
      </c>
      <c r="E64" s="590">
        <f t="shared" si="5"/>
        <v>-383606</v>
      </c>
    </row>
    <row r="65" spans="1:5" s="421" customFormat="1" x14ac:dyDescent="0.2">
      <c r="A65" s="588"/>
      <c r="B65" s="592" t="s">
        <v>793</v>
      </c>
      <c r="C65" s="593">
        <f>SUM(C59+C60+C63)</f>
        <v>31024963</v>
      </c>
      <c r="D65" s="593">
        <f>SUM(D59+D60+D63)</f>
        <v>32974017</v>
      </c>
      <c r="E65" s="593">
        <f t="shared" si="5"/>
        <v>1949054</v>
      </c>
    </row>
    <row r="66" spans="1:5" s="421" customFormat="1" x14ac:dyDescent="0.2">
      <c r="A66" s="588"/>
      <c r="B66" s="592" t="s">
        <v>468</v>
      </c>
      <c r="C66" s="593">
        <f>SUM(C58+C65)</f>
        <v>60631110</v>
      </c>
      <c r="D66" s="593">
        <f>SUM(D58+D65)</f>
        <v>62584895</v>
      </c>
      <c r="E66" s="593">
        <f t="shared" si="5"/>
        <v>1953785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44202249</v>
      </c>
      <c r="D69" s="590">
        <f t="shared" si="6"/>
        <v>44671615</v>
      </c>
      <c r="E69" s="590">
        <f t="shared" ref="E69:E77" si="7">D69-C69</f>
        <v>469366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53362838</v>
      </c>
      <c r="D70" s="590">
        <f t="shared" si="6"/>
        <v>56420512</v>
      </c>
      <c r="E70" s="590">
        <f t="shared" si="7"/>
        <v>3057674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14946430</v>
      </c>
      <c r="D71" s="590">
        <f t="shared" si="6"/>
        <v>15941671</v>
      </c>
      <c r="E71" s="590">
        <f t="shared" si="7"/>
        <v>995241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14878229</v>
      </c>
      <c r="D72" s="590">
        <f t="shared" si="6"/>
        <v>15891621</v>
      </c>
      <c r="E72" s="590">
        <f t="shared" si="7"/>
        <v>1013392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68201</v>
      </c>
      <c r="D73" s="590">
        <f t="shared" si="6"/>
        <v>50050</v>
      </c>
      <c r="E73" s="590">
        <f t="shared" si="7"/>
        <v>-18151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472041</v>
      </c>
      <c r="D74" s="590">
        <f t="shared" si="6"/>
        <v>449451</v>
      </c>
      <c r="E74" s="590">
        <f t="shared" si="7"/>
        <v>-22590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1657845</v>
      </c>
      <c r="D75" s="590">
        <f t="shared" si="6"/>
        <v>1215767</v>
      </c>
      <c r="E75" s="590">
        <f t="shared" si="7"/>
        <v>-442078</v>
      </c>
    </row>
    <row r="76" spans="1:5" s="421" customFormat="1" x14ac:dyDescent="0.2">
      <c r="A76" s="588"/>
      <c r="B76" s="592" t="s">
        <v>794</v>
      </c>
      <c r="C76" s="593">
        <f>SUM(C70+C71+C74)</f>
        <v>68781309</v>
      </c>
      <c r="D76" s="593">
        <f>SUM(D70+D71+D74)</f>
        <v>72811634</v>
      </c>
      <c r="E76" s="593">
        <f t="shared" si="7"/>
        <v>4030325</v>
      </c>
    </row>
    <row r="77" spans="1:5" s="421" customFormat="1" x14ac:dyDescent="0.2">
      <c r="A77" s="588"/>
      <c r="B77" s="592" t="s">
        <v>727</v>
      </c>
      <c r="C77" s="593">
        <f>SUM(C69+C76)</f>
        <v>112983558</v>
      </c>
      <c r="D77" s="593">
        <f>SUM(D69+D76)</f>
        <v>117483249</v>
      </c>
      <c r="E77" s="593">
        <f t="shared" si="7"/>
        <v>4499691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9.287889215268208E-2</v>
      </c>
      <c r="D83" s="599">
        <f t="shared" si="8"/>
        <v>9.4252895619711632E-2</v>
      </c>
      <c r="E83" s="599">
        <f t="shared" ref="E83:E91" si="9">D83-C83</f>
        <v>1.3740034670295526E-3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0.23140028026980569</v>
      </c>
      <c r="D84" s="599">
        <f t="shared" si="8"/>
        <v>0.23859086306972119</v>
      </c>
      <c r="E84" s="599">
        <f t="shared" si="9"/>
        <v>7.1905827999154959E-3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5.0457946244007117E-2</v>
      </c>
      <c r="D85" s="599">
        <f t="shared" si="8"/>
        <v>5.59991306561426E-2</v>
      </c>
      <c r="E85" s="599">
        <f t="shared" si="9"/>
        <v>5.5411844121354831E-3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5.0157135619419556E-2</v>
      </c>
      <c r="D86" s="599">
        <f t="shared" si="8"/>
        <v>5.592107375245977E-2</v>
      </c>
      <c r="E86" s="599">
        <f t="shared" si="9"/>
        <v>5.763938133040214E-3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3.0081062458756015E-4</v>
      </c>
      <c r="D87" s="599">
        <f t="shared" si="8"/>
        <v>7.8056903682832042E-5</v>
      </c>
      <c r="E87" s="599">
        <f t="shared" si="9"/>
        <v>-2.2275372090472812E-4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2.0377659929220987E-3</v>
      </c>
      <c r="D88" s="599">
        <f t="shared" si="8"/>
        <v>1.3616486335150315E-3</v>
      </c>
      <c r="E88" s="599">
        <f t="shared" si="9"/>
        <v>-6.7611735940706721E-4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5.4771256684102302E-3</v>
      </c>
      <c r="D89" s="599">
        <f t="shared" si="8"/>
        <v>6.1176146113383076E-3</v>
      </c>
      <c r="E89" s="599">
        <f t="shared" si="9"/>
        <v>6.4048894292807745E-4</v>
      </c>
    </row>
    <row r="90" spans="1:5" s="421" customFormat="1" x14ac:dyDescent="0.2">
      <c r="A90" s="588"/>
      <c r="B90" s="592" t="s">
        <v>797</v>
      </c>
      <c r="C90" s="600">
        <f>SUM(C84+C85+C88)</f>
        <v>0.28389599250673492</v>
      </c>
      <c r="D90" s="600">
        <f>SUM(D84+D85+D88)</f>
        <v>0.29595164235937882</v>
      </c>
      <c r="E90" s="601">
        <f t="shared" si="9"/>
        <v>1.2055649852643902E-2</v>
      </c>
    </row>
    <row r="91" spans="1:5" s="421" customFormat="1" x14ac:dyDescent="0.2">
      <c r="A91" s="588"/>
      <c r="B91" s="592" t="s">
        <v>798</v>
      </c>
      <c r="C91" s="600">
        <f>SUM(C83+C90)</f>
        <v>0.376774884659417</v>
      </c>
      <c r="D91" s="600">
        <f>SUM(D83+D90)</f>
        <v>0.39020453797909044</v>
      </c>
      <c r="E91" s="601">
        <f t="shared" si="9"/>
        <v>1.342965331967344E-2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0.26237530450943569</v>
      </c>
      <c r="D95" s="599">
        <f t="shared" si="10"/>
        <v>0.24344457137144146</v>
      </c>
      <c r="E95" s="599">
        <f t="shared" ref="E95:E103" si="11">D95-C95</f>
        <v>-1.8930733137994232E-2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0.23020444488455932</v>
      </c>
      <c r="D96" s="599">
        <f t="shared" si="10"/>
        <v>0.23389254148050234</v>
      </c>
      <c r="E96" s="599">
        <f t="shared" si="11"/>
        <v>3.688096595943019E-3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0.12843616071797095</v>
      </c>
      <c r="D97" s="599">
        <f t="shared" si="10"/>
        <v>0.13007280477817199</v>
      </c>
      <c r="E97" s="599">
        <f t="shared" si="11"/>
        <v>1.6366440602010313E-3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0.12757126215423004</v>
      </c>
      <c r="D98" s="599">
        <f t="shared" si="10"/>
        <v>0.12948263072508773</v>
      </c>
      <c r="E98" s="599">
        <f t="shared" si="11"/>
        <v>1.9113685708576911E-3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8.648985637409437E-4</v>
      </c>
      <c r="D99" s="599">
        <f t="shared" si="10"/>
        <v>5.9017405308425732E-4</v>
      </c>
      <c r="E99" s="599">
        <f t="shared" si="11"/>
        <v>-2.7472451065668638E-4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2.2092052286170239E-3</v>
      </c>
      <c r="D100" s="599">
        <f t="shared" si="10"/>
        <v>2.3855443907937774E-3</v>
      </c>
      <c r="E100" s="599">
        <f t="shared" si="11"/>
        <v>1.7633916217675355E-4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2.1985674162385321E-2</v>
      </c>
      <c r="D101" s="599">
        <f t="shared" si="10"/>
        <v>2.1209891932505852E-2</v>
      </c>
      <c r="E101" s="599">
        <f t="shared" si="11"/>
        <v>-7.7578222987946879E-4</v>
      </c>
    </row>
    <row r="102" spans="1:5" s="421" customFormat="1" x14ac:dyDescent="0.2">
      <c r="A102" s="588"/>
      <c r="B102" s="592" t="s">
        <v>800</v>
      </c>
      <c r="C102" s="600">
        <f>SUM(C96+C97+C100)</f>
        <v>0.36084981083114731</v>
      </c>
      <c r="D102" s="600">
        <f>SUM(D96+D97+D100)</f>
        <v>0.36635089064946813</v>
      </c>
      <c r="E102" s="601">
        <f t="shared" si="11"/>
        <v>5.5010798183208198E-3</v>
      </c>
    </row>
    <row r="103" spans="1:5" s="421" customFormat="1" x14ac:dyDescent="0.2">
      <c r="A103" s="588"/>
      <c r="B103" s="592" t="s">
        <v>801</v>
      </c>
      <c r="C103" s="600">
        <f>SUM(C95+C102)</f>
        <v>0.623225115340583</v>
      </c>
      <c r="D103" s="600">
        <f>SUM(D95+D102)</f>
        <v>0.60979546202090962</v>
      </c>
      <c r="E103" s="601">
        <f t="shared" si="11"/>
        <v>-1.3429653319673385E-2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0.12918784165037536</v>
      </c>
      <c r="D109" s="599">
        <f t="shared" si="12"/>
        <v>0.12819476076968214</v>
      </c>
      <c r="E109" s="599">
        <f t="shared" ref="E109:E117" si="13">D109-C109</f>
        <v>-9.9308088069322009E-4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0.28602657388431685</v>
      </c>
      <c r="D110" s="599">
        <f t="shared" si="12"/>
        <v>0.29411136731501186</v>
      </c>
      <c r="E110" s="599">
        <f t="shared" si="13"/>
        <v>8.0847934306950142E-3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4.5649004964067423E-2</v>
      </c>
      <c r="D111" s="599">
        <f t="shared" si="12"/>
        <v>4.3102706497332229E-2</v>
      </c>
      <c r="E111" s="599">
        <f t="shared" si="13"/>
        <v>-2.5462984667351946E-3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4.5379753397392565E-2</v>
      </c>
      <c r="D112" s="599">
        <f t="shared" si="12"/>
        <v>4.2944011533082471E-2</v>
      </c>
      <c r="E112" s="599">
        <f t="shared" si="13"/>
        <v>-2.4357418643100939E-3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2.6925156667486076E-4</v>
      </c>
      <c r="D113" s="599">
        <f t="shared" si="12"/>
        <v>1.5869496424975445E-4</v>
      </c>
      <c r="E113" s="599">
        <f t="shared" si="13"/>
        <v>-1.1055660242510632E-4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2.5000009293387627E-3</v>
      </c>
      <c r="D114" s="599">
        <f t="shared" si="12"/>
        <v>1.8778166409068242E-3</v>
      </c>
      <c r="E114" s="599">
        <f t="shared" si="13"/>
        <v>-6.2218428843193851E-4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2.9264169570584774E-3</v>
      </c>
      <c r="D115" s="599">
        <f t="shared" si="12"/>
        <v>2.316628134790518E-3</v>
      </c>
      <c r="E115" s="599">
        <f t="shared" si="13"/>
        <v>-6.0978882226795945E-4</v>
      </c>
    </row>
    <row r="116" spans="1:5" s="421" customFormat="1" x14ac:dyDescent="0.2">
      <c r="A116" s="588"/>
      <c r="B116" s="592" t="s">
        <v>797</v>
      </c>
      <c r="C116" s="600">
        <f>SUM(C110+C111+C114)</f>
        <v>0.33417557977772305</v>
      </c>
      <c r="D116" s="600">
        <f>SUM(D110+D111+D114)</f>
        <v>0.33909189045325089</v>
      </c>
      <c r="E116" s="601">
        <f t="shared" si="13"/>
        <v>4.9163106755278352E-3</v>
      </c>
    </row>
    <row r="117" spans="1:5" s="421" customFormat="1" x14ac:dyDescent="0.2">
      <c r="A117" s="588"/>
      <c r="B117" s="592" t="s">
        <v>798</v>
      </c>
      <c r="C117" s="600">
        <f>SUM(C109+C116)</f>
        <v>0.46336342142809839</v>
      </c>
      <c r="D117" s="600">
        <f>SUM(D109+D116)</f>
        <v>0.467286651222933</v>
      </c>
      <c r="E117" s="601">
        <f t="shared" si="13"/>
        <v>3.9232297948346151E-3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0.26203942878130992</v>
      </c>
      <c r="D121" s="599">
        <f t="shared" si="14"/>
        <v>0.25204340407712084</v>
      </c>
      <c r="E121" s="599">
        <f t="shared" ref="E121:E129" si="15">D121-C121</f>
        <v>-9.9960247041890882E-3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0.18627965318635123</v>
      </c>
      <c r="D122" s="599">
        <f t="shared" si="14"/>
        <v>0.18613166716218413</v>
      </c>
      <c r="E122" s="599">
        <f t="shared" si="15"/>
        <v>-1.479860241671016E-4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8.6639535639336129E-2</v>
      </c>
      <c r="D123" s="599">
        <f t="shared" si="14"/>
        <v>9.2590433892409632E-2</v>
      </c>
      <c r="E123" s="599">
        <f t="shared" si="15"/>
        <v>5.9508982530735027E-3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8.6305150701662267E-2</v>
      </c>
      <c r="D124" s="599">
        <f t="shared" si="14"/>
        <v>9.2323110675973902E-2</v>
      </c>
      <c r="E124" s="599">
        <f t="shared" si="15"/>
        <v>6.0179599743116347E-3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3.3438493767385161E-4</v>
      </c>
      <c r="D125" s="599">
        <f t="shared" si="14"/>
        <v>2.6732321643573205E-4</v>
      </c>
      <c r="E125" s="599">
        <f t="shared" si="15"/>
        <v>-6.7061721238119562E-5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1.6779609649042917E-3</v>
      </c>
      <c r="D126" s="599">
        <f t="shared" si="14"/>
        <v>1.9478436453523684E-3</v>
      </c>
      <c r="E126" s="599">
        <f t="shared" si="15"/>
        <v>2.6988268044807672E-4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1.1746912767608185E-2</v>
      </c>
      <c r="D127" s="599">
        <f t="shared" si="14"/>
        <v>8.0318003462774516E-3</v>
      </c>
      <c r="E127" s="599">
        <f t="shared" si="15"/>
        <v>-3.7151124213307338E-3</v>
      </c>
    </row>
    <row r="128" spans="1:5" s="421" customFormat="1" x14ac:dyDescent="0.2">
      <c r="A128" s="588"/>
      <c r="B128" s="592" t="s">
        <v>800</v>
      </c>
      <c r="C128" s="600">
        <f>SUM(C122+C123+C126)</f>
        <v>0.27459714979059163</v>
      </c>
      <c r="D128" s="600">
        <f>SUM(D122+D123+D126)</f>
        <v>0.28066994469994616</v>
      </c>
      <c r="E128" s="601">
        <f t="shared" si="15"/>
        <v>6.0727949093545286E-3</v>
      </c>
    </row>
    <row r="129" spans="1:5" s="421" customFormat="1" x14ac:dyDescent="0.2">
      <c r="A129" s="588"/>
      <c r="B129" s="592" t="s">
        <v>801</v>
      </c>
      <c r="C129" s="600">
        <f>SUM(C121+C128)</f>
        <v>0.53663657857190161</v>
      </c>
      <c r="D129" s="600">
        <f>SUM(D121+D128)</f>
        <v>0.532713348777067</v>
      </c>
      <c r="E129" s="601">
        <f t="shared" si="15"/>
        <v>-3.9232297948346151E-3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1720</v>
      </c>
      <c r="D137" s="606">
        <v>1821</v>
      </c>
      <c r="E137" s="607">
        <f t="shared" ref="E137:E145" si="16">D137-C137</f>
        <v>101</v>
      </c>
    </row>
    <row r="138" spans="1:5" s="421" customFormat="1" x14ac:dyDescent="0.2">
      <c r="A138" s="588">
        <v>2</v>
      </c>
      <c r="B138" s="587" t="s">
        <v>636</v>
      </c>
      <c r="C138" s="606">
        <v>3482</v>
      </c>
      <c r="D138" s="606">
        <v>3510</v>
      </c>
      <c r="E138" s="607">
        <f t="shared" si="16"/>
        <v>28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1105</v>
      </c>
      <c r="D139" s="606">
        <f>D140+D141</f>
        <v>1170</v>
      </c>
      <c r="E139" s="607">
        <f t="shared" si="16"/>
        <v>65</v>
      </c>
    </row>
    <row r="140" spans="1:5" s="421" customFormat="1" x14ac:dyDescent="0.2">
      <c r="A140" s="588">
        <v>4</v>
      </c>
      <c r="B140" s="587" t="s">
        <v>115</v>
      </c>
      <c r="C140" s="606">
        <v>1103</v>
      </c>
      <c r="D140" s="606">
        <v>1167</v>
      </c>
      <c r="E140" s="607">
        <f t="shared" si="16"/>
        <v>64</v>
      </c>
    </row>
    <row r="141" spans="1:5" s="421" customFormat="1" x14ac:dyDescent="0.2">
      <c r="A141" s="588">
        <v>5</v>
      </c>
      <c r="B141" s="587" t="s">
        <v>744</v>
      </c>
      <c r="C141" s="606">
        <v>2</v>
      </c>
      <c r="D141" s="606">
        <v>3</v>
      </c>
      <c r="E141" s="607">
        <f t="shared" si="16"/>
        <v>1</v>
      </c>
    </row>
    <row r="142" spans="1:5" s="421" customFormat="1" x14ac:dyDescent="0.2">
      <c r="A142" s="588">
        <v>6</v>
      </c>
      <c r="B142" s="587" t="s">
        <v>424</v>
      </c>
      <c r="C142" s="606">
        <v>31</v>
      </c>
      <c r="D142" s="606">
        <v>32</v>
      </c>
      <c r="E142" s="607">
        <f t="shared" si="16"/>
        <v>1</v>
      </c>
    </row>
    <row r="143" spans="1:5" s="421" customFormat="1" x14ac:dyDescent="0.2">
      <c r="A143" s="588">
        <v>7</v>
      </c>
      <c r="B143" s="587" t="s">
        <v>759</v>
      </c>
      <c r="C143" s="606">
        <v>114</v>
      </c>
      <c r="D143" s="606">
        <v>200</v>
      </c>
      <c r="E143" s="607">
        <f t="shared" si="16"/>
        <v>86</v>
      </c>
    </row>
    <row r="144" spans="1:5" s="421" customFormat="1" x14ac:dyDescent="0.2">
      <c r="A144" s="588"/>
      <c r="B144" s="592" t="s">
        <v>808</v>
      </c>
      <c r="C144" s="608">
        <f>SUM(C138+C139+C142)</f>
        <v>4618</v>
      </c>
      <c r="D144" s="608">
        <f>SUM(D138+D139+D142)</f>
        <v>4712</v>
      </c>
      <c r="E144" s="609">
        <f t="shared" si="16"/>
        <v>94</v>
      </c>
    </row>
    <row r="145" spans="1:5" s="421" customFormat="1" x14ac:dyDescent="0.2">
      <c r="A145" s="588"/>
      <c r="B145" s="592" t="s">
        <v>138</v>
      </c>
      <c r="C145" s="608">
        <f>SUM(C137+C144)</f>
        <v>6338</v>
      </c>
      <c r="D145" s="608">
        <f>SUM(D137+D144)</f>
        <v>6533</v>
      </c>
      <c r="E145" s="609">
        <f t="shared" si="16"/>
        <v>195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5533</v>
      </c>
      <c r="D149" s="610">
        <v>5952</v>
      </c>
      <c r="E149" s="607">
        <f t="shared" ref="E149:E157" si="17">D149-C149</f>
        <v>419</v>
      </c>
    </row>
    <row r="150" spans="1:5" s="421" customFormat="1" x14ac:dyDescent="0.2">
      <c r="A150" s="588">
        <v>2</v>
      </c>
      <c r="B150" s="587" t="s">
        <v>636</v>
      </c>
      <c r="C150" s="610">
        <v>15393</v>
      </c>
      <c r="D150" s="610">
        <v>15882</v>
      </c>
      <c r="E150" s="607">
        <f t="shared" si="17"/>
        <v>489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4203</v>
      </c>
      <c r="D151" s="610">
        <f>D152+D153</f>
        <v>4608</v>
      </c>
      <c r="E151" s="607">
        <f t="shared" si="17"/>
        <v>405</v>
      </c>
    </row>
    <row r="152" spans="1:5" s="421" customFormat="1" x14ac:dyDescent="0.2">
      <c r="A152" s="588">
        <v>4</v>
      </c>
      <c r="B152" s="587" t="s">
        <v>115</v>
      </c>
      <c r="C152" s="610">
        <v>4172</v>
      </c>
      <c r="D152" s="610">
        <v>4603</v>
      </c>
      <c r="E152" s="607">
        <f t="shared" si="17"/>
        <v>431</v>
      </c>
    </row>
    <row r="153" spans="1:5" s="421" customFormat="1" x14ac:dyDescent="0.2">
      <c r="A153" s="588">
        <v>5</v>
      </c>
      <c r="B153" s="587" t="s">
        <v>744</v>
      </c>
      <c r="C153" s="611">
        <v>31</v>
      </c>
      <c r="D153" s="610">
        <v>5</v>
      </c>
      <c r="E153" s="607">
        <f t="shared" si="17"/>
        <v>-26</v>
      </c>
    </row>
    <row r="154" spans="1:5" s="421" customFormat="1" x14ac:dyDescent="0.2">
      <c r="A154" s="588">
        <v>6</v>
      </c>
      <c r="B154" s="587" t="s">
        <v>424</v>
      </c>
      <c r="C154" s="610">
        <v>120</v>
      </c>
      <c r="D154" s="610">
        <v>132</v>
      </c>
      <c r="E154" s="607">
        <f t="shared" si="17"/>
        <v>12</v>
      </c>
    </row>
    <row r="155" spans="1:5" s="421" customFormat="1" x14ac:dyDescent="0.2">
      <c r="A155" s="588">
        <v>7</v>
      </c>
      <c r="B155" s="587" t="s">
        <v>759</v>
      </c>
      <c r="C155" s="610">
        <v>392</v>
      </c>
      <c r="D155" s="610">
        <v>696</v>
      </c>
      <c r="E155" s="607">
        <f t="shared" si="17"/>
        <v>304</v>
      </c>
    </row>
    <row r="156" spans="1:5" s="421" customFormat="1" x14ac:dyDescent="0.2">
      <c r="A156" s="588"/>
      <c r="B156" s="592" t="s">
        <v>809</v>
      </c>
      <c r="C156" s="608">
        <f>SUM(C150+C151+C154)</f>
        <v>19716</v>
      </c>
      <c r="D156" s="608">
        <f>SUM(D150+D151+D154)</f>
        <v>20622</v>
      </c>
      <c r="E156" s="609">
        <f t="shared" si="17"/>
        <v>906</v>
      </c>
    </row>
    <row r="157" spans="1:5" s="421" customFormat="1" x14ac:dyDescent="0.2">
      <c r="A157" s="588"/>
      <c r="B157" s="592" t="s">
        <v>140</v>
      </c>
      <c r="C157" s="608">
        <f>SUM(C149+C156)</f>
        <v>25249</v>
      </c>
      <c r="D157" s="608">
        <f>SUM(D149+D156)</f>
        <v>26574</v>
      </c>
      <c r="E157" s="609">
        <f t="shared" si="17"/>
        <v>1325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3.2168604651162789</v>
      </c>
      <c r="D161" s="612">
        <f t="shared" si="18"/>
        <v>3.2685337726523889</v>
      </c>
      <c r="E161" s="613">
        <f t="shared" ref="E161:E169" si="19">D161-C161</f>
        <v>5.1673307536109991E-2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4.4207352096496271</v>
      </c>
      <c r="D162" s="612">
        <f t="shared" si="18"/>
        <v>4.5247863247863247</v>
      </c>
      <c r="E162" s="613">
        <f t="shared" si="19"/>
        <v>0.10405111513669763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3.8036199095022623</v>
      </c>
      <c r="D163" s="612">
        <f t="shared" si="18"/>
        <v>3.9384615384615387</v>
      </c>
      <c r="E163" s="613">
        <f t="shared" si="19"/>
        <v>0.13484162895927643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3.7824116047144152</v>
      </c>
      <c r="D164" s="612">
        <f t="shared" si="18"/>
        <v>3.9443016281062553</v>
      </c>
      <c r="E164" s="613">
        <f t="shared" si="19"/>
        <v>0.16189002339184011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15.5</v>
      </c>
      <c r="D165" s="612">
        <f t="shared" si="18"/>
        <v>1.6666666666666667</v>
      </c>
      <c r="E165" s="613">
        <f t="shared" si="19"/>
        <v>-13.833333333333334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3.870967741935484</v>
      </c>
      <c r="D166" s="612">
        <f t="shared" si="18"/>
        <v>4.125</v>
      </c>
      <c r="E166" s="613">
        <f t="shared" si="19"/>
        <v>0.25403225806451601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3.4385964912280702</v>
      </c>
      <c r="D167" s="612">
        <f t="shared" si="18"/>
        <v>3.48</v>
      </c>
      <c r="E167" s="613">
        <f t="shared" si="19"/>
        <v>4.1403508771929776E-2</v>
      </c>
    </row>
    <row r="168" spans="1:5" s="421" customFormat="1" x14ac:dyDescent="0.2">
      <c r="A168" s="588"/>
      <c r="B168" s="592" t="s">
        <v>811</v>
      </c>
      <c r="C168" s="614">
        <f t="shared" si="18"/>
        <v>4.269380684278909</v>
      </c>
      <c r="D168" s="614">
        <f t="shared" si="18"/>
        <v>4.3764855687606108</v>
      </c>
      <c r="E168" s="615">
        <f t="shared" si="19"/>
        <v>0.10710488448170175</v>
      </c>
    </row>
    <row r="169" spans="1:5" s="421" customFormat="1" x14ac:dyDescent="0.2">
      <c r="A169" s="588"/>
      <c r="B169" s="592" t="s">
        <v>745</v>
      </c>
      <c r="C169" s="614">
        <f t="shared" si="18"/>
        <v>3.9837488166614072</v>
      </c>
      <c r="D169" s="614">
        <f t="shared" si="18"/>
        <v>4.0676565130874023</v>
      </c>
      <c r="E169" s="615">
        <f t="shared" si="19"/>
        <v>8.3907696425995049E-2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1.1603000000000001</v>
      </c>
      <c r="D173" s="617">
        <f t="shared" si="20"/>
        <v>1.0895999999999999</v>
      </c>
      <c r="E173" s="618">
        <f t="shared" ref="E173:E181" si="21">D173-C173</f>
        <v>-7.0700000000000207E-2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1.3565000000000003</v>
      </c>
      <c r="D174" s="617">
        <f t="shared" si="20"/>
        <v>1.4476</v>
      </c>
      <c r="E174" s="618">
        <f t="shared" si="21"/>
        <v>9.1099999999999737E-2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1.0083133031674207</v>
      </c>
      <c r="D175" s="617">
        <f t="shared" si="20"/>
        <v>1.0481935897435899</v>
      </c>
      <c r="E175" s="618">
        <f t="shared" si="21"/>
        <v>3.9880286576169155E-2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1.0074000000000001</v>
      </c>
      <c r="D176" s="617">
        <f t="shared" si="20"/>
        <v>1.048</v>
      </c>
      <c r="E176" s="618">
        <f t="shared" si="21"/>
        <v>4.0599999999999969E-2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1.512</v>
      </c>
      <c r="D177" s="617">
        <f t="shared" si="20"/>
        <v>1.1234999999999999</v>
      </c>
      <c r="E177" s="618">
        <f t="shared" si="21"/>
        <v>-0.38850000000000007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1.0644</v>
      </c>
      <c r="D178" s="617">
        <f t="shared" si="20"/>
        <v>1.0033000000000001</v>
      </c>
      <c r="E178" s="618">
        <f t="shared" si="21"/>
        <v>-6.1099999999999932E-2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1.0903</v>
      </c>
      <c r="D179" s="617">
        <f t="shared" si="20"/>
        <v>1.0268999999999999</v>
      </c>
      <c r="E179" s="618">
        <f t="shared" si="21"/>
        <v>-6.3400000000000123E-2</v>
      </c>
    </row>
    <row r="180" spans="1:5" s="421" customFormat="1" x14ac:dyDescent="0.2">
      <c r="A180" s="588"/>
      <c r="B180" s="592" t="s">
        <v>813</v>
      </c>
      <c r="C180" s="619">
        <f t="shared" si="20"/>
        <v>1.2712246860112604</v>
      </c>
      <c r="D180" s="619">
        <f t="shared" si="20"/>
        <v>1.3454091893039049</v>
      </c>
      <c r="E180" s="620">
        <f t="shared" si="21"/>
        <v>7.4184503292644477E-2</v>
      </c>
    </row>
    <row r="181" spans="1:5" s="421" customFormat="1" x14ac:dyDescent="0.2">
      <c r="A181" s="588"/>
      <c r="B181" s="592" t="s">
        <v>724</v>
      </c>
      <c r="C181" s="619">
        <f t="shared" si="20"/>
        <v>1.2411220574313666</v>
      </c>
      <c r="D181" s="619">
        <f t="shared" si="20"/>
        <v>1.2741052655747742</v>
      </c>
      <c r="E181" s="620">
        <f t="shared" si="21"/>
        <v>3.2983208143407605E-2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84219906</v>
      </c>
      <c r="D185" s="589">
        <v>87780597</v>
      </c>
      <c r="E185" s="590">
        <f>D185-C185</f>
        <v>3560691</v>
      </c>
    </row>
    <row r="186" spans="1:5" s="421" customFormat="1" ht="25.5" x14ac:dyDescent="0.2">
      <c r="A186" s="588">
        <v>2</v>
      </c>
      <c r="B186" s="587" t="s">
        <v>816</v>
      </c>
      <c r="C186" s="589">
        <v>49094597</v>
      </c>
      <c r="D186" s="589">
        <v>51264194</v>
      </c>
      <c r="E186" s="590">
        <f>D186-C186</f>
        <v>2169597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35125309</v>
      </c>
      <c r="D188" s="622">
        <f>+D185-D186</f>
        <v>36516403</v>
      </c>
      <c r="E188" s="590">
        <f t="shared" ref="E188:E197" si="22">D188-C188</f>
        <v>1391094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0.41706658993421342</v>
      </c>
      <c r="D189" s="623">
        <f>IF(D185=0,0,+D188/D185)</f>
        <v>0.41599629357726969</v>
      </c>
      <c r="E189" s="599">
        <f t="shared" si="22"/>
        <v>-1.0702963569437229E-3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1766984</v>
      </c>
      <c r="D193" s="589">
        <v>3214518</v>
      </c>
      <c r="E193" s="622">
        <f t="shared" si="22"/>
        <v>1447534</v>
      </c>
    </row>
    <row r="194" spans="1:5" s="421" customFormat="1" x14ac:dyDescent="0.2">
      <c r="A194" s="588">
        <v>9</v>
      </c>
      <c r="B194" s="587" t="s">
        <v>819</v>
      </c>
      <c r="C194" s="589">
        <v>3125364</v>
      </c>
      <c r="D194" s="589">
        <v>3378061</v>
      </c>
      <c r="E194" s="622">
        <f t="shared" si="22"/>
        <v>252697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4892348</v>
      </c>
      <c r="D195" s="589">
        <f>+D193+D194</f>
        <v>6592579</v>
      </c>
      <c r="E195" s="625">
        <f t="shared" si="22"/>
        <v>1700231</v>
      </c>
    </row>
    <row r="196" spans="1:5" s="421" customFormat="1" x14ac:dyDescent="0.2">
      <c r="A196" s="588">
        <v>11</v>
      </c>
      <c r="B196" s="587" t="s">
        <v>821</v>
      </c>
      <c r="C196" s="589">
        <v>5735128</v>
      </c>
      <c r="D196" s="589">
        <v>8250545</v>
      </c>
      <c r="E196" s="622">
        <f t="shared" si="22"/>
        <v>2515417</v>
      </c>
    </row>
    <row r="197" spans="1:5" s="421" customFormat="1" x14ac:dyDescent="0.2">
      <c r="A197" s="588">
        <v>12</v>
      </c>
      <c r="B197" s="587" t="s">
        <v>711</v>
      </c>
      <c r="C197" s="589">
        <v>121882681</v>
      </c>
      <c r="D197" s="589">
        <v>124899985</v>
      </c>
      <c r="E197" s="622">
        <f t="shared" si="22"/>
        <v>3017304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1995.7160000000001</v>
      </c>
      <c r="D203" s="629">
        <v>1984.1615999999999</v>
      </c>
      <c r="E203" s="630">
        <f t="shared" ref="E203:E211" si="23">D203-C203</f>
        <v>-11.554400000000214</v>
      </c>
    </row>
    <row r="204" spans="1:5" s="421" customFormat="1" x14ac:dyDescent="0.2">
      <c r="A204" s="588">
        <v>2</v>
      </c>
      <c r="B204" s="587" t="s">
        <v>636</v>
      </c>
      <c r="C204" s="629">
        <v>4723.3330000000005</v>
      </c>
      <c r="D204" s="629">
        <v>5081.076</v>
      </c>
      <c r="E204" s="630">
        <f t="shared" si="23"/>
        <v>357.74299999999948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1114.1861999999999</v>
      </c>
      <c r="D205" s="629">
        <f>D206+D207</f>
        <v>1226.3865000000001</v>
      </c>
      <c r="E205" s="630">
        <f t="shared" si="23"/>
        <v>112.2003000000002</v>
      </c>
    </row>
    <row r="206" spans="1:5" s="421" customFormat="1" x14ac:dyDescent="0.2">
      <c r="A206" s="588">
        <v>4</v>
      </c>
      <c r="B206" s="587" t="s">
        <v>115</v>
      </c>
      <c r="C206" s="629">
        <v>1111.1622</v>
      </c>
      <c r="D206" s="629">
        <v>1223.0160000000001</v>
      </c>
      <c r="E206" s="630">
        <f t="shared" si="23"/>
        <v>111.85380000000009</v>
      </c>
    </row>
    <row r="207" spans="1:5" s="421" customFormat="1" x14ac:dyDescent="0.2">
      <c r="A207" s="588">
        <v>5</v>
      </c>
      <c r="B207" s="587" t="s">
        <v>744</v>
      </c>
      <c r="C207" s="629">
        <v>3.024</v>
      </c>
      <c r="D207" s="629">
        <v>3.3704999999999998</v>
      </c>
      <c r="E207" s="630">
        <f t="shared" si="23"/>
        <v>0.34649999999999981</v>
      </c>
    </row>
    <row r="208" spans="1:5" s="421" customFormat="1" x14ac:dyDescent="0.2">
      <c r="A208" s="588">
        <v>6</v>
      </c>
      <c r="B208" s="587" t="s">
        <v>424</v>
      </c>
      <c r="C208" s="629">
        <v>32.996400000000001</v>
      </c>
      <c r="D208" s="629">
        <v>32.105600000000003</v>
      </c>
      <c r="E208" s="630">
        <f t="shared" si="23"/>
        <v>-0.8907999999999987</v>
      </c>
    </row>
    <row r="209" spans="1:5" s="421" customFormat="1" x14ac:dyDescent="0.2">
      <c r="A209" s="588">
        <v>7</v>
      </c>
      <c r="B209" s="587" t="s">
        <v>759</v>
      </c>
      <c r="C209" s="629">
        <v>124.2942</v>
      </c>
      <c r="D209" s="629">
        <v>205.38</v>
      </c>
      <c r="E209" s="630">
        <f t="shared" si="23"/>
        <v>81.085799999999992</v>
      </c>
    </row>
    <row r="210" spans="1:5" s="421" customFormat="1" x14ac:dyDescent="0.2">
      <c r="A210" s="588"/>
      <c r="B210" s="592" t="s">
        <v>824</v>
      </c>
      <c r="C210" s="631">
        <f>C204+C205+C208</f>
        <v>5870.5156000000006</v>
      </c>
      <c r="D210" s="631">
        <f>D204+D205+D208</f>
        <v>6339.5680999999995</v>
      </c>
      <c r="E210" s="632">
        <f t="shared" si="23"/>
        <v>469.05249999999887</v>
      </c>
    </row>
    <row r="211" spans="1:5" s="421" customFormat="1" x14ac:dyDescent="0.2">
      <c r="A211" s="588"/>
      <c r="B211" s="592" t="s">
        <v>725</v>
      </c>
      <c r="C211" s="631">
        <f>C210+C203</f>
        <v>7866.231600000001</v>
      </c>
      <c r="D211" s="631">
        <f>D210+D203</f>
        <v>8323.7296999999999</v>
      </c>
      <c r="E211" s="632">
        <f t="shared" si="23"/>
        <v>457.49809999999889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4858.8598905160125</v>
      </c>
      <c r="D215" s="633">
        <f>IF(D14*D137=0,0,D25/D14*D137)</f>
        <v>4703.4370833131461</v>
      </c>
      <c r="E215" s="633">
        <f t="shared" ref="E215:E223" si="24">D215-C215</f>
        <v>-155.42280720286635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3464.0056449085846</v>
      </c>
      <c r="D216" s="633">
        <f>IF(D15*D138=0,0,D26/D15*D138)</f>
        <v>3440.8812224995422</v>
      </c>
      <c r="E216" s="633">
        <f t="shared" si="24"/>
        <v>-23.124422409042381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2811.1559128584531</v>
      </c>
      <c r="D217" s="633">
        <f>D218+D219</f>
        <v>2724.8163713144281</v>
      </c>
      <c r="E217" s="633">
        <f t="shared" si="24"/>
        <v>-86.339541544024996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2805.4054606267423</v>
      </c>
      <c r="D218" s="633">
        <f t="shared" si="25"/>
        <v>2702.1339169033881</v>
      </c>
      <c r="E218" s="633">
        <f t="shared" si="24"/>
        <v>-103.27154372335417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5.7504522317109084</v>
      </c>
      <c r="D219" s="633">
        <f t="shared" si="25"/>
        <v>22.68245441103992</v>
      </c>
      <c r="E219" s="633">
        <f t="shared" si="24"/>
        <v>16.932002179329011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33.608060162453526</v>
      </c>
      <c r="D220" s="633">
        <f t="shared" si="25"/>
        <v>56.06249558547232</v>
      </c>
      <c r="E220" s="633">
        <f t="shared" si="24"/>
        <v>22.454435423018793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457.60623477522199</v>
      </c>
      <c r="D221" s="633">
        <f t="shared" si="25"/>
        <v>693.40399093449651</v>
      </c>
      <c r="E221" s="633">
        <f t="shared" si="24"/>
        <v>235.79775615927451</v>
      </c>
    </row>
    <row r="222" spans="1:5" s="421" customFormat="1" x14ac:dyDescent="0.2">
      <c r="A222" s="588"/>
      <c r="B222" s="592" t="s">
        <v>826</v>
      </c>
      <c r="C222" s="634">
        <f>C216+C218+C219+C220</f>
        <v>6308.7696179294917</v>
      </c>
      <c r="D222" s="634">
        <f>D216+D218+D219+D220</f>
        <v>6221.7600893994422</v>
      </c>
      <c r="E222" s="634">
        <f t="shared" si="24"/>
        <v>-87.009528530049465</v>
      </c>
    </row>
    <row r="223" spans="1:5" s="421" customFormat="1" x14ac:dyDescent="0.2">
      <c r="A223" s="588"/>
      <c r="B223" s="592" t="s">
        <v>827</v>
      </c>
      <c r="C223" s="634">
        <f>C215+C222</f>
        <v>11167.629508445505</v>
      </c>
      <c r="D223" s="634">
        <f>D215+D222</f>
        <v>10925.197172712589</v>
      </c>
      <c r="E223" s="634">
        <f t="shared" si="24"/>
        <v>-242.43233573291582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7313.7169817749618</v>
      </c>
      <c r="D227" s="636">
        <f t="shared" si="26"/>
        <v>7590.4790214668001</v>
      </c>
      <c r="E227" s="636">
        <f t="shared" ref="E227:E235" si="27">D227-C227</f>
        <v>276.76203969183825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6841.8424023883126</v>
      </c>
      <c r="D228" s="636">
        <f t="shared" si="26"/>
        <v>6800.3625610008585</v>
      </c>
      <c r="E228" s="636">
        <f t="shared" si="27"/>
        <v>-41.479841387454144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4629.0171247857861</v>
      </c>
      <c r="D229" s="636">
        <f t="shared" si="26"/>
        <v>4129.0783941277887</v>
      </c>
      <c r="E229" s="636">
        <f t="shared" si="27"/>
        <v>-499.93873065799744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4614.2372373718254</v>
      </c>
      <c r="D230" s="636">
        <f t="shared" si="26"/>
        <v>4125.2134068564919</v>
      </c>
      <c r="E230" s="636">
        <f t="shared" si="27"/>
        <v>-489.02383051533343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10059.854497354498</v>
      </c>
      <c r="D231" s="636">
        <f t="shared" si="26"/>
        <v>5531.5235128319246</v>
      </c>
      <c r="E231" s="636">
        <f t="shared" si="27"/>
        <v>-4528.3309845225731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8560.297486998581</v>
      </c>
      <c r="D232" s="636">
        <f t="shared" si="26"/>
        <v>6871.4492175819787</v>
      </c>
      <c r="E232" s="636">
        <f t="shared" si="27"/>
        <v>-1688.8482694166023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2660.1160794308985</v>
      </c>
      <c r="D233" s="636">
        <f t="shared" si="26"/>
        <v>1325.1777193494986</v>
      </c>
      <c r="E233" s="636">
        <f t="shared" si="27"/>
        <v>-1334.9383600813999</v>
      </c>
    </row>
    <row r="234" spans="1:5" x14ac:dyDescent="0.2">
      <c r="A234" s="588"/>
      <c r="B234" s="592" t="s">
        <v>829</v>
      </c>
      <c r="C234" s="637">
        <f t="shared" si="26"/>
        <v>6431.5212789827174</v>
      </c>
      <c r="D234" s="637">
        <f t="shared" si="26"/>
        <v>6283.9638870666922</v>
      </c>
      <c r="E234" s="637">
        <f t="shared" si="27"/>
        <v>-147.55739191602515</v>
      </c>
    </row>
    <row r="235" spans="1:5" s="421" customFormat="1" x14ac:dyDescent="0.2">
      <c r="A235" s="588"/>
      <c r="B235" s="592" t="s">
        <v>830</v>
      </c>
      <c r="C235" s="637">
        <f t="shared" si="26"/>
        <v>6655.3402775478917</v>
      </c>
      <c r="D235" s="637">
        <f t="shared" si="26"/>
        <v>6595.4032601515164</v>
      </c>
      <c r="E235" s="637">
        <f t="shared" si="27"/>
        <v>-59.937017396375268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6093.2292074912693</v>
      </c>
      <c r="D239" s="636">
        <f t="shared" si="28"/>
        <v>6295.5828844938678</v>
      </c>
      <c r="E239" s="638">
        <f t="shared" ref="E239:E247" si="29">D239-C239</f>
        <v>202.35367700259849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6075.7805146577412</v>
      </c>
      <c r="D240" s="636">
        <f t="shared" si="28"/>
        <v>6355.1606655329442</v>
      </c>
      <c r="E240" s="638">
        <f t="shared" si="29"/>
        <v>279.38015087520307</v>
      </c>
    </row>
    <row r="241" spans="1:5" x14ac:dyDescent="0.2">
      <c r="A241" s="588">
        <v>3</v>
      </c>
      <c r="B241" s="587" t="s">
        <v>778</v>
      </c>
      <c r="C241" s="636">
        <f t="shared" si="28"/>
        <v>3482.141618408657</v>
      </c>
      <c r="D241" s="636">
        <f t="shared" si="28"/>
        <v>3992.1314017768582</v>
      </c>
      <c r="E241" s="638">
        <f t="shared" si="29"/>
        <v>509.98978336820119</v>
      </c>
    </row>
    <row r="242" spans="1:5" x14ac:dyDescent="0.2">
      <c r="A242" s="588">
        <v>4</v>
      </c>
      <c r="B242" s="587" t="s">
        <v>115</v>
      </c>
      <c r="C242" s="636">
        <f t="shared" si="28"/>
        <v>3475.8123689620115</v>
      </c>
      <c r="D242" s="636">
        <f t="shared" si="28"/>
        <v>4014.0197834568694</v>
      </c>
      <c r="E242" s="638">
        <f t="shared" si="29"/>
        <v>538.20741449485786</v>
      </c>
    </row>
    <row r="243" spans="1:5" x14ac:dyDescent="0.2">
      <c r="A243" s="588">
        <v>5</v>
      </c>
      <c r="B243" s="587" t="s">
        <v>744</v>
      </c>
      <c r="C243" s="636">
        <f t="shared" si="28"/>
        <v>6569.9180651674542</v>
      </c>
      <c r="D243" s="636">
        <f t="shared" si="28"/>
        <v>1384.5944284016366</v>
      </c>
      <c r="E243" s="638">
        <f t="shared" si="29"/>
        <v>-5185.3236367658174</v>
      </c>
    </row>
    <row r="244" spans="1:5" x14ac:dyDescent="0.2">
      <c r="A244" s="588">
        <v>6</v>
      </c>
      <c r="B244" s="587" t="s">
        <v>424</v>
      </c>
      <c r="C244" s="636">
        <f t="shared" si="28"/>
        <v>5640.9682404638888</v>
      </c>
      <c r="D244" s="636">
        <f t="shared" si="28"/>
        <v>4081.8553938811797</v>
      </c>
      <c r="E244" s="638">
        <f t="shared" si="29"/>
        <v>-1559.1128465827092</v>
      </c>
    </row>
    <row r="245" spans="1:5" x14ac:dyDescent="0.2">
      <c r="A245" s="588">
        <v>7</v>
      </c>
      <c r="B245" s="587" t="s">
        <v>759</v>
      </c>
      <c r="C245" s="636">
        <f t="shared" si="28"/>
        <v>2900.32761606041</v>
      </c>
      <c r="D245" s="636">
        <f t="shared" si="28"/>
        <v>1360.8257413233418</v>
      </c>
      <c r="E245" s="638">
        <f t="shared" si="29"/>
        <v>-1539.5018747370682</v>
      </c>
    </row>
    <row r="246" spans="1:5" ht="25.5" x14ac:dyDescent="0.2">
      <c r="A246" s="588"/>
      <c r="B246" s="592" t="s">
        <v>832</v>
      </c>
      <c r="C246" s="637">
        <f t="shared" si="28"/>
        <v>4917.7517771178727</v>
      </c>
      <c r="D246" s="637">
        <f t="shared" si="28"/>
        <v>5299.7892117667352</v>
      </c>
      <c r="E246" s="639">
        <f t="shared" si="29"/>
        <v>382.03743464886247</v>
      </c>
    </row>
    <row r="247" spans="1:5" x14ac:dyDescent="0.2">
      <c r="A247" s="588"/>
      <c r="B247" s="592" t="s">
        <v>833</v>
      </c>
      <c r="C247" s="637">
        <f t="shared" si="28"/>
        <v>5429.1835124139643</v>
      </c>
      <c r="D247" s="637">
        <f t="shared" si="28"/>
        <v>5728.4911210861892</v>
      </c>
      <c r="E247" s="639">
        <f t="shared" si="29"/>
        <v>299.30760867222489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7293964.8333903849</v>
      </c>
      <c r="D251" s="622">
        <f>((IF((IF(D15=0,0,D26/D15)*D138)=0,0,D59/(IF(D15=0,0,D26/D15)*D138)))-(IF((IF(D17=0,0,D28/D17)*D140)=0,0,D61/(IF(D17=0,0,D28/D17)*D140))))*(IF(D17=0,0,D28/D17)*D140)</f>
        <v>6326076.1817068774</v>
      </c>
      <c r="E251" s="622">
        <f>D251-C251</f>
        <v>-967888.65168350749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-12572.782955278486</v>
      </c>
      <c r="D252" s="622">
        <f>IF(D231=0,0,(D228-D231)*D207)+IF(D243=0,0,(D240-D243)*D219)</f>
        <v>117021.26408263852</v>
      </c>
      <c r="E252" s="622">
        <f>D252-C252</f>
        <v>129594.047037917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1972871.372564123</v>
      </c>
      <c r="D253" s="622">
        <f>IF(D233=0,0,(D228-D233)*D209+IF(D221=0,0,(D240-D245)*D221))</f>
        <v>4587585.2312888317</v>
      </c>
      <c r="E253" s="622">
        <f>D253-C253</f>
        <v>2614713.8587247087</v>
      </c>
    </row>
    <row r="254" spans="1:5" ht="15" customHeight="1" x14ac:dyDescent="0.2">
      <c r="A254" s="588"/>
      <c r="B254" s="592" t="s">
        <v>760</v>
      </c>
      <c r="C254" s="640">
        <f>+C251+C252+C253</f>
        <v>9254263.4229992293</v>
      </c>
      <c r="D254" s="640">
        <f>+D251+D252+D253</f>
        <v>11030682.677078348</v>
      </c>
      <c r="E254" s="640">
        <f>D254-C254</f>
        <v>1776419.2540791184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237069419</v>
      </c>
      <c r="D258" s="625">
        <f>+D44</f>
        <v>259938571</v>
      </c>
      <c r="E258" s="622">
        <f t="shared" ref="E258:E271" si="30">D258-C258</f>
        <v>22869152</v>
      </c>
    </row>
    <row r="259" spans="1:5" x14ac:dyDescent="0.2">
      <c r="A259" s="588">
        <v>2</v>
      </c>
      <c r="B259" s="587" t="s">
        <v>743</v>
      </c>
      <c r="C259" s="622">
        <f>+(C43-C76)</f>
        <v>84068204</v>
      </c>
      <c r="D259" s="625">
        <f>+(D43-D76)</f>
        <v>99346340</v>
      </c>
      <c r="E259" s="622">
        <f t="shared" si="30"/>
        <v>15278136</v>
      </c>
    </row>
    <row r="260" spans="1:5" x14ac:dyDescent="0.2">
      <c r="A260" s="588">
        <v>3</v>
      </c>
      <c r="B260" s="587" t="s">
        <v>747</v>
      </c>
      <c r="C260" s="622">
        <f>C195</f>
        <v>4892348</v>
      </c>
      <c r="D260" s="622">
        <f>D195</f>
        <v>6592579</v>
      </c>
      <c r="E260" s="622">
        <f t="shared" si="30"/>
        <v>1700231</v>
      </c>
    </row>
    <row r="261" spans="1:5" x14ac:dyDescent="0.2">
      <c r="A261" s="588">
        <v>4</v>
      </c>
      <c r="B261" s="587" t="s">
        <v>748</v>
      </c>
      <c r="C261" s="622">
        <f>C188</f>
        <v>35125309</v>
      </c>
      <c r="D261" s="622">
        <f>D188</f>
        <v>36516403</v>
      </c>
      <c r="E261" s="622">
        <f t="shared" si="30"/>
        <v>1391094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124085861</v>
      </c>
      <c r="D263" s="622">
        <f>+D259+D260+D261+D262</f>
        <v>142455322</v>
      </c>
      <c r="E263" s="622">
        <f t="shared" si="30"/>
        <v>18369461</v>
      </c>
    </row>
    <row r="264" spans="1:5" x14ac:dyDescent="0.2">
      <c r="A264" s="588">
        <v>7</v>
      </c>
      <c r="B264" s="587" t="s">
        <v>655</v>
      </c>
      <c r="C264" s="622">
        <f>+C258-C263</f>
        <v>112983558</v>
      </c>
      <c r="D264" s="622">
        <f>+D258-D263</f>
        <v>117483249</v>
      </c>
      <c r="E264" s="622">
        <f t="shared" si="30"/>
        <v>4499691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112983558</v>
      </c>
      <c r="D266" s="622">
        <f>+D264+D265</f>
        <v>117483249</v>
      </c>
      <c r="E266" s="641">
        <f t="shared" si="30"/>
        <v>4499691</v>
      </c>
    </row>
    <row r="267" spans="1:5" x14ac:dyDescent="0.2">
      <c r="A267" s="588">
        <v>10</v>
      </c>
      <c r="B267" s="587" t="s">
        <v>838</v>
      </c>
      <c r="C267" s="642">
        <f>IF(C258=0,0,C266/C258)</f>
        <v>0.4765842784640224</v>
      </c>
      <c r="D267" s="642">
        <f>IF(D258=0,0,D266/D258)</f>
        <v>0.45196543378704657</v>
      </c>
      <c r="E267" s="643">
        <f t="shared" si="30"/>
        <v>-2.4618844676975837E-2</v>
      </c>
    </row>
    <row r="268" spans="1:5" x14ac:dyDescent="0.2">
      <c r="A268" s="588">
        <v>11</v>
      </c>
      <c r="B268" s="587" t="s">
        <v>717</v>
      </c>
      <c r="C268" s="622">
        <f>+C260*C267</f>
        <v>2331616.1415749029</v>
      </c>
      <c r="D268" s="644">
        <f>+D260*D267</f>
        <v>2979617.8275103737</v>
      </c>
      <c r="E268" s="622">
        <f t="shared" si="30"/>
        <v>648001.68593547074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5265662.7097968571</v>
      </c>
      <c r="D269" s="644">
        <f>((D17+D18+D28+D29)*D267)-(D50+D51+D61+D62)</f>
        <v>5918664.5225415044</v>
      </c>
      <c r="E269" s="622">
        <f t="shared" si="30"/>
        <v>653001.81274464726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7597278.8513717595</v>
      </c>
      <c r="D271" s="622">
        <f>+D268+D269+D270</f>
        <v>8898282.350051878</v>
      </c>
      <c r="E271" s="625">
        <f t="shared" si="30"/>
        <v>1301003.4986801185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0.6628943656870544</v>
      </c>
      <c r="D276" s="623">
        <f t="shared" si="31"/>
        <v>0.61472488754370769</v>
      </c>
      <c r="E276" s="650">
        <f t="shared" ref="E276:E284" si="32">D276-C276</f>
        <v>-4.8169478143346711E-2</v>
      </c>
    </row>
    <row r="277" spans="1:5" x14ac:dyDescent="0.2">
      <c r="A277" s="588">
        <v>2</v>
      </c>
      <c r="B277" s="587" t="s">
        <v>636</v>
      </c>
      <c r="C277" s="623">
        <f t="shared" si="31"/>
        <v>0.5890907659111454</v>
      </c>
      <c r="D277" s="623">
        <f t="shared" si="31"/>
        <v>0.55713856767174841</v>
      </c>
      <c r="E277" s="650">
        <f t="shared" si="32"/>
        <v>-3.1952198239396989E-2</v>
      </c>
    </row>
    <row r="278" spans="1:5" x14ac:dyDescent="0.2">
      <c r="A278" s="588">
        <v>3</v>
      </c>
      <c r="B278" s="587" t="s">
        <v>778</v>
      </c>
      <c r="C278" s="623">
        <f t="shared" si="31"/>
        <v>0.4311629725909536</v>
      </c>
      <c r="D278" s="623">
        <f t="shared" si="31"/>
        <v>0.34787921189497301</v>
      </c>
      <c r="E278" s="650">
        <f t="shared" si="32"/>
        <v>-8.3283760695980591E-2</v>
      </c>
    </row>
    <row r="279" spans="1:5" x14ac:dyDescent="0.2">
      <c r="A279" s="588">
        <v>4</v>
      </c>
      <c r="B279" s="587" t="s">
        <v>115</v>
      </c>
      <c r="C279" s="623">
        <f t="shared" si="31"/>
        <v>0.43119043307963695</v>
      </c>
      <c r="D279" s="623">
        <f t="shared" si="31"/>
        <v>0.34708219100052257</v>
      </c>
      <c r="E279" s="650">
        <f t="shared" si="32"/>
        <v>-8.4108242079114381E-2</v>
      </c>
    </row>
    <row r="280" spans="1:5" x14ac:dyDescent="0.2">
      <c r="A280" s="588">
        <v>5</v>
      </c>
      <c r="B280" s="587" t="s">
        <v>744</v>
      </c>
      <c r="C280" s="623">
        <f t="shared" si="31"/>
        <v>0.42658421325704993</v>
      </c>
      <c r="D280" s="623">
        <f t="shared" si="31"/>
        <v>0.91887629374075896</v>
      </c>
      <c r="E280" s="650">
        <f t="shared" si="32"/>
        <v>0.49229208048370904</v>
      </c>
    </row>
    <row r="281" spans="1:5" x14ac:dyDescent="0.2">
      <c r="A281" s="588">
        <v>6</v>
      </c>
      <c r="B281" s="587" t="s">
        <v>424</v>
      </c>
      <c r="C281" s="623">
        <f t="shared" si="31"/>
        <v>0.58468987273645601</v>
      </c>
      <c r="D281" s="623">
        <f t="shared" si="31"/>
        <v>0.62329457966633239</v>
      </c>
      <c r="E281" s="650">
        <f t="shared" si="32"/>
        <v>3.8604706929876387E-2</v>
      </c>
    </row>
    <row r="282" spans="1:5" x14ac:dyDescent="0.2">
      <c r="A282" s="588">
        <v>7</v>
      </c>
      <c r="B282" s="587" t="s">
        <v>759</v>
      </c>
      <c r="C282" s="623">
        <f t="shared" si="31"/>
        <v>0.25463799781125163</v>
      </c>
      <c r="D282" s="623">
        <f t="shared" si="31"/>
        <v>0.17115099697900396</v>
      </c>
      <c r="E282" s="650">
        <f t="shared" si="32"/>
        <v>-8.3487000832247665E-2</v>
      </c>
    </row>
    <row r="283" spans="1:5" ht="29.25" customHeight="1" x14ac:dyDescent="0.2">
      <c r="A283" s="588"/>
      <c r="B283" s="592" t="s">
        <v>845</v>
      </c>
      <c r="C283" s="651">
        <f t="shared" si="31"/>
        <v>0.56099005189333295</v>
      </c>
      <c r="D283" s="651">
        <f t="shared" si="31"/>
        <v>0.51784748393546609</v>
      </c>
      <c r="E283" s="652">
        <f t="shared" si="32"/>
        <v>-4.3142567957866862E-2</v>
      </c>
    </row>
    <row r="284" spans="1:5" x14ac:dyDescent="0.2">
      <c r="A284" s="588"/>
      <c r="B284" s="592" t="s">
        <v>846</v>
      </c>
      <c r="C284" s="651">
        <f t="shared" si="31"/>
        <v>0.58611051548074999</v>
      </c>
      <c r="D284" s="651">
        <f t="shared" si="31"/>
        <v>0.54124796988954171</v>
      </c>
      <c r="E284" s="652">
        <f t="shared" si="32"/>
        <v>-4.486254559120828E-2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0.47597418639822492</v>
      </c>
      <c r="D287" s="623">
        <f t="shared" si="33"/>
        <v>0.46792954065536069</v>
      </c>
      <c r="E287" s="650">
        <f t="shared" ref="E287:E295" si="34">D287-C287</f>
        <v>-8.0446457428642315E-3</v>
      </c>
    </row>
    <row r="288" spans="1:5" x14ac:dyDescent="0.2">
      <c r="A288" s="588">
        <v>2</v>
      </c>
      <c r="B288" s="587" t="s">
        <v>636</v>
      </c>
      <c r="C288" s="623">
        <f t="shared" si="33"/>
        <v>0.38564830557839591</v>
      </c>
      <c r="D288" s="623">
        <f t="shared" si="33"/>
        <v>0.35967405868508862</v>
      </c>
      <c r="E288" s="650">
        <f t="shared" si="34"/>
        <v>-2.5974246893307296E-2</v>
      </c>
    </row>
    <row r="289" spans="1:5" x14ac:dyDescent="0.2">
      <c r="A289" s="588">
        <v>3</v>
      </c>
      <c r="B289" s="587" t="s">
        <v>778</v>
      </c>
      <c r="C289" s="623">
        <f t="shared" si="33"/>
        <v>0.32149077291247197</v>
      </c>
      <c r="D289" s="623">
        <f t="shared" si="33"/>
        <v>0.32172501923120206</v>
      </c>
      <c r="E289" s="650">
        <f t="shared" si="34"/>
        <v>2.3424631873009139E-4</v>
      </c>
    </row>
    <row r="290" spans="1:5" x14ac:dyDescent="0.2">
      <c r="A290" s="588">
        <v>4</v>
      </c>
      <c r="B290" s="587" t="s">
        <v>115</v>
      </c>
      <c r="C290" s="623">
        <f t="shared" si="33"/>
        <v>0.32242118859930541</v>
      </c>
      <c r="D290" s="623">
        <f t="shared" si="33"/>
        <v>0.32225831782664976</v>
      </c>
      <c r="E290" s="650">
        <f t="shared" si="34"/>
        <v>-1.6287077265564331E-4</v>
      </c>
    </row>
    <row r="291" spans="1:5" x14ac:dyDescent="0.2">
      <c r="A291" s="588">
        <v>5</v>
      </c>
      <c r="B291" s="587" t="s">
        <v>744</v>
      </c>
      <c r="C291" s="623">
        <f t="shared" si="33"/>
        <v>0.18425583176047716</v>
      </c>
      <c r="D291" s="623">
        <f t="shared" si="33"/>
        <v>0.20472071390857122</v>
      </c>
      <c r="E291" s="650">
        <f t="shared" si="34"/>
        <v>2.0464882148094055E-2</v>
      </c>
    </row>
    <row r="292" spans="1:5" x14ac:dyDescent="0.2">
      <c r="A292" s="588">
        <v>6</v>
      </c>
      <c r="B292" s="587" t="s">
        <v>424</v>
      </c>
      <c r="C292" s="623">
        <f t="shared" si="33"/>
        <v>0.36198077271902773</v>
      </c>
      <c r="D292" s="623">
        <f t="shared" si="33"/>
        <v>0.36903861505091962</v>
      </c>
      <c r="E292" s="650">
        <f t="shared" si="34"/>
        <v>7.0578423318918837E-3</v>
      </c>
    </row>
    <row r="293" spans="1:5" x14ac:dyDescent="0.2">
      <c r="A293" s="588">
        <v>7</v>
      </c>
      <c r="B293" s="587" t="s">
        <v>759</v>
      </c>
      <c r="C293" s="623">
        <f t="shared" si="33"/>
        <v>0.25463826599907025</v>
      </c>
      <c r="D293" s="623">
        <f t="shared" si="33"/>
        <v>0.17115109021526068</v>
      </c>
      <c r="E293" s="650">
        <f t="shared" si="34"/>
        <v>-8.348717578380957E-2</v>
      </c>
    </row>
    <row r="294" spans="1:5" ht="29.25" customHeight="1" x14ac:dyDescent="0.2">
      <c r="A294" s="588"/>
      <c r="B294" s="592" t="s">
        <v>848</v>
      </c>
      <c r="C294" s="651">
        <f t="shared" si="33"/>
        <v>0.36266801470616172</v>
      </c>
      <c r="D294" s="651">
        <f t="shared" si="33"/>
        <v>0.34626123900616668</v>
      </c>
      <c r="E294" s="652">
        <f t="shared" si="34"/>
        <v>-1.6406775699995046E-2</v>
      </c>
    </row>
    <row r="295" spans="1:5" x14ac:dyDescent="0.2">
      <c r="A295" s="588"/>
      <c r="B295" s="592" t="s">
        <v>849</v>
      </c>
      <c r="C295" s="651">
        <f t="shared" si="33"/>
        <v>0.41036946410018554</v>
      </c>
      <c r="D295" s="651">
        <f t="shared" si="33"/>
        <v>0.39483406282863004</v>
      </c>
      <c r="E295" s="652">
        <f t="shared" si="34"/>
        <v>-1.5535401271555505E-2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112983558</v>
      </c>
      <c r="D301" s="590">
        <f>+D48+D47+D50+D51+D52+D59+D58+D61+D62+D63</f>
        <v>117483249</v>
      </c>
      <c r="E301" s="590">
        <f>D301-C301</f>
        <v>4499691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112983558</v>
      </c>
      <c r="D303" s="593">
        <f>+D301+D302</f>
        <v>117483249</v>
      </c>
      <c r="E303" s="593">
        <f>D303-C303</f>
        <v>4499691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3330273</v>
      </c>
      <c r="D305" s="654">
        <v>-805705</v>
      </c>
      <c r="E305" s="655">
        <f>D305-C305</f>
        <v>-4135978</v>
      </c>
    </row>
    <row r="306" spans="1:5" x14ac:dyDescent="0.2">
      <c r="A306" s="588">
        <v>4</v>
      </c>
      <c r="B306" s="592" t="s">
        <v>856</v>
      </c>
      <c r="C306" s="593">
        <f>+C303+C305+C194+C190-C191</f>
        <v>119439195</v>
      </c>
      <c r="D306" s="593">
        <f>+D303+D305</f>
        <v>116677544</v>
      </c>
      <c r="E306" s="656">
        <f>D306-C306</f>
        <v>-2761651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116313832</v>
      </c>
      <c r="D308" s="589">
        <v>116677547</v>
      </c>
      <c r="E308" s="590">
        <f>D308-C308</f>
        <v>363715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3125363</v>
      </c>
      <c r="D310" s="658">
        <f>D306-D308</f>
        <v>-3</v>
      </c>
      <c r="E310" s="656">
        <f>D310-C310</f>
        <v>-3125366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237069419</v>
      </c>
      <c r="D314" s="590">
        <f>+D14+D15+D16+D19+D25+D26+D27+D30</f>
        <v>259938571</v>
      </c>
      <c r="E314" s="590">
        <f>D314-C314</f>
        <v>22869152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-3214517</v>
      </c>
      <c r="E315" s="590">
        <f>D315-C315</f>
        <v>-3214517</v>
      </c>
    </row>
    <row r="316" spans="1:5" x14ac:dyDescent="0.2">
      <c r="A316" s="588"/>
      <c r="B316" s="592" t="s">
        <v>862</v>
      </c>
      <c r="C316" s="657">
        <f>C314+C315</f>
        <v>237069419</v>
      </c>
      <c r="D316" s="657">
        <f>D314+D315</f>
        <v>256724054</v>
      </c>
      <c r="E316" s="593">
        <f>D316-C316</f>
        <v>19654635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237069419</v>
      </c>
      <c r="D318" s="589">
        <v>256724054</v>
      </c>
      <c r="E318" s="590">
        <f>D318-C318</f>
        <v>19654635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4892348</v>
      </c>
      <c r="D324" s="589">
        <f>+D193+D194</f>
        <v>6592579</v>
      </c>
      <c r="E324" s="590">
        <f>D324-C324</f>
        <v>1700231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4892348</v>
      </c>
      <c r="D326" s="657">
        <f>D324+D325</f>
        <v>6592579</v>
      </c>
      <c r="E326" s="593">
        <f>D326-C326</f>
        <v>1700231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4892348</v>
      </c>
      <c r="D328" s="589">
        <v>6592579</v>
      </c>
      <c r="E328" s="590">
        <f>D328-C328</f>
        <v>1700231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24499963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62018968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14556334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14536044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20290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353945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1590204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76929247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101429210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63280634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60797693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33810939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33657530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153409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620095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5513269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95228727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158509361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87780597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172157974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259938571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15060737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34553159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5063846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5045202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18644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220612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272165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39837617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54898354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29610878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21867353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10877825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10846419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31406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228839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943602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32974017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62584895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44671615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72811634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117483249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1821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3510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1170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1167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3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200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4712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6533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1.0895999999999999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1.4476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1.0481935897435899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1.048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1.1234999999999999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1.0033000000000001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1.0268999999999999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1.3454091893039051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1.2741052655747744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87780597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51264194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36516403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0.41599629357726969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3214518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3378061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6592579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8250545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124899985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117483249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117483249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-805705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116677544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116677547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-3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259938571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-3214517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256724054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256724054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6592579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6592579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6592579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1715</v>
      </c>
      <c r="D12" s="185">
        <v>3409</v>
      </c>
      <c r="E12" s="185">
        <f>+D12-C12</f>
        <v>1694</v>
      </c>
      <c r="F12" s="77">
        <f>IF(C12=0,0,+E12/C12)</f>
        <v>0.98775510204081629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1708</v>
      </c>
      <c r="D13" s="185">
        <v>3409</v>
      </c>
      <c r="E13" s="185">
        <f>+D13-C13</f>
        <v>1701</v>
      </c>
      <c r="F13" s="77">
        <f>IF(C13=0,0,+E13/C13)</f>
        <v>0.99590163934426235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1766984</v>
      </c>
      <c r="D15" s="76">
        <v>3214518</v>
      </c>
      <c r="E15" s="76">
        <f>+D15-C15</f>
        <v>1447534</v>
      </c>
      <c r="F15" s="77">
        <f>IF(C15=0,0,+E15/C15)</f>
        <v>0.81921171895161471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1034.5339578454332</v>
      </c>
      <c r="D16" s="79">
        <f>IF(D13=0,0,+D15/+D13)</f>
        <v>942.95042534467586</v>
      </c>
      <c r="E16" s="79">
        <f>+D16-C16</f>
        <v>-91.583532500757315</v>
      </c>
      <c r="F16" s="80">
        <f>IF(C16=0,0,+E16/C16)</f>
        <v>-8.8526366685433205E-2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0.53320199999999995</v>
      </c>
      <c r="D18" s="704">
        <v>0.50197899999999995</v>
      </c>
      <c r="E18" s="704">
        <f>+D18-C18</f>
        <v>-3.1223000000000001E-2</v>
      </c>
      <c r="F18" s="77">
        <f>IF(C18=0,0,+E18/C18)</f>
        <v>-5.8557544795405876E-2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942159.40276799991</v>
      </c>
      <c r="D19" s="79">
        <f>+D15*D18</f>
        <v>1613620.531122</v>
      </c>
      <c r="E19" s="79">
        <f>+D19-C19</f>
        <v>671461.12835400004</v>
      </c>
      <c r="F19" s="80">
        <f>IF(C19=0,0,+E19/C19)</f>
        <v>0.71268314722677839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551.61557539110061</v>
      </c>
      <c r="D20" s="79">
        <f>IF(D13=0,0,+D19/D13)</f>
        <v>473.34131156409501</v>
      </c>
      <c r="E20" s="79">
        <f>+D20-C20</f>
        <v>-78.274263827005598</v>
      </c>
      <c r="F20" s="80">
        <f>IF(C20=0,0,+E20/C20)</f>
        <v>-0.14190002479808228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510564</v>
      </c>
      <c r="D22" s="76">
        <v>748931</v>
      </c>
      <c r="E22" s="76">
        <f>+D22-C22</f>
        <v>238367</v>
      </c>
      <c r="F22" s="77">
        <f>IF(C22=0,0,+E22/C22)</f>
        <v>0.4668699712474832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618186</v>
      </c>
      <c r="D23" s="185">
        <v>1278080</v>
      </c>
      <c r="E23" s="185">
        <f>+D23-C23</f>
        <v>659894</v>
      </c>
      <c r="F23" s="77">
        <f>IF(C23=0,0,+E23/C23)</f>
        <v>1.0674683671257519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638234</v>
      </c>
      <c r="D24" s="185">
        <v>1187507</v>
      </c>
      <c r="E24" s="185">
        <f>+D24-C24</f>
        <v>549273</v>
      </c>
      <c r="F24" s="77">
        <f>IF(C24=0,0,+E24/C24)</f>
        <v>0.86061381875613019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1766984</v>
      </c>
      <c r="D25" s="79">
        <f>+D22+D23+D24</f>
        <v>3214518</v>
      </c>
      <c r="E25" s="79">
        <f>+E22+E23+E24</f>
        <v>1447534</v>
      </c>
      <c r="F25" s="80">
        <f>IF(C25=0,0,+E25/C25)</f>
        <v>0.81921171895161471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160</v>
      </c>
      <c r="D27" s="185">
        <v>194</v>
      </c>
      <c r="E27" s="185">
        <f>+D27-C27</f>
        <v>34</v>
      </c>
      <c r="F27" s="77">
        <f>IF(C27=0,0,+E27/C27)</f>
        <v>0.21249999999999999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47</v>
      </c>
      <c r="D28" s="185">
        <v>64</v>
      </c>
      <c r="E28" s="185">
        <f>+D28-C28</f>
        <v>17</v>
      </c>
      <c r="F28" s="77">
        <f>IF(C28=0,0,+E28/C28)</f>
        <v>0.36170212765957449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981</v>
      </c>
      <c r="D29" s="185">
        <v>2380</v>
      </c>
      <c r="E29" s="185">
        <f>+D29-C29</f>
        <v>1399</v>
      </c>
      <c r="F29" s="77">
        <f>IF(C29=0,0,+E29/C29)</f>
        <v>1.4260958205912335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2466</v>
      </c>
      <c r="D30" s="185">
        <v>4499</v>
      </c>
      <c r="E30" s="185">
        <f>+D30-C30</f>
        <v>2033</v>
      </c>
      <c r="F30" s="77">
        <f>IF(C30=0,0,+E30/C30)</f>
        <v>0.82441200324412001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710803</v>
      </c>
      <c r="D33" s="76">
        <v>846765</v>
      </c>
      <c r="E33" s="76">
        <f>+D33-C33</f>
        <v>135962</v>
      </c>
      <c r="F33" s="77">
        <f>IF(C33=0,0,+E33/C33)</f>
        <v>0.1912794402949903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1013150</v>
      </c>
      <c r="D34" s="185">
        <v>1146291</v>
      </c>
      <c r="E34" s="185">
        <f>+D34-C34</f>
        <v>133141</v>
      </c>
      <c r="F34" s="77">
        <f>IF(C34=0,0,+E34/C34)</f>
        <v>0.13141292010067612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1401411</v>
      </c>
      <c r="D35" s="185">
        <v>1385005</v>
      </c>
      <c r="E35" s="185">
        <f>+D35-C35</f>
        <v>-16406</v>
      </c>
      <c r="F35" s="77">
        <f>IF(C35=0,0,+E35/C35)</f>
        <v>-1.170677267411202E-2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3125364</v>
      </c>
      <c r="D36" s="79">
        <f>+D33+D34+D35</f>
        <v>3378061</v>
      </c>
      <c r="E36" s="79">
        <f>+E33+E34+E35</f>
        <v>252697</v>
      </c>
      <c r="F36" s="80">
        <f>IF(C36=0,0,+E36/C36)</f>
        <v>8.0853622170089623E-2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1766984</v>
      </c>
      <c r="D39" s="76">
        <f>+D25</f>
        <v>3214518</v>
      </c>
      <c r="E39" s="76">
        <f>+D39-C39</f>
        <v>1447534</v>
      </c>
      <c r="F39" s="77">
        <f>IF(C39=0,0,+E39/C39)</f>
        <v>0.81921171895161471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3125364</v>
      </c>
      <c r="D40" s="185">
        <f>+D36</f>
        <v>3378061</v>
      </c>
      <c r="E40" s="185">
        <f>+D40-C40</f>
        <v>252697</v>
      </c>
      <c r="F40" s="77">
        <f>IF(C40=0,0,+E40/C40)</f>
        <v>8.0853622170089623E-2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4892348</v>
      </c>
      <c r="D41" s="79">
        <f>+D39+D40</f>
        <v>6592579</v>
      </c>
      <c r="E41" s="79">
        <f>+E39+E40</f>
        <v>1700231</v>
      </c>
      <c r="F41" s="80">
        <f>IF(C41=0,0,+E41/C41)</f>
        <v>0.34752863042449145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1221367</v>
      </c>
      <c r="D43" s="76">
        <f t="shared" si="0"/>
        <v>1595696</v>
      </c>
      <c r="E43" s="76">
        <f>+D43-C43</f>
        <v>374329</v>
      </c>
      <c r="F43" s="77">
        <f>IF(C43=0,0,+E43/C43)</f>
        <v>0.30648363677747964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1631336</v>
      </c>
      <c r="D44" s="185">
        <f t="shared" si="0"/>
        <v>2424371</v>
      </c>
      <c r="E44" s="185">
        <f>+D44-C44</f>
        <v>793035</v>
      </c>
      <c r="F44" s="77">
        <f>IF(C44=0,0,+E44/C44)</f>
        <v>0.48612609542117624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2039645</v>
      </c>
      <c r="D45" s="185">
        <f t="shared" si="0"/>
        <v>2572512</v>
      </c>
      <c r="E45" s="185">
        <f>+D45-C45</f>
        <v>532867</v>
      </c>
      <c r="F45" s="77">
        <f>IF(C45=0,0,+E45/C45)</f>
        <v>0.26125477717936207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4892348</v>
      </c>
      <c r="D46" s="79">
        <f>+D43+D44+D45</f>
        <v>6592579</v>
      </c>
      <c r="E46" s="79">
        <f>+E43+E44+E45</f>
        <v>1700231</v>
      </c>
      <c r="F46" s="80">
        <f>IF(C46=0,0,+E46/C46)</f>
        <v>0.34752863042449145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84219906</v>
      </c>
      <c r="D15" s="76">
        <v>87780597</v>
      </c>
      <c r="E15" s="76">
        <f>+D15-C15</f>
        <v>3560691</v>
      </c>
      <c r="F15" s="77">
        <f>IF(C15=0,0,E15/C15)</f>
        <v>4.2278496487516859E-2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35125309</v>
      </c>
      <c r="D17" s="76">
        <v>36516403</v>
      </c>
      <c r="E17" s="76">
        <f>+D17-C17</f>
        <v>1391094</v>
      </c>
      <c r="F17" s="77">
        <f>IF(C17=0,0,E17/C17)</f>
        <v>3.9603751243868064E-2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49094597</v>
      </c>
      <c r="D19" s="79">
        <f>+D15-D17</f>
        <v>51264194</v>
      </c>
      <c r="E19" s="79">
        <f>+D19-C19</f>
        <v>2169597</v>
      </c>
      <c r="F19" s="80">
        <f>IF(C19=0,0,E19/C19)</f>
        <v>4.4192174548250189E-2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0.41706658993421342</v>
      </c>
      <c r="D21" s="720">
        <f>IF(D15=0,0,D17/D15)</f>
        <v>0.41599629357726969</v>
      </c>
      <c r="E21" s="720">
        <f>+D21-C21</f>
        <v>-1.0702963569437229E-3</v>
      </c>
      <c r="F21" s="80">
        <f>IF(C21=0,0,E21/C21)</f>
        <v>-2.5662481310539586E-3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87023589</v>
      </c>
      <c r="D10" s="744">
        <v>89321803</v>
      </c>
      <c r="E10" s="744">
        <v>101429210</v>
      </c>
    </row>
    <row r="11" spans="1:6" ht="26.1" customHeight="1" x14ac:dyDescent="0.25">
      <c r="A11" s="742">
        <v>2</v>
      </c>
      <c r="B11" s="743" t="s">
        <v>933</v>
      </c>
      <c r="C11" s="744">
        <v>121606008</v>
      </c>
      <c r="D11" s="744">
        <v>147747616</v>
      </c>
      <c r="E11" s="744">
        <v>158509361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208629597</v>
      </c>
      <c r="D12" s="744">
        <f>+D11+D10</f>
        <v>237069419</v>
      </c>
      <c r="E12" s="744">
        <f>+E11+E10</f>
        <v>259938571</v>
      </c>
    </row>
    <row r="13" spans="1:6" ht="26.1" customHeight="1" x14ac:dyDescent="0.25">
      <c r="A13" s="742">
        <v>4</v>
      </c>
      <c r="B13" s="743" t="s">
        <v>507</v>
      </c>
      <c r="C13" s="744">
        <v>109579717</v>
      </c>
      <c r="D13" s="744">
        <v>116313832</v>
      </c>
      <c r="E13" s="744">
        <v>116677548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113880767</v>
      </c>
      <c r="D16" s="744">
        <v>121882681</v>
      </c>
      <c r="E16" s="744">
        <v>124899985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27425</v>
      </c>
      <c r="D19" s="747">
        <v>25249</v>
      </c>
      <c r="E19" s="747">
        <v>26574</v>
      </c>
    </row>
    <row r="20" spans="1:5" ht="26.1" customHeight="1" x14ac:dyDescent="0.25">
      <c r="A20" s="742">
        <v>2</v>
      </c>
      <c r="B20" s="743" t="s">
        <v>381</v>
      </c>
      <c r="C20" s="748">
        <v>6512</v>
      </c>
      <c r="D20" s="748">
        <v>6338</v>
      </c>
      <c r="E20" s="748">
        <v>6533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4.2114557739557741</v>
      </c>
      <c r="D21" s="749">
        <f>IF(D20=0,0,+D19/D20)</f>
        <v>3.9837488166614072</v>
      </c>
      <c r="E21" s="749">
        <f>IF(E20=0,0,+E19/E20)</f>
        <v>4.0676565130874023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65748.456981301933</v>
      </c>
      <c r="D22" s="748">
        <f>IF(D10=0,0,D19*(D12/D10))</f>
        <v>67013.490091898391</v>
      </c>
      <c r="E22" s="748">
        <f>IF(E10=0,0,E19*(E12/E10))</f>
        <v>68102.744621140198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15611.812283035119</v>
      </c>
      <c r="D23" s="748">
        <f>IF(D10=0,0,D20*(D12/D10))</f>
        <v>16821.715719531545</v>
      </c>
      <c r="E23" s="748">
        <f>IF(E10=0,0,E20*(E12/E10))</f>
        <v>16742.501340028182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1.2575670915233417</v>
      </c>
      <c r="D26" s="750">
        <v>1.2411220574313666</v>
      </c>
      <c r="E26" s="750">
        <v>1.2741052655747744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34488.777485027647</v>
      </c>
      <c r="D27" s="748">
        <f>D19*D26</f>
        <v>31337.090828084576</v>
      </c>
      <c r="E27" s="748">
        <f>E19*E26</f>
        <v>33858.073327384052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8189.2769000000008</v>
      </c>
      <c r="D28" s="748">
        <f>D20*D26</f>
        <v>7866.2316000000019</v>
      </c>
      <c r="E28" s="748">
        <f>E20*E26</f>
        <v>8323.7297000000017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82683.095818123416</v>
      </c>
      <c r="D29" s="748">
        <f>D22*D26</f>
        <v>83171.920698513437</v>
      </c>
      <c r="E29" s="748">
        <f>E22*E26</f>
        <v>86770.065521888871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19632.901366184855</v>
      </c>
      <c r="D30" s="748">
        <f>D23*D26</f>
        <v>20877.802423350553</v>
      </c>
      <c r="E30" s="748">
        <f>E23*E26</f>
        <v>21331.709116222624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7607.2779216043755</v>
      </c>
      <c r="D33" s="744">
        <f>IF(D19=0,0,D12/D19)</f>
        <v>9389.2597330587341</v>
      </c>
      <c r="E33" s="744">
        <f>IF(E19=0,0,E12/E19)</f>
        <v>9781.6877775269058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32037.714527027027</v>
      </c>
      <c r="D34" s="744">
        <f>IF(D20=0,0,D12/D20)</f>
        <v>37404.452350899337</v>
      </c>
      <c r="E34" s="744">
        <f>IF(E20=0,0,E12/E20)</f>
        <v>39788.545997244757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3173.1481859617138</v>
      </c>
      <c r="D35" s="744">
        <f>IF(D22=0,0,D12/D22)</f>
        <v>3537.6372529605133</v>
      </c>
      <c r="E35" s="744">
        <f>IF(E22=0,0,E12/E22)</f>
        <v>3816.8589598856029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13363.57324938575</v>
      </c>
      <c r="D36" s="744">
        <f>IF(D23=0,0,D12/D23)</f>
        <v>14093.058220258758</v>
      </c>
      <c r="E36" s="744">
        <f>IF(E23=0,0,E12/E23)</f>
        <v>15525.67120771468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2523.2436562235034</v>
      </c>
      <c r="D37" s="744">
        <f>IF(D29=0,0,D12/D29)</f>
        <v>2850.3540258417675</v>
      </c>
      <c r="E37" s="744">
        <f>IF(E29=0,0,E12/E29)</f>
        <v>2995.7171224496442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10626.529065099752</v>
      </c>
      <c r="D38" s="744">
        <f>IF(D30=0,0,D12/D30)</f>
        <v>11355.094477513221</v>
      </c>
      <c r="E38" s="744">
        <f>IF(E30=0,0,E12/E30)</f>
        <v>12185.548264499746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1323.5837462276636</v>
      </c>
      <c r="D39" s="744">
        <f>IF(D22=0,0,D10/D22)</f>
        <v>1332.8928679510541</v>
      </c>
      <c r="E39" s="744">
        <f>IF(E22=0,0,E10/E22)</f>
        <v>1489.3556869735132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5574.2144103645087</v>
      </c>
      <c r="D40" s="744">
        <f>IF(D23=0,0,D10/D23)</f>
        <v>5309.9103854364421</v>
      </c>
      <c r="E40" s="744">
        <f>IF(E23=0,0,E10/E23)</f>
        <v>6058.1873604215743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3995.6141112123973</v>
      </c>
      <c r="D43" s="744">
        <f>IF(D19=0,0,D13/D19)</f>
        <v>4606.6708384490476</v>
      </c>
      <c r="E43" s="744">
        <f>IF(E19=0,0,E13/E19)</f>
        <v>4390.6656130051933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16827.352119164618</v>
      </c>
      <c r="D44" s="744">
        <f>IF(D20=0,0,D13/D20)</f>
        <v>18351.819501420006</v>
      </c>
      <c r="E44" s="744">
        <f>IF(E20=0,0,E13/E20)</f>
        <v>17859.719577529464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1666.6507783013546</v>
      </c>
      <c r="D45" s="744">
        <f>IF(D22=0,0,D13/D22)</f>
        <v>1735.6778738205396</v>
      </c>
      <c r="E45" s="744">
        <f>IF(E22=0,0,E13/E22)</f>
        <v>1713.2576469433714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7019.0260434451257</v>
      </c>
      <c r="D46" s="744">
        <f>IF(D23=0,0,D13/D23)</f>
        <v>6914.5046759379629</v>
      </c>
      <c r="E46" s="744">
        <f>IF(E23=0,0,E13/E23)</f>
        <v>6968.9436261860019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1325.297703427078</v>
      </c>
      <c r="D47" s="744">
        <f>IF(D29=0,0,D13/D29)</f>
        <v>1398.4747619526709</v>
      </c>
      <c r="E47" s="744">
        <f>IF(E29=0,0,E13/E29)</f>
        <v>1344.6751169107574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5581.4326653082953</v>
      </c>
      <c r="D48" s="744">
        <f>IF(D30=0,0,D13/D30)</f>
        <v>5571.1721780597964</v>
      </c>
      <c r="E48" s="744">
        <f>IF(E30=0,0,E13/E30)</f>
        <v>5469.6764972886067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4152.4436463081129</v>
      </c>
      <c r="D51" s="744">
        <f>IF(D19=0,0,D16/D19)</f>
        <v>4827.2280486355894</v>
      </c>
      <c r="E51" s="744">
        <f>IF(E19=0,0,E16/E19)</f>
        <v>4700.0822232257096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17487.83277027027</v>
      </c>
      <c r="D52" s="744">
        <f>IF(D20=0,0,D16/D20)</f>
        <v>19230.464026506783</v>
      </c>
      <c r="E52" s="744">
        <f>IF(E20=0,0,E16/E20)</f>
        <v>19118.320067350374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1732.0675226246954</v>
      </c>
      <c r="D53" s="744">
        <f>IF(D22=0,0,D16/D22)</f>
        <v>1818.7782912493767</v>
      </c>
      <c r="E53" s="744">
        <f>IF(E22=0,0,E16/E22)</f>
        <v>1833.9934123775242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7294.5257690390481</v>
      </c>
      <c r="D54" s="744">
        <f>IF(D23=0,0,D16/D23)</f>
        <v>7245.555865534162</v>
      </c>
      <c r="E54" s="744">
        <f>IF(E23=0,0,E16/E23)</f>
        <v>7460.0552488168269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1377.316195930805</v>
      </c>
      <c r="D55" s="744">
        <f>IF(D29=0,0,D16/D29)</f>
        <v>1465.4306402494617</v>
      </c>
      <c r="E55" s="744">
        <f>IF(E29=0,0,E16/E29)</f>
        <v>1439.4363338182839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5800.5062459155915</v>
      </c>
      <c r="D56" s="744">
        <f>IF(D30=0,0,D16/D30)</f>
        <v>5837.9075789931621</v>
      </c>
      <c r="E56" s="744">
        <f>IF(E30=0,0,E16/E30)</f>
        <v>5855.1325784305945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18727261</v>
      </c>
      <c r="D59" s="752">
        <v>21604919</v>
      </c>
      <c r="E59" s="752">
        <v>22590903</v>
      </c>
    </row>
    <row r="60" spans="1:6" ht="26.1" customHeight="1" x14ac:dyDescent="0.25">
      <c r="A60" s="742">
        <v>2</v>
      </c>
      <c r="B60" s="743" t="s">
        <v>969</v>
      </c>
      <c r="C60" s="752">
        <v>5724690</v>
      </c>
      <c r="D60" s="752">
        <v>6508150</v>
      </c>
      <c r="E60" s="752">
        <v>6262671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24451951</v>
      </c>
      <c r="D61" s="755">
        <f>D59+D60</f>
        <v>28113069</v>
      </c>
      <c r="E61" s="755">
        <f>E59+E60</f>
        <v>28853574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5949173</v>
      </c>
      <c r="D64" s="744">
        <v>7857318</v>
      </c>
      <c r="E64" s="752">
        <v>8984103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1818588</v>
      </c>
      <c r="D65" s="752">
        <v>2366896</v>
      </c>
      <c r="E65" s="752">
        <v>2490581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7767761</v>
      </c>
      <c r="D66" s="757">
        <f>D64+D65</f>
        <v>10224214</v>
      </c>
      <c r="E66" s="757">
        <f>E64+E65</f>
        <v>11474684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27051759</v>
      </c>
      <c r="D69" s="752">
        <v>25466493</v>
      </c>
      <c r="E69" s="752">
        <v>26897491</v>
      </c>
    </row>
    <row r="70" spans="1:6" ht="26.1" customHeight="1" x14ac:dyDescent="0.25">
      <c r="A70" s="742">
        <v>2</v>
      </c>
      <c r="B70" s="743" t="s">
        <v>977</v>
      </c>
      <c r="C70" s="752">
        <v>8269386</v>
      </c>
      <c r="D70" s="752">
        <v>7671389</v>
      </c>
      <c r="E70" s="752">
        <v>7456548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35321145</v>
      </c>
      <c r="D71" s="755">
        <f>D69+D70</f>
        <v>33137882</v>
      </c>
      <c r="E71" s="755">
        <f>E69+E70</f>
        <v>34354039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51728193</v>
      </c>
      <c r="D75" s="744">
        <f t="shared" si="0"/>
        <v>54928730</v>
      </c>
      <c r="E75" s="744">
        <f t="shared" si="0"/>
        <v>58472497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15812664</v>
      </c>
      <c r="D76" s="744">
        <f t="shared" si="0"/>
        <v>16546435</v>
      </c>
      <c r="E76" s="744">
        <f t="shared" si="0"/>
        <v>16209800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67540857</v>
      </c>
      <c r="D77" s="757">
        <f>D75+D76</f>
        <v>71475165</v>
      </c>
      <c r="E77" s="757">
        <f>E75+E76</f>
        <v>74682297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295.3</v>
      </c>
      <c r="D80" s="749">
        <v>321.39999999999998</v>
      </c>
      <c r="E80" s="749">
        <v>305.89999999999998</v>
      </c>
    </row>
    <row r="81" spans="1:5" ht="26.1" customHeight="1" x14ac:dyDescent="0.25">
      <c r="A81" s="742">
        <v>2</v>
      </c>
      <c r="B81" s="743" t="s">
        <v>617</v>
      </c>
      <c r="C81" s="749">
        <v>26.3</v>
      </c>
      <c r="D81" s="749">
        <v>31.1</v>
      </c>
      <c r="E81" s="749">
        <v>33.9</v>
      </c>
    </row>
    <row r="82" spans="1:5" ht="26.1" customHeight="1" x14ac:dyDescent="0.25">
      <c r="A82" s="742">
        <v>3</v>
      </c>
      <c r="B82" s="743" t="s">
        <v>983</v>
      </c>
      <c r="C82" s="749">
        <v>422.7</v>
      </c>
      <c r="D82" s="749">
        <v>415.9</v>
      </c>
      <c r="E82" s="749">
        <v>449.2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744.3</v>
      </c>
      <c r="D83" s="759">
        <f>D80+D81+D82</f>
        <v>768.4</v>
      </c>
      <c r="E83" s="759">
        <f>E80+E81+E82</f>
        <v>789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63417.748052827628</v>
      </c>
      <c r="D86" s="752">
        <f>IF(D80=0,0,D59/D80)</f>
        <v>67221.278780336041</v>
      </c>
      <c r="E86" s="752">
        <f>IF(E80=0,0,E59/E80)</f>
        <v>73850.614579928093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19386.014222824248</v>
      </c>
      <c r="D87" s="752">
        <f>IF(D80=0,0,D60/D80)</f>
        <v>20249.377722464222</v>
      </c>
      <c r="E87" s="752">
        <f>IF(E80=0,0,E60/E80)</f>
        <v>20472.935599869241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82803.762275651883</v>
      </c>
      <c r="D88" s="755">
        <f>+D86+D87</f>
        <v>87470.656502800266</v>
      </c>
      <c r="E88" s="755">
        <f>+E86+E87</f>
        <v>94323.550179797341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226204.29657794675</v>
      </c>
      <c r="D91" s="744">
        <f>IF(D81=0,0,D64/D81)</f>
        <v>252646.88102893889</v>
      </c>
      <c r="E91" s="744">
        <f>IF(E81=0,0,E64/E81)</f>
        <v>265017.7876106195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69147.832699619772</v>
      </c>
      <c r="D92" s="744">
        <f>IF(D81=0,0,D65/D81)</f>
        <v>76105.980707395502</v>
      </c>
      <c r="E92" s="744">
        <f>IF(E81=0,0,E65/E81)</f>
        <v>73468.466076696175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295352.12927756651</v>
      </c>
      <c r="D93" s="757">
        <f>+D91+D92</f>
        <v>328752.86173633439</v>
      </c>
      <c r="E93" s="757">
        <f>+E91+E92</f>
        <v>338486.25368731568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63997.537260468416</v>
      </c>
      <c r="D96" s="752">
        <f>IF(D82=0,0,D69/D82)</f>
        <v>61232.250540995432</v>
      </c>
      <c r="E96" s="752">
        <f>IF(E82=0,0,E69/E82)</f>
        <v>59878.653161175425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19563.250532292408</v>
      </c>
      <c r="D97" s="752">
        <f>IF(D82=0,0,D70/D82)</f>
        <v>18445.272902139939</v>
      </c>
      <c r="E97" s="752">
        <f>IF(E82=0,0,E70/E82)</f>
        <v>16599.617097061444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83560.787792760821</v>
      </c>
      <c r="D98" s="757">
        <f>+D96+D97</f>
        <v>79677.523443135375</v>
      </c>
      <c r="E98" s="757">
        <f>+E96+E97</f>
        <v>76478.270258236866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69499.117291414761</v>
      </c>
      <c r="D101" s="744">
        <f>IF(D83=0,0,D75/D83)</f>
        <v>71484.552316501824</v>
      </c>
      <c r="E101" s="744">
        <f>IF(E83=0,0,E75/E83)</f>
        <v>74109.628643852979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21245.014107214833</v>
      </c>
      <c r="D102" s="761">
        <f>IF(D83=0,0,D76/D83)</f>
        <v>21533.621811556481</v>
      </c>
      <c r="E102" s="761">
        <f>IF(E83=0,0,E76/E83)</f>
        <v>20544.740177439799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90744.131398629601</v>
      </c>
      <c r="D103" s="757">
        <f>+D101+D102</f>
        <v>93018.174128058308</v>
      </c>
      <c r="E103" s="757">
        <f>+E101+E102</f>
        <v>94654.368821292781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2462.7477484047404</v>
      </c>
      <c r="D108" s="744">
        <f>IF(D19=0,0,D77/D19)</f>
        <v>2830.8117153154581</v>
      </c>
      <c r="E108" s="744">
        <f>IF(E19=0,0,E77/E19)</f>
        <v>2810.3521110860238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10371.753224815724</v>
      </c>
      <c r="D109" s="744">
        <f>IF(D20=0,0,D77/D20)</f>
        <v>11277.242821079204</v>
      </c>
      <c r="E109" s="744">
        <f>IF(E20=0,0,E77/E20)</f>
        <v>11431.547068727996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1027.2614765576598</v>
      </c>
      <c r="D110" s="744">
        <f>IF(D22=0,0,D77/D22)</f>
        <v>1066.578757530508</v>
      </c>
      <c r="E110" s="744">
        <f>IF(E22=0,0,E77/E22)</f>
        <v>1096.6121470648834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4326.2662768110913</v>
      </c>
      <c r="D111" s="744">
        <f>IF(D23=0,0,D77/D23)</f>
        <v>4248.9818631883563</v>
      </c>
      <c r="E111" s="744">
        <f>IF(E23=0,0,E77/E23)</f>
        <v>4460.6415423392336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816.86415260222554</v>
      </c>
      <c r="D112" s="744">
        <f>IF(D29=0,0,D77/D29)</f>
        <v>859.36653139329871</v>
      </c>
      <c r="E112" s="744">
        <f>IF(E29=0,0,E77/E29)</f>
        <v>860.69195120246195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3440.1872520141333</v>
      </c>
      <c r="D113" s="744">
        <f>IF(D30=0,0,D77/D30)</f>
        <v>3423.5004025164721</v>
      </c>
      <c r="E113" s="744">
        <f>IF(E30=0,0,E77/E30)</f>
        <v>3500.9992210705987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237069420</v>
      </c>
      <c r="D12" s="76">
        <v>259938572</v>
      </c>
      <c r="E12" s="76">
        <f t="shared" ref="E12:E21" si="0">D12-C12</f>
        <v>22869152</v>
      </c>
      <c r="F12" s="77">
        <f t="shared" ref="F12:F21" si="1">IF(C12=0,0,E12/C12)</f>
        <v>9.6466056229436936E-2</v>
      </c>
    </row>
    <row r="13" spans="1:8" ht="23.1" customHeight="1" x14ac:dyDescent="0.2">
      <c r="A13" s="74">
        <v>2</v>
      </c>
      <c r="B13" s="75" t="s">
        <v>72</v>
      </c>
      <c r="C13" s="76">
        <v>118988604</v>
      </c>
      <c r="D13" s="76">
        <v>136668445</v>
      </c>
      <c r="E13" s="76">
        <f t="shared" si="0"/>
        <v>17679841</v>
      </c>
      <c r="F13" s="77">
        <f t="shared" si="1"/>
        <v>0.14858432157082874</v>
      </c>
    </row>
    <row r="14" spans="1:8" ht="23.1" customHeight="1" x14ac:dyDescent="0.2">
      <c r="A14" s="74">
        <v>3</v>
      </c>
      <c r="B14" s="75" t="s">
        <v>73</v>
      </c>
      <c r="C14" s="76">
        <v>1766984</v>
      </c>
      <c r="D14" s="76">
        <v>3214518</v>
      </c>
      <c r="E14" s="76">
        <f t="shared" si="0"/>
        <v>1447534</v>
      </c>
      <c r="F14" s="77">
        <f t="shared" si="1"/>
        <v>0.81921171895161471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116313832</v>
      </c>
      <c r="D16" s="79">
        <f>D12-D13-D14-D15</f>
        <v>120055609</v>
      </c>
      <c r="E16" s="79">
        <f t="shared" si="0"/>
        <v>3741777</v>
      </c>
      <c r="F16" s="80">
        <f t="shared" si="1"/>
        <v>3.2169664911392483E-2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3378061</v>
      </c>
      <c r="E17" s="76">
        <f t="shared" si="0"/>
        <v>3378061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116313832</v>
      </c>
      <c r="D18" s="79">
        <f>D16-D17</f>
        <v>116677548</v>
      </c>
      <c r="E18" s="79">
        <f t="shared" si="0"/>
        <v>363716</v>
      </c>
      <c r="F18" s="80">
        <f t="shared" si="1"/>
        <v>3.1270227602852945E-3</v>
      </c>
    </row>
    <row r="19" spans="1:7" ht="23.1" customHeight="1" x14ac:dyDescent="0.2">
      <c r="A19" s="74">
        <v>6</v>
      </c>
      <c r="B19" s="75" t="s">
        <v>78</v>
      </c>
      <c r="C19" s="76">
        <v>5735128</v>
      </c>
      <c r="D19" s="76">
        <v>8250545</v>
      </c>
      <c r="E19" s="76">
        <f t="shared" si="0"/>
        <v>2515417</v>
      </c>
      <c r="F19" s="77">
        <f t="shared" si="1"/>
        <v>0.43859823180929874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122048960</v>
      </c>
      <c r="D21" s="79">
        <f>SUM(D18:D20)</f>
        <v>124928093</v>
      </c>
      <c r="E21" s="79">
        <f t="shared" si="0"/>
        <v>2879133</v>
      </c>
      <c r="F21" s="80">
        <f t="shared" si="1"/>
        <v>2.3589983888432971E-2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54928730</v>
      </c>
      <c r="D24" s="76">
        <v>58472497</v>
      </c>
      <c r="E24" s="76">
        <f t="shared" ref="E24:E33" si="2">D24-C24</f>
        <v>3543767</v>
      </c>
      <c r="F24" s="77">
        <f t="shared" ref="F24:F33" si="3">IF(C24=0,0,E24/C24)</f>
        <v>6.4515727925987004E-2</v>
      </c>
    </row>
    <row r="25" spans="1:7" ht="23.1" customHeight="1" x14ac:dyDescent="0.2">
      <c r="A25" s="74">
        <v>2</v>
      </c>
      <c r="B25" s="75" t="s">
        <v>83</v>
      </c>
      <c r="C25" s="76">
        <v>16546435</v>
      </c>
      <c r="D25" s="76">
        <v>16209800</v>
      </c>
      <c r="E25" s="76">
        <f t="shared" si="2"/>
        <v>-336635</v>
      </c>
      <c r="F25" s="77">
        <f t="shared" si="3"/>
        <v>-2.0344865827593678E-2</v>
      </c>
    </row>
    <row r="26" spans="1:7" ht="23.1" customHeight="1" x14ac:dyDescent="0.2">
      <c r="A26" s="74">
        <v>3</v>
      </c>
      <c r="B26" s="75" t="s">
        <v>84</v>
      </c>
      <c r="C26" s="76">
        <v>3306463</v>
      </c>
      <c r="D26" s="76">
        <v>4669548</v>
      </c>
      <c r="E26" s="76">
        <f t="shared" si="2"/>
        <v>1363085</v>
      </c>
      <c r="F26" s="77">
        <f t="shared" si="3"/>
        <v>0.41224867781674857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12272846</v>
      </c>
      <c r="D27" s="76">
        <v>12520721</v>
      </c>
      <c r="E27" s="76">
        <f t="shared" si="2"/>
        <v>247875</v>
      </c>
      <c r="F27" s="77">
        <f t="shared" si="3"/>
        <v>2.0197026834688547E-2</v>
      </c>
    </row>
    <row r="28" spans="1:7" ht="23.1" customHeight="1" x14ac:dyDescent="0.2">
      <c r="A28" s="74">
        <v>5</v>
      </c>
      <c r="B28" s="75" t="s">
        <v>86</v>
      </c>
      <c r="C28" s="76">
        <v>6060455</v>
      </c>
      <c r="D28" s="76">
        <v>6050075</v>
      </c>
      <c r="E28" s="76">
        <f t="shared" si="2"/>
        <v>-10380</v>
      </c>
      <c r="F28" s="77">
        <f t="shared" si="3"/>
        <v>-1.712742690111551E-3</v>
      </c>
    </row>
    <row r="29" spans="1:7" ht="23.1" customHeight="1" x14ac:dyDescent="0.2">
      <c r="A29" s="74">
        <v>6</v>
      </c>
      <c r="B29" s="75" t="s">
        <v>87</v>
      </c>
      <c r="C29" s="76">
        <v>3125364</v>
      </c>
      <c r="D29" s="76">
        <v>0</v>
      </c>
      <c r="E29" s="76">
        <f t="shared" si="2"/>
        <v>-3125364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264153</v>
      </c>
      <c r="D30" s="76">
        <v>250825</v>
      </c>
      <c r="E30" s="76">
        <f t="shared" si="2"/>
        <v>-13328</v>
      </c>
      <c r="F30" s="77">
        <f t="shared" si="3"/>
        <v>-5.0455607167058485E-2</v>
      </c>
    </row>
    <row r="31" spans="1:7" ht="23.1" customHeight="1" x14ac:dyDescent="0.2">
      <c r="A31" s="74">
        <v>8</v>
      </c>
      <c r="B31" s="75" t="s">
        <v>89</v>
      </c>
      <c r="C31" s="76">
        <v>1748531</v>
      </c>
      <c r="D31" s="76">
        <v>1842449</v>
      </c>
      <c r="E31" s="76">
        <f t="shared" si="2"/>
        <v>93918</v>
      </c>
      <c r="F31" s="77">
        <f t="shared" si="3"/>
        <v>5.371251639233162E-2</v>
      </c>
    </row>
    <row r="32" spans="1:7" ht="23.1" customHeight="1" x14ac:dyDescent="0.2">
      <c r="A32" s="74">
        <v>9</v>
      </c>
      <c r="B32" s="75" t="s">
        <v>90</v>
      </c>
      <c r="C32" s="76">
        <v>23629704</v>
      </c>
      <c r="D32" s="76">
        <v>24884070</v>
      </c>
      <c r="E32" s="76">
        <f t="shared" si="2"/>
        <v>1254366</v>
      </c>
      <c r="F32" s="77">
        <f t="shared" si="3"/>
        <v>5.3084287471396173E-2</v>
      </c>
    </row>
    <row r="33" spans="1:6" ht="23.1" customHeight="1" x14ac:dyDescent="0.25">
      <c r="A33" s="71"/>
      <c r="B33" s="78" t="s">
        <v>91</v>
      </c>
      <c r="C33" s="79">
        <f>SUM(C24:C32)</f>
        <v>121882681</v>
      </c>
      <c r="D33" s="79">
        <f>SUM(D24:D32)</f>
        <v>124899985</v>
      </c>
      <c r="E33" s="79">
        <f t="shared" si="2"/>
        <v>3017304</v>
      </c>
      <c r="F33" s="80">
        <f t="shared" si="3"/>
        <v>2.4755805954087932E-2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166279</v>
      </c>
      <c r="D35" s="79">
        <f>+D21-D33</f>
        <v>28108</v>
      </c>
      <c r="E35" s="79">
        <f>D35-C35</f>
        <v>-138171</v>
      </c>
      <c r="F35" s="80">
        <f>IF(C35=0,0,E35/C35)</f>
        <v>-0.83095881019250772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2102513</v>
      </c>
      <c r="D38" s="76">
        <v>2298212</v>
      </c>
      <c r="E38" s="76">
        <f>D38-C38</f>
        <v>195699</v>
      </c>
      <c r="F38" s="77">
        <f>IF(C38=0,0,E38/C38)</f>
        <v>9.3078615922945543E-2</v>
      </c>
    </row>
    <row r="39" spans="1:6" ht="23.1" customHeight="1" x14ac:dyDescent="0.2">
      <c r="A39" s="85">
        <v>2</v>
      </c>
      <c r="B39" s="75" t="s">
        <v>95</v>
      </c>
      <c r="C39" s="76">
        <v>27952</v>
      </c>
      <c r="D39" s="76">
        <v>273527</v>
      </c>
      <c r="E39" s="76">
        <f>D39-C39</f>
        <v>245575</v>
      </c>
      <c r="F39" s="77">
        <f>IF(C39=0,0,E39/C39)</f>
        <v>8.7855967372638801</v>
      </c>
    </row>
    <row r="40" spans="1:6" ht="23.1" customHeight="1" x14ac:dyDescent="0.2">
      <c r="A40" s="85">
        <v>3</v>
      </c>
      <c r="B40" s="75" t="s">
        <v>96</v>
      </c>
      <c r="C40" s="76">
        <v>118880</v>
      </c>
      <c r="D40" s="76">
        <v>93073</v>
      </c>
      <c r="E40" s="76">
        <f>D40-C40</f>
        <v>-25807</v>
      </c>
      <c r="F40" s="77">
        <f>IF(C40=0,0,E40/C40)</f>
        <v>-0.21708445491251682</v>
      </c>
    </row>
    <row r="41" spans="1:6" ht="23.1" customHeight="1" x14ac:dyDescent="0.25">
      <c r="A41" s="83"/>
      <c r="B41" s="78" t="s">
        <v>97</v>
      </c>
      <c r="C41" s="79">
        <f>SUM(C38:C40)</f>
        <v>2249345</v>
      </c>
      <c r="D41" s="79">
        <f>SUM(D38:D40)</f>
        <v>2664812</v>
      </c>
      <c r="E41" s="79">
        <f>D41-C41</f>
        <v>415467</v>
      </c>
      <c r="F41" s="80">
        <f>IF(C41=0,0,E41/C41)</f>
        <v>0.18470576990190476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2415624</v>
      </c>
      <c r="D43" s="79">
        <f>D35+D41</f>
        <v>2692920</v>
      </c>
      <c r="E43" s="79">
        <f>D43-C43</f>
        <v>277296</v>
      </c>
      <c r="F43" s="80">
        <f>IF(C43=0,0,E43/C43)</f>
        <v>0.11479269952608519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2415624</v>
      </c>
      <c r="D50" s="79">
        <f>D43+D48</f>
        <v>2692920</v>
      </c>
      <c r="E50" s="79">
        <f>D50-C50</f>
        <v>277296</v>
      </c>
      <c r="F50" s="80">
        <f>IF(C50=0,0,E50/C50)</f>
        <v>0.11479269952608519</v>
      </c>
    </row>
    <row r="51" spans="1:6" ht="23.1" customHeight="1" x14ac:dyDescent="0.2">
      <c r="A51" s="85"/>
      <c r="B51" s="75" t="s">
        <v>104</v>
      </c>
      <c r="C51" s="76">
        <v>1344063</v>
      </c>
      <c r="D51" s="76">
        <v>1401998</v>
      </c>
      <c r="E51" s="76">
        <f>D51-C51</f>
        <v>57935</v>
      </c>
      <c r="F51" s="77">
        <f>IF(C51=0,0,E51/C51)</f>
        <v>4.3104378291791381E-2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49563629</v>
      </c>
      <c r="D14" s="113">
        <v>54904987</v>
      </c>
      <c r="E14" s="113">
        <f t="shared" ref="E14:E25" si="0">D14-C14</f>
        <v>5341358</v>
      </c>
      <c r="F14" s="114">
        <f t="shared" ref="F14:F25" si="1">IF(C14=0,0,E14/C14)</f>
        <v>0.1077676939273353</v>
      </c>
    </row>
    <row r="15" spans="1:6" x14ac:dyDescent="0.2">
      <c r="A15" s="115">
        <v>2</v>
      </c>
      <c r="B15" s="116" t="s">
        <v>114</v>
      </c>
      <c r="C15" s="113">
        <v>5294301</v>
      </c>
      <c r="D15" s="113">
        <v>7113981</v>
      </c>
      <c r="E15" s="113">
        <f t="shared" si="0"/>
        <v>1819680</v>
      </c>
      <c r="F15" s="114">
        <f t="shared" si="1"/>
        <v>0.34370542966861917</v>
      </c>
    </row>
    <row r="16" spans="1:6" x14ac:dyDescent="0.2">
      <c r="A16" s="115">
        <v>3</v>
      </c>
      <c r="B16" s="116" t="s">
        <v>115</v>
      </c>
      <c r="C16" s="113">
        <v>11223800</v>
      </c>
      <c r="D16" s="113">
        <v>14098153</v>
      </c>
      <c r="E16" s="113">
        <f t="shared" si="0"/>
        <v>2874353</v>
      </c>
      <c r="F16" s="114">
        <f t="shared" si="1"/>
        <v>0.25609445998681374</v>
      </c>
    </row>
    <row r="17" spans="1:6" x14ac:dyDescent="0.2">
      <c r="A17" s="115">
        <v>4</v>
      </c>
      <c r="B17" s="116" t="s">
        <v>116</v>
      </c>
      <c r="C17" s="113">
        <v>666923</v>
      </c>
      <c r="D17" s="113">
        <v>437891</v>
      </c>
      <c r="E17" s="113">
        <f t="shared" si="0"/>
        <v>-229032</v>
      </c>
      <c r="F17" s="114">
        <f t="shared" si="1"/>
        <v>-0.34341595656470086</v>
      </c>
    </row>
    <row r="18" spans="1:6" x14ac:dyDescent="0.2">
      <c r="A18" s="115">
        <v>5</v>
      </c>
      <c r="B18" s="116" t="s">
        <v>117</v>
      </c>
      <c r="C18" s="113">
        <v>483092</v>
      </c>
      <c r="D18" s="113">
        <v>353945</v>
      </c>
      <c r="E18" s="113">
        <f t="shared" si="0"/>
        <v>-129147</v>
      </c>
      <c r="F18" s="114">
        <f t="shared" si="1"/>
        <v>-0.26733417237296414</v>
      </c>
    </row>
    <row r="19" spans="1:6" x14ac:dyDescent="0.2">
      <c r="A19" s="115">
        <v>6</v>
      </c>
      <c r="B19" s="116" t="s">
        <v>118</v>
      </c>
      <c r="C19" s="113">
        <v>4108259</v>
      </c>
      <c r="D19" s="113">
        <v>2608785</v>
      </c>
      <c r="E19" s="113">
        <f t="shared" si="0"/>
        <v>-1499474</v>
      </c>
      <c r="F19" s="114">
        <f t="shared" si="1"/>
        <v>-0.36499013329003843</v>
      </c>
    </row>
    <row r="20" spans="1:6" x14ac:dyDescent="0.2">
      <c r="A20" s="115">
        <v>7</v>
      </c>
      <c r="B20" s="116" t="s">
        <v>119</v>
      </c>
      <c r="C20" s="113">
        <v>15794964</v>
      </c>
      <c r="D20" s="113">
        <v>19441893</v>
      </c>
      <c r="E20" s="113">
        <f t="shared" si="0"/>
        <v>3646929</v>
      </c>
      <c r="F20" s="114">
        <f t="shared" si="1"/>
        <v>0.23089188427400023</v>
      </c>
    </row>
    <row r="21" spans="1:6" x14ac:dyDescent="0.2">
      <c r="A21" s="115">
        <v>8</v>
      </c>
      <c r="B21" s="116" t="s">
        <v>120</v>
      </c>
      <c r="C21" s="113">
        <v>817063</v>
      </c>
      <c r="D21" s="113">
        <v>859081</v>
      </c>
      <c r="E21" s="113">
        <f t="shared" si="0"/>
        <v>42018</v>
      </c>
      <c r="F21" s="114">
        <f t="shared" si="1"/>
        <v>5.1425655059646566E-2</v>
      </c>
    </row>
    <row r="22" spans="1:6" x14ac:dyDescent="0.2">
      <c r="A22" s="115">
        <v>9</v>
      </c>
      <c r="B22" s="116" t="s">
        <v>121</v>
      </c>
      <c r="C22" s="113">
        <v>1298459</v>
      </c>
      <c r="D22" s="113">
        <v>1590204</v>
      </c>
      <c r="E22" s="113">
        <f t="shared" si="0"/>
        <v>291745</v>
      </c>
      <c r="F22" s="114">
        <f t="shared" si="1"/>
        <v>0.22468556958671779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71313</v>
      </c>
      <c r="D24" s="113">
        <v>20290</v>
      </c>
      <c r="E24" s="113">
        <f t="shared" si="0"/>
        <v>-51023</v>
      </c>
      <c r="F24" s="114">
        <f t="shared" si="1"/>
        <v>-0.71547964606733694</v>
      </c>
    </row>
    <row r="25" spans="1:6" ht="15.75" x14ac:dyDescent="0.25">
      <c r="A25" s="117"/>
      <c r="B25" s="118" t="s">
        <v>124</v>
      </c>
      <c r="C25" s="119">
        <f>SUM(C14:C24)</f>
        <v>89321803</v>
      </c>
      <c r="D25" s="119">
        <f>SUM(D14:D24)</f>
        <v>101429210</v>
      </c>
      <c r="E25" s="119">
        <f t="shared" si="0"/>
        <v>12107407</v>
      </c>
      <c r="F25" s="120">
        <f t="shared" si="1"/>
        <v>0.13554817069691261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47463367</v>
      </c>
      <c r="D27" s="113">
        <v>51138290</v>
      </c>
      <c r="E27" s="113">
        <f t="shared" ref="E27:E38" si="2">D27-C27</f>
        <v>3674923</v>
      </c>
      <c r="F27" s="114">
        <f t="shared" ref="F27:F38" si="3">IF(C27=0,0,E27/C27)</f>
        <v>7.7426512956824151E-2</v>
      </c>
    </row>
    <row r="28" spans="1:6" x14ac:dyDescent="0.2">
      <c r="A28" s="115">
        <v>2</v>
      </c>
      <c r="B28" s="116" t="s">
        <v>114</v>
      </c>
      <c r="C28" s="113">
        <v>7111067</v>
      </c>
      <c r="D28" s="113">
        <v>9659403</v>
      </c>
      <c r="E28" s="113">
        <f t="shared" si="2"/>
        <v>2548336</v>
      </c>
      <c r="F28" s="114">
        <f t="shared" si="3"/>
        <v>0.35836197296411354</v>
      </c>
    </row>
    <row r="29" spans="1:6" x14ac:dyDescent="0.2">
      <c r="A29" s="115">
        <v>3</v>
      </c>
      <c r="B29" s="116" t="s">
        <v>115</v>
      </c>
      <c r="C29" s="113">
        <v>26472475</v>
      </c>
      <c r="D29" s="113">
        <v>32529315</v>
      </c>
      <c r="E29" s="113">
        <f t="shared" si="2"/>
        <v>6056840</v>
      </c>
      <c r="F29" s="114">
        <f t="shared" si="3"/>
        <v>0.2287976473676904</v>
      </c>
    </row>
    <row r="30" spans="1:6" x14ac:dyDescent="0.2">
      <c r="A30" s="115">
        <v>4</v>
      </c>
      <c r="B30" s="116" t="s">
        <v>116</v>
      </c>
      <c r="C30" s="113">
        <v>3770770</v>
      </c>
      <c r="D30" s="113">
        <v>1128215</v>
      </c>
      <c r="E30" s="113">
        <f t="shared" si="2"/>
        <v>-2642555</v>
      </c>
      <c r="F30" s="114">
        <f t="shared" si="3"/>
        <v>-0.70079983663814027</v>
      </c>
    </row>
    <row r="31" spans="1:6" x14ac:dyDescent="0.2">
      <c r="A31" s="115">
        <v>5</v>
      </c>
      <c r="B31" s="116" t="s">
        <v>117</v>
      </c>
      <c r="C31" s="113">
        <v>523735</v>
      </c>
      <c r="D31" s="113">
        <v>620095</v>
      </c>
      <c r="E31" s="113">
        <f t="shared" si="2"/>
        <v>96360</v>
      </c>
      <c r="F31" s="114">
        <f t="shared" si="3"/>
        <v>0.1839861762150706</v>
      </c>
    </row>
    <row r="32" spans="1:6" x14ac:dyDescent="0.2">
      <c r="A32" s="115">
        <v>6</v>
      </c>
      <c r="B32" s="116" t="s">
        <v>118</v>
      </c>
      <c r="C32" s="113">
        <v>10818859</v>
      </c>
      <c r="D32" s="113">
        <v>5540715</v>
      </c>
      <c r="E32" s="113">
        <f t="shared" si="2"/>
        <v>-5278144</v>
      </c>
      <c r="F32" s="114">
        <f t="shared" si="3"/>
        <v>-0.4878651251485947</v>
      </c>
    </row>
    <row r="33" spans="1:6" x14ac:dyDescent="0.2">
      <c r="A33" s="115">
        <v>7</v>
      </c>
      <c r="B33" s="116" t="s">
        <v>119</v>
      </c>
      <c r="C33" s="113">
        <v>44876274</v>
      </c>
      <c r="D33" s="113">
        <v>50761334</v>
      </c>
      <c r="E33" s="113">
        <f t="shared" si="2"/>
        <v>5885060</v>
      </c>
      <c r="F33" s="114">
        <f t="shared" si="3"/>
        <v>0.1311396752769626</v>
      </c>
    </row>
    <row r="34" spans="1:6" x14ac:dyDescent="0.2">
      <c r="A34" s="115">
        <v>8</v>
      </c>
      <c r="B34" s="116" t="s">
        <v>120</v>
      </c>
      <c r="C34" s="113">
        <v>1293897</v>
      </c>
      <c r="D34" s="113">
        <v>1465316</v>
      </c>
      <c r="E34" s="113">
        <f t="shared" si="2"/>
        <v>171419</v>
      </c>
      <c r="F34" s="114">
        <f t="shared" si="3"/>
        <v>0.1324827246681923</v>
      </c>
    </row>
    <row r="35" spans="1:6" x14ac:dyDescent="0.2">
      <c r="A35" s="115">
        <v>9</v>
      </c>
      <c r="B35" s="116" t="s">
        <v>121</v>
      </c>
      <c r="C35" s="113">
        <v>5212131</v>
      </c>
      <c r="D35" s="113">
        <v>5513269</v>
      </c>
      <c r="E35" s="113">
        <f t="shared" si="2"/>
        <v>301138</v>
      </c>
      <c r="F35" s="114">
        <f t="shared" si="3"/>
        <v>5.7776368245541027E-2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205041</v>
      </c>
      <c r="D37" s="113">
        <v>153409</v>
      </c>
      <c r="E37" s="113">
        <f t="shared" si="2"/>
        <v>-51632</v>
      </c>
      <c r="F37" s="114">
        <f t="shared" si="3"/>
        <v>-0.2518130520237416</v>
      </c>
    </row>
    <row r="38" spans="1:6" ht="15.75" x14ac:dyDescent="0.25">
      <c r="A38" s="117"/>
      <c r="B38" s="118" t="s">
        <v>126</v>
      </c>
      <c r="C38" s="119">
        <f>SUM(C27:C37)</f>
        <v>147747616</v>
      </c>
      <c r="D38" s="119">
        <f>SUM(D27:D37)</f>
        <v>158509361</v>
      </c>
      <c r="E38" s="119">
        <f t="shared" si="2"/>
        <v>10761745</v>
      </c>
      <c r="F38" s="120">
        <f t="shared" si="3"/>
        <v>7.2838704889830505E-2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97026996</v>
      </c>
      <c r="D41" s="119">
        <f t="shared" si="4"/>
        <v>106043277</v>
      </c>
      <c r="E41" s="123">
        <f t="shared" ref="E41:E52" si="5">D41-C41</f>
        <v>9016281</v>
      </c>
      <c r="F41" s="124">
        <f t="shared" ref="F41:F52" si="6">IF(C41=0,0,E41/C41)</f>
        <v>9.2925488489821947E-2</v>
      </c>
    </row>
    <row r="42" spans="1:6" ht="15.75" x14ac:dyDescent="0.25">
      <c r="A42" s="121">
        <v>2</v>
      </c>
      <c r="B42" s="122" t="s">
        <v>114</v>
      </c>
      <c r="C42" s="119">
        <f t="shared" si="4"/>
        <v>12405368</v>
      </c>
      <c r="D42" s="119">
        <f t="shared" si="4"/>
        <v>16773384</v>
      </c>
      <c r="E42" s="123">
        <f t="shared" si="5"/>
        <v>4368016</v>
      </c>
      <c r="F42" s="124">
        <f t="shared" si="6"/>
        <v>0.3521069266143495</v>
      </c>
    </row>
    <row r="43" spans="1:6" ht="15.75" x14ac:dyDescent="0.25">
      <c r="A43" s="121">
        <v>3</v>
      </c>
      <c r="B43" s="122" t="s">
        <v>115</v>
      </c>
      <c r="C43" s="119">
        <f t="shared" si="4"/>
        <v>37696275</v>
      </c>
      <c r="D43" s="119">
        <f t="shared" si="4"/>
        <v>46627468</v>
      </c>
      <c r="E43" s="123">
        <f t="shared" si="5"/>
        <v>8931193</v>
      </c>
      <c r="F43" s="124">
        <f t="shared" si="6"/>
        <v>0.23692508079379196</v>
      </c>
    </row>
    <row r="44" spans="1:6" ht="15.75" x14ac:dyDescent="0.25">
      <c r="A44" s="121">
        <v>4</v>
      </c>
      <c r="B44" s="122" t="s">
        <v>116</v>
      </c>
      <c r="C44" s="119">
        <f t="shared" si="4"/>
        <v>4437693</v>
      </c>
      <c r="D44" s="119">
        <f t="shared" si="4"/>
        <v>1566106</v>
      </c>
      <c r="E44" s="123">
        <f t="shared" si="5"/>
        <v>-2871587</v>
      </c>
      <c r="F44" s="124">
        <f t="shared" si="6"/>
        <v>-0.64709005332275127</v>
      </c>
    </row>
    <row r="45" spans="1:6" ht="15.75" x14ac:dyDescent="0.25">
      <c r="A45" s="121">
        <v>5</v>
      </c>
      <c r="B45" s="122" t="s">
        <v>117</v>
      </c>
      <c r="C45" s="119">
        <f t="shared" si="4"/>
        <v>1006827</v>
      </c>
      <c r="D45" s="119">
        <f t="shared" si="4"/>
        <v>974040</v>
      </c>
      <c r="E45" s="123">
        <f t="shared" si="5"/>
        <v>-32787</v>
      </c>
      <c r="F45" s="124">
        <f t="shared" si="6"/>
        <v>-3.2564680923336385E-2</v>
      </c>
    </row>
    <row r="46" spans="1:6" ht="15.75" x14ac:dyDescent="0.25">
      <c r="A46" s="121">
        <v>6</v>
      </c>
      <c r="B46" s="122" t="s">
        <v>118</v>
      </c>
      <c r="C46" s="119">
        <f t="shared" si="4"/>
        <v>14927118</v>
      </c>
      <c r="D46" s="119">
        <f t="shared" si="4"/>
        <v>8149500</v>
      </c>
      <c r="E46" s="123">
        <f t="shared" si="5"/>
        <v>-6777618</v>
      </c>
      <c r="F46" s="124">
        <f t="shared" si="6"/>
        <v>-0.45404732514340679</v>
      </c>
    </row>
    <row r="47" spans="1:6" ht="15.75" x14ac:dyDescent="0.25">
      <c r="A47" s="121">
        <v>7</v>
      </c>
      <c r="B47" s="122" t="s">
        <v>119</v>
      </c>
      <c r="C47" s="119">
        <f t="shared" si="4"/>
        <v>60671238</v>
      </c>
      <c r="D47" s="119">
        <f t="shared" si="4"/>
        <v>70203227</v>
      </c>
      <c r="E47" s="123">
        <f t="shared" si="5"/>
        <v>9531989</v>
      </c>
      <c r="F47" s="124">
        <f t="shared" si="6"/>
        <v>0.15710885939067207</v>
      </c>
    </row>
    <row r="48" spans="1:6" ht="15.75" x14ac:dyDescent="0.25">
      <c r="A48" s="121">
        <v>8</v>
      </c>
      <c r="B48" s="122" t="s">
        <v>120</v>
      </c>
      <c r="C48" s="119">
        <f t="shared" si="4"/>
        <v>2110960</v>
      </c>
      <c r="D48" s="119">
        <f t="shared" si="4"/>
        <v>2324397</v>
      </c>
      <c r="E48" s="123">
        <f t="shared" si="5"/>
        <v>213437</v>
      </c>
      <c r="F48" s="124">
        <f t="shared" si="6"/>
        <v>0.10110897411604199</v>
      </c>
    </row>
    <row r="49" spans="1:6" ht="15.75" x14ac:dyDescent="0.25">
      <c r="A49" s="121">
        <v>9</v>
      </c>
      <c r="B49" s="122" t="s">
        <v>121</v>
      </c>
      <c r="C49" s="119">
        <f t="shared" si="4"/>
        <v>6510590</v>
      </c>
      <c r="D49" s="119">
        <f t="shared" si="4"/>
        <v>7103473</v>
      </c>
      <c r="E49" s="123">
        <f t="shared" si="5"/>
        <v>592883</v>
      </c>
      <c r="F49" s="124">
        <f t="shared" si="6"/>
        <v>9.1064404301299876E-2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276354</v>
      </c>
      <c r="D51" s="119">
        <f t="shared" si="4"/>
        <v>173699</v>
      </c>
      <c r="E51" s="123">
        <f t="shared" si="5"/>
        <v>-102655</v>
      </c>
      <c r="F51" s="124">
        <f t="shared" si="6"/>
        <v>-0.37146196545011106</v>
      </c>
    </row>
    <row r="52" spans="1:6" ht="18.75" customHeight="1" thickBot="1" x14ac:dyDescent="0.3">
      <c r="A52" s="125"/>
      <c r="B52" s="126" t="s">
        <v>128</v>
      </c>
      <c r="C52" s="127">
        <f>SUM(C41:C51)</f>
        <v>237069419</v>
      </c>
      <c r="D52" s="128">
        <f>SUM(D41:D51)</f>
        <v>259938571</v>
      </c>
      <c r="E52" s="127">
        <f t="shared" si="5"/>
        <v>22869152</v>
      </c>
      <c r="F52" s="129">
        <f t="shared" si="6"/>
        <v>9.6466056636347511E-2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29385497</v>
      </c>
      <c r="D57" s="113">
        <v>30589686</v>
      </c>
      <c r="E57" s="113">
        <f t="shared" ref="E57:E68" si="7">D57-C57</f>
        <v>1204189</v>
      </c>
      <c r="F57" s="114">
        <f t="shared" ref="F57:F68" si="8">IF(C57=0,0,E57/C57)</f>
        <v>4.0979024448693176E-2</v>
      </c>
    </row>
    <row r="58" spans="1:6" x14ac:dyDescent="0.2">
      <c r="A58" s="115">
        <v>2</v>
      </c>
      <c r="B58" s="116" t="s">
        <v>114</v>
      </c>
      <c r="C58" s="113">
        <v>2930803</v>
      </c>
      <c r="D58" s="113">
        <v>3963473</v>
      </c>
      <c r="E58" s="113">
        <f t="shared" si="7"/>
        <v>1032670</v>
      </c>
      <c r="F58" s="114">
        <f t="shared" si="8"/>
        <v>0.35235053328388161</v>
      </c>
    </row>
    <row r="59" spans="1:6" x14ac:dyDescent="0.2">
      <c r="A59" s="115">
        <v>3</v>
      </c>
      <c r="B59" s="116" t="s">
        <v>115</v>
      </c>
      <c r="C59" s="113">
        <v>4710422</v>
      </c>
      <c r="D59" s="113">
        <v>4905020</v>
      </c>
      <c r="E59" s="113">
        <f t="shared" si="7"/>
        <v>194598</v>
      </c>
      <c r="F59" s="114">
        <f t="shared" si="8"/>
        <v>4.1312222132114704E-2</v>
      </c>
    </row>
    <row r="60" spans="1:6" x14ac:dyDescent="0.2">
      <c r="A60" s="115">
        <v>4</v>
      </c>
      <c r="B60" s="116" t="s">
        <v>116</v>
      </c>
      <c r="C60" s="113">
        <v>416744</v>
      </c>
      <c r="D60" s="113">
        <v>140182</v>
      </c>
      <c r="E60" s="113">
        <f t="shared" si="7"/>
        <v>-276562</v>
      </c>
      <c r="F60" s="114">
        <f t="shared" si="8"/>
        <v>-0.66362563108287098</v>
      </c>
    </row>
    <row r="61" spans="1:6" x14ac:dyDescent="0.2">
      <c r="A61" s="115">
        <v>5</v>
      </c>
      <c r="B61" s="116" t="s">
        <v>117</v>
      </c>
      <c r="C61" s="113">
        <v>282459</v>
      </c>
      <c r="D61" s="113">
        <v>220612</v>
      </c>
      <c r="E61" s="113">
        <f t="shared" si="7"/>
        <v>-61847</v>
      </c>
      <c r="F61" s="114">
        <f t="shared" si="8"/>
        <v>-0.21895921177940869</v>
      </c>
    </row>
    <row r="62" spans="1:6" x14ac:dyDescent="0.2">
      <c r="A62" s="115">
        <v>6</v>
      </c>
      <c r="B62" s="116" t="s">
        <v>118</v>
      </c>
      <c r="C62" s="113">
        <v>2460964</v>
      </c>
      <c r="D62" s="113">
        <v>1699129</v>
      </c>
      <c r="E62" s="113">
        <f t="shared" si="7"/>
        <v>-761835</v>
      </c>
      <c r="F62" s="114">
        <f t="shared" si="8"/>
        <v>-0.30956771411528167</v>
      </c>
    </row>
    <row r="63" spans="1:6" x14ac:dyDescent="0.2">
      <c r="A63" s="115">
        <v>7</v>
      </c>
      <c r="B63" s="116" t="s">
        <v>119</v>
      </c>
      <c r="C63" s="113">
        <v>11198947</v>
      </c>
      <c r="D63" s="113">
        <v>12436823</v>
      </c>
      <c r="E63" s="113">
        <f t="shared" si="7"/>
        <v>1237876</v>
      </c>
      <c r="F63" s="114">
        <f t="shared" si="8"/>
        <v>0.11053503512428445</v>
      </c>
    </row>
    <row r="64" spans="1:6" x14ac:dyDescent="0.2">
      <c r="A64" s="115">
        <v>8</v>
      </c>
      <c r="B64" s="116" t="s">
        <v>120</v>
      </c>
      <c r="C64" s="113">
        <v>605554</v>
      </c>
      <c r="D64" s="113">
        <v>652620</v>
      </c>
      <c r="E64" s="113">
        <f t="shared" si="7"/>
        <v>47066</v>
      </c>
      <c r="F64" s="114">
        <f t="shared" si="8"/>
        <v>7.7723869382416766E-2</v>
      </c>
    </row>
    <row r="65" spans="1:6" x14ac:dyDescent="0.2">
      <c r="A65" s="115">
        <v>9</v>
      </c>
      <c r="B65" s="116" t="s">
        <v>121</v>
      </c>
      <c r="C65" s="113">
        <v>330637</v>
      </c>
      <c r="D65" s="113">
        <v>272165</v>
      </c>
      <c r="E65" s="113">
        <f t="shared" si="7"/>
        <v>-58472</v>
      </c>
      <c r="F65" s="114">
        <f t="shared" si="8"/>
        <v>-0.17684651143096508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30421</v>
      </c>
      <c r="D67" s="113">
        <v>18644</v>
      </c>
      <c r="E67" s="113">
        <f t="shared" si="7"/>
        <v>-11777</v>
      </c>
      <c r="F67" s="114">
        <f t="shared" si="8"/>
        <v>-0.38713388777489233</v>
      </c>
    </row>
    <row r="68" spans="1:6" ht="15.75" x14ac:dyDescent="0.25">
      <c r="A68" s="117"/>
      <c r="B68" s="118" t="s">
        <v>131</v>
      </c>
      <c r="C68" s="119">
        <f>SUM(C57:C67)</f>
        <v>52352448</v>
      </c>
      <c r="D68" s="119">
        <f>SUM(D57:D67)</f>
        <v>54898354</v>
      </c>
      <c r="E68" s="119">
        <f t="shared" si="7"/>
        <v>2545906</v>
      </c>
      <c r="F68" s="120">
        <f t="shared" si="8"/>
        <v>4.8630123275228698E-2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18547928</v>
      </c>
      <c r="D70" s="113">
        <v>18505307</v>
      </c>
      <c r="E70" s="113">
        <f t="shared" ref="E70:E81" si="9">D70-C70</f>
        <v>-42621</v>
      </c>
      <c r="F70" s="114">
        <f t="shared" ref="F70:F81" si="10">IF(C70=0,0,E70/C70)</f>
        <v>-2.2978847017305652E-3</v>
      </c>
    </row>
    <row r="71" spans="1:6" x14ac:dyDescent="0.2">
      <c r="A71" s="115">
        <v>2</v>
      </c>
      <c r="B71" s="116" t="s">
        <v>114</v>
      </c>
      <c r="C71" s="113">
        <v>2498610</v>
      </c>
      <c r="D71" s="113">
        <v>3362046</v>
      </c>
      <c r="E71" s="113">
        <f t="shared" si="9"/>
        <v>863436</v>
      </c>
      <c r="F71" s="114">
        <f t="shared" si="10"/>
        <v>0.34556653499345635</v>
      </c>
    </row>
    <row r="72" spans="1:6" x14ac:dyDescent="0.2">
      <c r="A72" s="115">
        <v>3</v>
      </c>
      <c r="B72" s="116" t="s">
        <v>115</v>
      </c>
      <c r="C72" s="113">
        <v>7758161</v>
      </c>
      <c r="D72" s="113">
        <v>10437386</v>
      </c>
      <c r="E72" s="113">
        <f t="shared" si="9"/>
        <v>2679225</v>
      </c>
      <c r="F72" s="114">
        <f t="shared" si="10"/>
        <v>0.34534279451019384</v>
      </c>
    </row>
    <row r="73" spans="1:6" x14ac:dyDescent="0.2">
      <c r="A73" s="115">
        <v>4</v>
      </c>
      <c r="B73" s="116" t="s">
        <v>116</v>
      </c>
      <c r="C73" s="113">
        <v>1992902</v>
      </c>
      <c r="D73" s="113">
        <v>409033</v>
      </c>
      <c r="E73" s="113">
        <f t="shared" si="9"/>
        <v>-1583869</v>
      </c>
      <c r="F73" s="114">
        <f t="shared" si="10"/>
        <v>-0.79475508579950238</v>
      </c>
    </row>
    <row r="74" spans="1:6" x14ac:dyDescent="0.2">
      <c r="A74" s="115">
        <v>5</v>
      </c>
      <c r="B74" s="116" t="s">
        <v>117</v>
      </c>
      <c r="C74" s="113">
        <v>189582</v>
      </c>
      <c r="D74" s="113">
        <v>228839</v>
      </c>
      <c r="E74" s="113">
        <f t="shared" si="9"/>
        <v>39257</v>
      </c>
      <c r="F74" s="114">
        <f t="shared" si="10"/>
        <v>0.20707134643584307</v>
      </c>
    </row>
    <row r="75" spans="1:6" x14ac:dyDescent="0.2">
      <c r="A75" s="115">
        <v>6</v>
      </c>
      <c r="B75" s="116" t="s">
        <v>118</v>
      </c>
      <c r="C75" s="113">
        <v>5418974</v>
      </c>
      <c r="D75" s="113">
        <v>2136171</v>
      </c>
      <c r="E75" s="113">
        <f t="shared" si="9"/>
        <v>-3282803</v>
      </c>
      <c r="F75" s="114">
        <f t="shared" si="10"/>
        <v>-0.60579788720152561</v>
      </c>
    </row>
    <row r="76" spans="1:6" x14ac:dyDescent="0.2">
      <c r="A76" s="115">
        <v>7</v>
      </c>
      <c r="B76" s="116" t="s">
        <v>119</v>
      </c>
      <c r="C76" s="113">
        <v>21800642</v>
      </c>
      <c r="D76" s="113">
        <v>25522388</v>
      </c>
      <c r="E76" s="113">
        <f t="shared" si="9"/>
        <v>3721746</v>
      </c>
      <c r="F76" s="114">
        <f t="shared" si="10"/>
        <v>0.17071726603280765</v>
      </c>
    </row>
    <row r="77" spans="1:6" x14ac:dyDescent="0.2">
      <c r="A77" s="115">
        <v>8</v>
      </c>
      <c r="B77" s="116" t="s">
        <v>120</v>
      </c>
      <c r="C77" s="113">
        <v>1059323</v>
      </c>
      <c r="D77" s="113">
        <v>1008717</v>
      </c>
      <c r="E77" s="113">
        <f t="shared" si="9"/>
        <v>-50606</v>
      </c>
      <c r="F77" s="114">
        <f t="shared" si="10"/>
        <v>-4.7772020431917368E-2</v>
      </c>
    </row>
    <row r="78" spans="1:6" x14ac:dyDescent="0.2">
      <c r="A78" s="115">
        <v>9</v>
      </c>
      <c r="B78" s="116" t="s">
        <v>121</v>
      </c>
      <c r="C78" s="113">
        <v>1327208</v>
      </c>
      <c r="D78" s="113">
        <v>943602</v>
      </c>
      <c r="E78" s="113">
        <f t="shared" si="9"/>
        <v>-383606</v>
      </c>
      <c r="F78" s="114">
        <f t="shared" si="10"/>
        <v>-0.2890323144525952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37780</v>
      </c>
      <c r="D80" s="113">
        <v>31406</v>
      </c>
      <c r="E80" s="113">
        <f t="shared" si="9"/>
        <v>-6374</v>
      </c>
      <c r="F80" s="114">
        <f t="shared" si="10"/>
        <v>-0.16871360508205399</v>
      </c>
    </row>
    <row r="81" spans="1:6" ht="15.75" x14ac:dyDescent="0.25">
      <c r="A81" s="117"/>
      <c r="B81" s="118" t="s">
        <v>133</v>
      </c>
      <c r="C81" s="119">
        <f>SUM(C70:C80)</f>
        <v>60631110</v>
      </c>
      <c r="D81" s="119">
        <f>SUM(D70:D80)</f>
        <v>62584895</v>
      </c>
      <c r="E81" s="119">
        <f t="shared" si="9"/>
        <v>1953785</v>
      </c>
      <c r="F81" s="120">
        <f t="shared" si="10"/>
        <v>3.2224133782145829E-2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47933425</v>
      </c>
      <c r="D84" s="119">
        <f t="shared" si="11"/>
        <v>49094993</v>
      </c>
      <c r="E84" s="119">
        <f t="shared" ref="E84:E95" si="12">D84-C84</f>
        <v>1161568</v>
      </c>
      <c r="F84" s="120">
        <f t="shared" ref="F84:F95" si="13">IF(C84=0,0,E84/C84)</f>
        <v>2.4232943921699734E-2</v>
      </c>
    </row>
    <row r="85" spans="1:6" ht="15.75" x14ac:dyDescent="0.25">
      <c r="A85" s="130">
        <v>2</v>
      </c>
      <c r="B85" s="122" t="s">
        <v>114</v>
      </c>
      <c r="C85" s="119">
        <f t="shared" si="11"/>
        <v>5429413</v>
      </c>
      <c r="D85" s="119">
        <f t="shared" si="11"/>
        <v>7325519</v>
      </c>
      <c r="E85" s="119">
        <f t="shared" si="12"/>
        <v>1896106</v>
      </c>
      <c r="F85" s="120">
        <f t="shared" si="13"/>
        <v>0.34922854459588909</v>
      </c>
    </row>
    <row r="86" spans="1:6" ht="15.75" x14ac:dyDescent="0.25">
      <c r="A86" s="130">
        <v>3</v>
      </c>
      <c r="B86" s="122" t="s">
        <v>115</v>
      </c>
      <c r="C86" s="119">
        <f t="shared" si="11"/>
        <v>12468583</v>
      </c>
      <c r="D86" s="119">
        <f t="shared" si="11"/>
        <v>15342406</v>
      </c>
      <c r="E86" s="119">
        <f t="shared" si="12"/>
        <v>2873823</v>
      </c>
      <c r="F86" s="120">
        <f t="shared" si="13"/>
        <v>0.23048513211164412</v>
      </c>
    </row>
    <row r="87" spans="1:6" ht="15.75" x14ac:dyDescent="0.25">
      <c r="A87" s="130">
        <v>4</v>
      </c>
      <c r="B87" s="122" t="s">
        <v>116</v>
      </c>
      <c r="C87" s="119">
        <f t="shared" si="11"/>
        <v>2409646</v>
      </c>
      <c r="D87" s="119">
        <f t="shared" si="11"/>
        <v>549215</v>
      </c>
      <c r="E87" s="119">
        <f t="shared" si="12"/>
        <v>-1860431</v>
      </c>
      <c r="F87" s="120">
        <f t="shared" si="13"/>
        <v>-0.77207647928367906</v>
      </c>
    </row>
    <row r="88" spans="1:6" ht="15.75" x14ac:dyDescent="0.25">
      <c r="A88" s="130">
        <v>5</v>
      </c>
      <c r="B88" s="122" t="s">
        <v>117</v>
      </c>
      <c r="C88" s="119">
        <f t="shared" si="11"/>
        <v>472041</v>
      </c>
      <c r="D88" s="119">
        <f t="shared" si="11"/>
        <v>449451</v>
      </c>
      <c r="E88" s="119">
        <f t="shared" si="12"/>
        <v>-22590</v>
      </c>
      <c r="F88" s="120">
        <f t="shared" si="13"/>
        <v>-4.7856012507388128E-2</v>
      </c>
    </row>
    <row r="89" spans="1:6" ht="15.75" x14ac:dyDescent="0.25">
      <c r="A89" s="130">
        <v>6</v>
      </c>
      <c r="B89" s="122" t="s">
        <v>118</v>
      </c>
      <c r="C89" s="119">
        <f t="shared" si="11"/>
        <v>7879938</v>
      </c>
      <c r="D89" s="119">
        <f t="shared" si="11"/>
        <v>3835300</v>
      </c>
      <c r="E89" s="119">
        <f t="shared" si="12"/>
        <v>-4044638</v>
      </c>
      <c r="F89" s="120">
        <f t="shared" si="13"/>
        <v>-0.51328297253100219</v>
      </c>
    </row>
    <row r="90" spans="1:6" ht="15.75" x14ac:dyDescent="0.25">
      <c r="A90" s="130">
        <v>7</v>
      </c>
      <c r="B90" s="122" t="s">
        <v>119</v>
      </c>
      <c r="C90" s="119">
        <f t="shared" si="11"/>
        <v>32999589</v>
      </c>
      <c r="D90" s="119">
        <f t="shared" si="11"/>
        <v>37959211</v>
      </c>
      <c r="E90" s="119">
        <f t="shared" si="12"/>
        <v>4959622</v>
      </c>
      <c r="F90" s="120">
        <f t="shared" si="13"/>
        <v>0.15029344759415034</v>
      </c>
    </row>
    <row r="91" spans="1:6" ht="15.75" x14ac:dyDescent="0.25">
      <c r="A91" s="130">
        <v>8</v>
      </c>
      <c r="B91" s="122" t="s">
        <v>120</v>
      </c>
      <c r="C91" s="119">
        <f t="shared" si="11"/>
        <v>1664877</v>
      </c>
      <c r="D91" s="119">
        <f t="shared" si="11"/>
        <v>1661337</v>
      </c>
      <c r="E91" s="119">
        <f t="shared" si="12"/>
        <v>-3540</v>
      </c>
      <c r="F91" s="120">
        <f t="shared" si="13"/>
        <v>-2.1262832029032776E-3</v>
      </c>
    </row>
    <row r="92" spans="1:6" ht="15.75" x14ac:dyDescent="0.25">
      <c r="A92" s="130">
        <v>9</v>
      </c>
      <c r="B92" s="122" t="s">
        <v>121</v>
      </c>
      <c r="C92" s="119">
        <f t="shared" si="11"/>
        <v>1657845</v>
      </c>
      <c r="D92" s="119">
        <f t="shared" si="11"/>
        <v>1215767</v>
      </c>
      <c r="E92" s="119">
        <f t="shared" si="12"/>
        <v>-442078</v>
      </c>
      <c r="F92" s="120">
        <f t="shared" si="13"/>
        <v>-0.26665822196888128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68201</v>
      </c>
      <c r="D94" s="119">
        <f t="shared" si="11"/>
        <v>50050</v>
      </c>
      <c r="E94" s="119">
        <f t="shared" si="12"/>
        <v>-18151</v>
      </c>
      <c r="F94" s="120">
        <f t="shared" si="13"/>
        <v>-0.26613979267166171</v>
      </c>
    </row>
    <row r="95" spans="1:6" ht="18.75" customHeight="1" thickBot="1" x14ac:dyDescent="0.3">
      <c r="A95" s="131"/>
      <c r="B95" s="132" t="s">
        <v>134</v>
      </c>
      <c r="C95" s="128">
        <f>SUM(C84:C94)</f>
        <v>112983558</v>
      </c>
      <c r="D95" s="128">
        <f>SUM(D84:D94)</f>
        <v>117483249</v>
      </c>
      <c r="E95" s="128">
        <f t="shared" si="12"/>
        <v>4499691</v>
      </c>
      <c r="F95" s="129">
        <f t="shared" si="13"/>
        <v>3.982606920557414E-2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3163</v>
      </c>
      <c r="D100" s="133">
        <v>3113</v>
      </c>
      <c r="E100" s="133">
        <f t="shared" ref="E100:E111" si="14">D100-C100</f>
        <v>-50</v>
      </c>
      <c r="F100" s="114">
        <f t="shared" ref="F100:F111" si="15">IF(C100=0,0,E100/C100)</f>
        <v>-1.5807777426493835E-2</v>
      </c>
    </row>
    <row r="101" spans="1:6" x14ac:dyDescent="0.2">
      <c r="A101" s="115">
        <v>2</v>
      </c>
      <c r="B101" s="116" t="s">
        <v>114</v>
      </c>
      <c r="C101" s="133">
        <v>319</v>
      </c>
      <c r="D101" s="133">
        <v>397</v>
      </c>
      <c r="E101" s="133">
        <f t="shared" si="14"/>
        <v>78</v>
      </c>
      <c r="F101" s="114">
        <f t="shared" si="15"/>
        <v>0.2445141065830721</v>
      </c>
    </row>
    <row r="102" spans="1:6" x14ac:dyDescent="0.2">
      <c r="A102" s="115">
        <v>3</v>
      </c>
      <c r="B102" s="116" t="s">
        <v>115</v>
      </c>
      <c r="C102" s="133">
        <v>1020</v>
      </c>
      <c r="D102" s="133">
        <v>1136</v>
      </c>
      <c r="E102" s="133">
        <f t="shared" si="14"/>
        <v>116</v>
      </c>
      <c r="F102" s="114">
        <f t="shared" si="15"/>
        <v>0.11372549019607843</v>
      </c>
    </row>
    <row r="103" spans="1:6" x14ac:dyDescent="0.2">
      <c r="A103" s="115">
        <v>4</v>
      </c>
      <c r="B103" s="116" t="s">
        <v>116</v>
      </c>
      <c r="C103" s="133">
        <v>83</v>
      </c>
      <c r="D103" s="133">
        <v>31</v>
      </c>
      <c r="E103" s="133">
        <f t="shared" si="14"/>
        <v>-52</v>
      </c>
      <c r="F103" s="114">
        <f t="shared" si="15"/>
        <v>-0.62650602409638556</v>
      </c>
    </row>
    <row r="104" spans="1:6" x14ac:dyDescent="0.2">
      <c r="A104" s="115">
        <v>5</v>
      </c>
      <c r="B104" s="116" t="s">
        <v>117</v>
      </c>
      <c r="C104" s="133">
        <v>31</v>
      </c>
      <c r="D104" s="133">
        <v>32</v>
      </c>
      <c r="E104" s="133">
        <f t="shared" si="14"/>
        <v>1</v>
      </c>
      <c r="F104" s="114">
        <f t="shared" si="15"/>
        <v>3.2258064516129031E-2</v>
      </c>
    </row>
    <row r="105" spans="1:6" x14ac:dyDescent="0.2">
      <c r="A105" s="115">
        <v>6</v>
      </c>
      <c r="B105" s="116" t="s">
        <v>118</v>
      </c>
      <c r="C105" s="133">
        <v>337</v>
      </c>
      <c r="D105" s="133">
        <v>397</v>
      </c>
      <c r="E105" s="133">
        <f t="shared" si="14"/>
        <v>60</v>
      </c>
      <c r="F105" s="114">
        <f t="shared" si="15"/>
        <v>0.17804154302670624</v>
      </c>
    </row>
    <row r="106" spans="1:6" x14ac:dyDescent="0.2">
      <c r="A106" s="115">
        <v>7</v>
      </c>
      <c r="B106" s="116" t="s">
        <v>119</v>
      </c>
      <c r="C106" s="133">
        <v>1240</v>
      </c>
      <c r="D106" s="133">
        <v>1192</v>
      </c>
      <c r="E106" s="133">
        <f t="shared" si="14"/>
        <v>-48</v>
      </c>
      <c r="F106" s="114">
        <f t="shared" si="15"/>
        <v>-3.870967741935484E-2</v>
      </c>
    </row>
    <row r="107" spans="1:6" x14ac:dyDescent="0.2">
      <c r="A107" s="115">
        <v>8</v>
      </c>
      <c r="B107" s="116" t="s">
        <v>120</v>
      </c>
      <c r="C107" s="133">
        <v>29</v>
      </c>
      <c r="D107" s="133">
        <v>32</v>
      </c>
      <c r="E107" s="133">
        <f t="shared" si="14"/>
        <v>3</v>
      </c>
      <c r="F107" s="114">
        <f t="shared" si="15"/>
        <v>0.10344827586206896</v>
      </c>
    </row>
    <row r="108" spans="1:6" x14ac:dyDescent="0.2">
      <c r="A108" s="115">
        <v>9</v>
      </c>
      <c r="B108" s="116" t="s">
        <v>121</v>
      </c>
      <c r="C108" s="133">
        <v>114</v>
      </c>
      <c r="D108" s="133">
        <v>200</v>
      </c>
      <c r="E108" s="133">
        <f t="shared" si="14"/>
        <v>86</v>
      </c>
      <c r="F108" s="114">
        <f t="shared" si="15"/>
        <v>0.75438596491228072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</v>
      </c>
      <c r="D110" s="133">
        <v>3</v>
      </c>
      <c r="E110" s="133">
        <f t="shared" si="14"/>
        <v>1</v>
      </c>
      <c r="F110" s="114">
        <f t="shared" si="15"/>
        <v>0.5</v>
      </c>
    </row>
    <row r="111" spans="1:6" ht="15.75" x14ac:dyDescent="0.25">
      <c r="A111" s="117"/>
      <c r="B111" s="118" t="s">
        <v>138</v>
      </c>
      <c r="C111" s="134">
        <f>SUM(C100:C110)</f>
        <v>6338</v>
      </c>
      <c r="D111" s="134">
        <f>SUM(D100:D110)</f>
        <v>6533</v>
      </c>
      <c r="E111" s="134">
        <f t="shared" si="14"/>
        <v>195</v>
      </c>
      <c r="F111" s="120">
        <f t="shared" si="15"/>
        <v>3.0766803408015148E-2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14049</v>
      </c>
      <c r="D113" s="133">
        <v>14227</v>
      </c>
      <c r="E113" s="133">
        <f t="shared" ref="E113:E124" si="16">D113-C113</f>
        <v>178</v>
      </c>
      <c r="F113" s="114">
        <f t="shared" ref="F113:F124" si="17">IF(C113=0,0,E113/C113)</f>
        <v>1.2669940921061997E-2</v>
      </c>
    </row>
    <row r="114" spans="1:6" x14ac:dyDescent="0.2">
      <c r="A114" s="115">
        <v>2</v>
      </c>
      <c r="B114" s="116" t="s">
        <v>114</v>
      </c>
      <c r="C114" s="133">
        <v>1344</v>
      </c>
      <c r="D114" s="133">
        <v>1655</v>
      </c>
      <c r="E114" s="133">
        <f t="shared" si="16"/>
        <v>311</v>
      </c>
      <c r="F114" s="114">
        <f t="shared" si="17"/>
        <v>0.23139880952380953</v>
      </c>
    </row>
    <row r="115" spans="1:6" x14ac:dyDescent="0.2">
      <c r="A115" s="115">
        <v>3</v>
      </c>
      <c r="B115" s="116" t="s">
        <v>115</v>
      </c>
      <c r="C115" s="133">
        <v>3937</v>
      </c>
      <c r="D115" s="133">
        <v>4494</v>
      </c>
      <c r="E115" s="133">
        <f t="shared" si="16"/>
        <v>557</v>
      </c>
      <c r="F115" s="114">
        <f t="shared" si="17"/>
        <v>0.14147828295656592</v>
      </c>
    </row>
    <row r="116" spans="1:6" x14ac:dyDescent="0.2">
      <c r="A116" s="115">
        <v>4</v>
      </c>
      <c r="B116" s="116" t="s">
        <v>116</v>
      </c>
      <c r="C116" s="133">
        <v>235</v>
      </c>
      <c r="D116" s="133">
        <v>109</v>
      </c>
      <c r="E116" s="133">
        <f t="shared" si="16"/>
        <v>-126</v>
      </c>
      <c r="F116" s="114">
        <f t="shared" si="17"/>
        <v>-0.53617021276595744</v>
      </c>
    </row>
    <row r="117" spans="1:6" x14ac:dyDescent="0.2">
      <c r="A117" s="115">
        <v>5</v>
      </c>
      <c r="B117" s="116" t="s">
        <v>117</v>
      </c>
      <c r="C117" s="133">
        <v>120</v>
      </c>
      <c r="D117" s="133">
        <v>132</v>
      </c>
      <c r="E117" s="133">
        <f t="shared" si="16"/>
        <v>12</v>
      </c>
      <c r="F117" s="114">
        <f t="shared" si="17"/>
        <v>0.1</v>
      </c>
    </row>
    <row r="118" spans="1:6" x14ac:dyDescent="0.2">
      <c r="A118" s="115">
        <v>6</v>
      </c>
      <c r="B118" s="116" t="s">
        <v>118</v>
      </c>
      <c r="C118" s="133">
        <v>1135</v>
      </c>
      <c r="D118" s="133">
        <v>1446</v>
      </c>
      <c r="E118" s="133">
        <f t="shared" si="16"/>
        <v>311</v>
      </c>
      <c r="F118" s="114">
        <f t="shared" si="17"/>
        <v>0.27400881057268722</v>
      </c>
    </row>
    <row r="119" spans="1:6" x14ac:dyDescent="0.2">
      <c r="A119" s="115">
        <v>7</v>
      </c>
      <c r="B119" s="116" t="s">
        <v>119</v>
      </c>
      <c r="C119" s="133">
        <v>3943</v>
      </c>
      <c r="D119" s="133">
        <v>3715</v>
      </c>
      <c r="E119" s="133">
        <f t="shared" si="16"/>
        <v>-228</v>
      </c>
      <c r="F119" s="114">
        <f t="shared" si="17"/>
        <v>-5.7823991884352013E-2</v>
      </c>
    </row>
    <row r="120" spans="1:6" x14ac:dyDescent="0.2">
      <c r="A120" s="115">
        <v>8</v>
      </c>
      <c r="B120" s="116" t="s">
        <v>120</v>
      </c>
      <c r="C120" s="133">
        <v>63</v>
      </c>
      <c r="D120" s="133">
        <v>95</v>
      </c>
      <c r="E120" s="133">
        <f t="shared" si="16"/>
        <v>32</v>
      </c>
      <c r="F120" s="114">
        <f t="shared" si="17"/>
        <v>0.50793650793650791</v>
      </c>
    </row>
    <row r="121" spans="1:6" x14ac:dyDescent="0.2">
      <c r="A121" s="115">
        <v>9</v>
      </c>
      <c r="B121" s="116" t="s">
        <v>121</v>
      </c>
      <c r="C121" s="133">
        <v>392</v>
      </c>
      <c r="D121" s="133">
        <v>696</v>
      </c>
      <c r="E121" s="133">
        <f t="shared" si="16"/>
        <v>304</v>
      </c>
      <c r="F121" s="114">
        <f t="shared" si="17"/>
        <v>0.77551020408163263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31</v>
      </c>
      <c r="D123" s="133">
        <v>5</v>
      </c>
      <c r="E123" s="133">
        <f t="shared" si="16"/>
        <v>-26</v>
      </c>
      <c r="F123" s="114">
        <f t="shared" si="17"/>
        <v>-0.83870967741935487</v>
      </c>
    </row>
    <row r="124" spans="1:6" ht="15.75" x14ac:dyDescent="0.25">
      <c r="A124" s="117"/>
      <c r="B124" s="118" t="s">
        <v>140</v>
      </c>
      <c r="C124" s="134">
        <f>SUM(C113:C123)</f>
        <v>25249</v>
      </c>
      <c r="D124" s="134">
        <f>SUM(D113:D123)</f>
        <v>26574</v>
      </c>
      <c r="E124" s="134">
        <f t="shared" si="16"/>
        <v>1325</v>
      </c>
      <c r="F124" s="120">
        <f t="shared" si="17"/>
        <v>5.247732583468652E-2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75495</v>
      </c>
      <c r="D126" s="133">
        <v>77205</v>
      </c>
      <c r="E126" s="133">
        <f t="shared" ref="E126:E137" si="18">D126-C126</f>
        <v>1710</v>
      </c>
      <c r="F126" s="114">
        <f t="shared" ref="F126:F137" si="19">IF(C126=0,0,E126/C126)</f>
        <v>2.2650506656069939E-2</v>
      </c>
    </row>
    <row r="127" spans="1:6" x14ac:dyDescent="0.2">
      <c r="A127" s="115">
        <v>2</v>
      </c>
      <c r="B127" s="116" t="s">
        <v>114</v>
      </c>
      <c r="C127" s="133">
        <v>11354</v>
      </c>
      <c r="D127" s="133">
        <v>14176</v>
      </c>
      <c r="E127" s="133">
        <f t="shared" si="18"/>
        <v>2822</v>
      </c>
      <c r="F127" s="114">
        <f t="shared" si="19"/>
        <v>0.24854676765897482</v>
      </c>
    </row>
    <row r="128" spans="1:6" x14ac:dyDescent="0.2">
      <c r="A128" s="115">
        <v>3</v>
      </c>
      <c r="B128" s="116" t="s">
        <v>115</v>
      </c>
      <c r="C128" s="133">
        <v>35076</v>
      </c>
      <c r="D128" s="133">
        <v>40002</v>
      </c>
      <c r="E128" s="133">
        <f t="shared" si="18"/>
        <v>4926</v>
      </c>
      <c r="F128" s="114">
        <f t="shared" si="19"/>
        <v>0.14043790626069108</v>
      </c>
    </row>
    <row r="129" spans="1:6" x14ac:dyDescent="0.2">
      <c r="A129" s="115">
        <v>4</v>
      </c>
      <c r="B129" s="116" t="s">
        <v>116</v>
      </c>
      <c r="C129" s="133">
        <v>5649</v>
      </c>
      <c r="D129" s="133">
        <v>1469</v>
      </c>
      <c r="E129" s="133">
        <f t="shared" si="18"/>
        <v>-4180</v>
      </c>
      <c r="F129" s="114">
        <f t="shared" si="19"/>
        <v>-0.73995397415471764</v>
      </c>
    </row>
    <row r="130" spans="1:6" x14ac:dyDescent="0.2">
      <c r="A130" s="115">
        <v>5</v>
      </c>
      <c r="B130" s="116" t="s">
        <v>117</v>
      </c>
      <c r="C130" s="133">
        <v>707</v>
      </c>
      <c r="D130" s="133">
        <v>742</v>
      </c>
      <c r="E130" s="133">
        <f t="shared" si="18"/>
        <v>35</v>
      </c>
      <c r="F130" s="114">
        <f t="shared" si="19"/>
        <v>4.9504950495049507E-2</v>
      </c>
    </row>
    <row r="131" spans="1:6" x14ac:dyDescent="0.2">
      <c r="A131" s="115">
        <v>6</v>
      </c>
      <c r="B131" s="116" t="s">
        <v>118</v>
      </c>
      <c r="C131" s="133">
        <v>17982</v>
      </c>
      <c r="D131" s="133">
        <v>17781</v>
      </c>
      <c r="E131" s="133">
        <f t="shared" si="18"/>
        <v>-201</v>
      </c>
      <c r="F131" s="114">
        <f t="shared" si="19"/>
        <v>-1.1177844511177844E-2</v>
      </c>
    </row>
    <row r="132" spans="1:6" x14ac:dyDescent="0.2">
      <c r="A132" s="115">
        <v>7</v>
      </c>
      <c r="B132" s="116" t="s">
        <v>119</v>
      </c>
      <c r="C132" s="133">
        <v>71553</v>
      </c>
      <c r="D132" s="133">
        <v>64730</v>
      </c>
      <c r="E132" s="133">
        <f t="shared" si="18"/>
        <v>-6823</v>
      </c>
      <c r="F132" s="114">
        <f t="shared" si="19"/>
        <v>-9.5355890039551097E-2</v>
      </c>
    </row>
    <row r="133" spans="1:6" x14ac:dyDescent="0.2">
      <c r="A133" s="115">
        <v>8</v>
      </c>
      <c r="B133" s="116" t="s">
        <v>120</v>
      </c>
      <c r="C133" s="133">
        <v>1462</v>
      </c>
      <c r="D133" s="133">
        <v>1282</v>
      </c>
      <c r="E133" s="133">
        <f t="shared" si="18"/>
        <v>-180</v>
      </c>
      <c r="F133" s="114">
        <f t="shared" si="19"/>
        <v>-0.12311901504787962</v>
      </c>
    </row>
    <row r="134" spans="1:6" x14ac:dyDescent="0.2">
      <c r="A134" s="115">
        <v>9</v>
      </c>
      <c r="B134" s="116" t="s">
        <v>121</v>
      </c>
      <c r="C134" s="133">
        <v>10861</v>
      </c>
      <c r="D134" s="133">
        <v>11915</v>
      </c>
      <c r="E134" s="133">
        <f t="shared" si="18"/>
        <v>1054</v>
      </c>
      <c r="F134" s="114">
        <f t="shared" si="19"/>
        <v>9.7044471043182021E-2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231</v>
      </c>
      <c r="D136" s="133">
        <v>153</v>
      </c>
      <c r="E136" s="133">
        <f t="shared" si="18"/>
        <v>-78</v>
      </c>
      <c r="F136" s="114">
        <f t="shared" si="19"/>
        <v>-0.33766233766233766</v>
      </c>
    </row>
    <row r="137" spans="1:6" ht="15.75" x14ac:dyDescent="0.25">
      <c r="A137" s="117"/>
      <c r="B137" s="118" t="s">
        <v>142</v>
      </c>
      <c r="C137" s="134">
        <f>SUM(C126:C136)</f>
        <v>230370</v>
      </c>
      <c r="D137" s="134">
        <f>SUM(D126:D136)</f>
        <v>229455</v>
      </c>
      <c r="E137" s="134">
        <f t="shared" si="18"/>
        <v>-915</v>
      </c>
      <c r="F137" s="120">
        <f t="shared" si="19"/>
        <v>-3.9718713374137255E-3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9265065</v>
      </c>
      <c r="D142" s="113">
        <v>9763336</v>
      </c>
      <c r="E142" s="113">
        <f t="shared" ref="E142:E153" si="20">D142-C142</f>
        <v>498271</v>
      </c>
      <c r="F142" s="114">
        <f t="shared" ref="F142:F153" si="21">IF(C142=0,0,E142/C142)</f>
        <v>5.377954714834704E-2</v>
      </c>
    </row>
    <row r="143" spans="1:6" x14ac:dyDescent="0.2">
      <c r="A143" s="115">
        <v>2</v>
      </c>
      <c r="B143" s="116" t="s">
        <v>114</v>
      </c>
      <c r="C143" s="113">
        <v>1096262</v>
      </c>
      <c r="D143" s="113">
        <v>1426960</v>
      </c>
      <c r="E143" s="113">
        <f t="shared" si="20"/>
        <v>330698</v>
      </c>
      <c r="F143" s="114">
        <f t="shared" si="21"/>
        <v>0.3016596397576492</v>
      </c>
    </row>
    <row r="144" spans="1:6" x14ac:dyDescent="0.2">
      <c r="A144" s="115">
        <v>3</v>
      </c>
      <c r="B144" s="116" t="s">
        <v>115</v>
      </c>
      <c r="C144" s="113">
        <v>10463251</v>
      </c>
      <c r="D144" s="113">
        <v>12853422</v>
      </c>
      <c r="E144" s="113">
        <f t="shared" si="20"/>
        <v>2390171</v>
      </c>
      <c r="F144" s="114">
        <f t="shared" si="21"/>
        <v>0.22843483349486693</v>
      </c>
    </row>
    <row r="145" spans="1:6" x14ac:dyDescent="0.2">
      <c r="A145" s="115">
        <v>4</v>
      </c>
      <c r="B145" s="116" t="s">
        <v>116</v>
      </c>
      <c r="C145" s="113">
        <v>1361416</v>
      </c>
      <c r="D145" s="113">
        <v>269400</v>
      </c>
      <c r="E145" s="113">
        <f t="shared" si="20"/>
        <v>-1092016</v>
      </c>
      <c r="F145" s="114">
        <f t="shared" si="21"/>
        <v>-0.80211779500167468</v>
      </c>
    </row>
    <row r="146" spans="1:6" x14ac:dyDescent="0.2">
      <c r="A146" s="115">
        <v>5</v>
      </c>
      <c r="B146" s="116" t="s">
        <v>117</v>
      </c>
      <c r="C146" s="113">
        <v>243687</v>
      </c>
      <c r="D146" s="113">
        <v>258930</v>
      </c>
      <c r="E146" s="113">
        <f t="shared" si="20"/>
        <v>15243</v>
      </c>
      <c r="F146" s="114">
        <f t="shared" si="21"/>
        <v>6.25515517856923E-2</v>
      </c>
    </row>
    <row r="147" spans="1:6" x14ac:dyDescent="0.2">
      <c r="A147" s="115">
        <v>6</v>
      </c>
      <c r="B147" s="116" t="s">
        <v>118</v>
      </c>
      <c r="C147" s="113">
        <v>2547650</v>
      </c>
      <c r="D147" s="113">
        <v>2696856</v>
      </c>
      <c r="E147" s="113">
        <f t="shared" si="20"/>
        <v>149206</v>
      </c>
      <c r="F147" s="114">
        <f t="shared" si="21"/>
        <v>5.8566129570388398E-2</v>
      </c>
    </row>
    <row r="148" spans="1:6" x14ac:dyDescent="0.2">
      <c r="A148" s="115">
        <v>7</v>
      </c>
      <c r="B148" s="116" t="s">
        <v>119</v>
      </c>
      <c r="C148" s="113">
        <v>9789468</v>
      </c>
      <c r="D148" s="113">
        <v>9351814</v>
      </c>
      <c r="E148" s="113">
        <f t="shared" si="20"/>
        <v>-437654</v>
      </c>
      <c r="F148" s="114">
        <f t="shared" si="21"/>
        <v>-4.4706617356530511E-2</v>
      </c>
    </row>
    <row r="149" spans="1:6" x14ac:dyDescent="0.2">
      <c r="A149" s="115">
        <v>8</v>
      </c>
      <c r="B149" s="116" t="s">
        <v>120</v>
      </c>
      <c r="C149" s="113">
        <v>574624</v>
      </c>
      <c r="D149" s="113">
        <v>613935</v>
      </c>
      <c r="E149" s="113">
        <f t="shared" si="20"/>
        <v>39311</v>
      </c>
      <c r="F149" s="114">
        <f t="shared" si="21"/>
        <v>6.8411691819346213E-2</v>
      </c>
    </row>
    <row r="150" spans="1:6" x14ac:dyDescent="0.2">
      <c r="A150" s="115">
        <v>9</v>
      </c>
      <c r="B150" s="116" t="s">
        <v>121</v>
      </c>
      <c r="C150" s="113">
        <v>2620861</v>
      </c>
      <c r="D150" s="113">
        <v>2731280</v>
      </c>
      <c r="E150" s="113">
        <f t="shared" si="20"/>
        <v>110419</v>
      </c>
      <c r="F150" s="114">
        <f t="shared" si="21"/>
        <v>4.2130811210514409E-2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158693</v>
      </c>
      <c r="D152" s="113">
        <v>123102</v>
      </c>
      <c r="E152" s="113">
        <f t="shared" si="20"/>
        <v>-35591</v>
      </c>
      <c r="F152" s="114">
        <f t="shared" si="21"/>
        <v>-0.22427580296547422</v>
      </c>
    </row>
    <row r="153" spans="1:6" ht="33.75" customHeight="1" x14ac:dyDescent="0.25">
      <c r="A153" s="117"/>
      <c r="B153" s="118" t="s">
        <v>146</v>
      </c>
      <c r="C153" s="119">
        <f>SUM(C142:C152)</f>
        <v>38120977</v>
      </c>
      <c r="D153" s="119">
        <f>SUM(D142:D152)</f>
        <v>40089035</v>
      </c>
      <c r="E153" s="119">
        <f t="shared" si="20"/>
        <v>1968058</v>
      </c>
      <c r="F153" s="120">
        <f t="shared" si="21"/>
        <v>5.1626641153504536E-2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2943718</v>
      </c>
      <c r="D155" s="113">
        <v>2261948</v>
      </c>
      <c r="E155" s="113">
        <f t="shared" ref="E155:E166" si="22">D155-C155</f>
        <v>-681770</v>
      </c>
      <c r="F155" s="114">
        <f t="shared" ref="F155:F166" si="23">IF(C155=0,0,E155/C155)</f>
        <v>-0.23160166836633128</v>
      </c>
    </row>
    <row r="156" spans="1:6" x14ac:dyDescent="0.2">
      <c r="A156" s="115">
        <v>2</v>
      </c>
      <c r="B156" s="116" t="s">
        <v>114</v>
      </c>
      <c r="C156" s="113">
        <v>345171</v>
      </c>
      <c r="D156" s="113">
        <v>358103</v>
      </c>
      <c r="E156" s="113">
        <f t="shared" si="22"/>
        <v>12932</v>
      </c>
      <c r="F156" s="114">
        <f t="shared" si="23"/>
        <v>3.7465488120380912E-2</v>
      </c>
    </row>
    <row r="157" spans="1:6" x14ac:dyDescent="0.2">
      <c r="A157" s="115">
        <v>3</v>
      </c>
      <c r="B157" s="116" t="s">
        <v>115</v>
      </c>
      <c r="C157" s="113">
        <v>2977182</v>
      </c>
      <c r="D157" s="113">
        <v>3678697</v>
      </c>
      <c r="E157" s="113">
        <f t="shared" si="22"/>
        <v>701515</v>
      </c>
      <c r="F157" s="114">
        <f t="shared" si="23"/>
        <v>0.23563053921459959</v>
      </c>
    </row>
    <row r="158" spans="1:6" x14ac:dyDescent="0.2">
      <c r="A158" s="115">
        <v>4</v>
      </c>
      <c r="B158" s="116" t="s">
        <v>116</v>
      </c>
      <c r="C158" s="113">
        <v>577745</v>
      </c>
      <c r="D158" s="113">
        <v>72549</v>
      </c>
      <c r="E158" s="113">
        <f t="shared" si="22"/>
        <v>-505196</v>
      </c>
      <c r="F158" s="114">
        <f t="shared" si="23"/>
        <v>-0.87442729924101459</v>
      </c>
    </row>
    <row r="159" spans="1:6" x14ac:dyDescent="0.2">
      <c r="A159" s="115">
        <v>5</v>
      </c>
      <c r="B159" s="116" t="s">
        <v>117</v>
      </c>
      <c r="C159" s="113">
        <v>67787</v>
      </c>
      <c r="D159" s="113">
        <v>65920</v>
      </c>
      <c r="E159" s="113">
        <f t="shared" si="22"/>
        <v>-1867</v>
      </c>
      <c r="F159" s="114">
        <f t="shared" si="23"/>
        <v>-2.7542154100343722E-2</v>
      </c>
    </row>
    <row r="160" spans="1:6" x14ac:dyDescent="0.2">
      <c r="A160" s="115">
        <v>6</v>
      </c>
      <c r="B160" s="116" t="s">
        <v>118</v>
      </c>
      <c r="C160" s="113">
        <v>1423129</v>
      </c>
      <c r="D160" s="113">
        <v>1270620</v>
      </c>
      <c r="E160" s="113">
        <f t="shared" si="22"/>
        <v>-152509</v>
      </c>
      <c r="F160" s="114">
        <f t="shared" si="23"/>
        <v>-0.10716456484268116</v>
      </c>
    </row>
    <row r="161" spans="1:6" x14ac:dyDescent="0.2">
      <c r="A161" s="115">
        <v>7</v>
      </c>
      <c r="B161" s="116" t="s">
        <v>119</v>
      </c>
      <c r="C161" s="113">
        <v>4782192</v>
      </c>
      <c r="D161" s="113">
        <v>3916626</v>
      </c>
      <c r="E161" s="113">
        <f t="shared" si="22"/>
        <v>-865566</v>
      </c>
      <c r="F161" s="114">
        <f t="shared" si="23"/>
        <v>-0.18099775165865362</v>
      </c>
    </row>
    <row r="162" spans="1:6" x14ac:dyDescent="0.2">
      <c r="A162" s="115">
        <v>8</v>
      </c>
      <c r="B162" s="116" t="s">
        <v>120</v>
      </c>
      <c r="C162" s="113">
        <v>421447</v>
      </c>
      <c r="D162" s="113">
        <v>512680</v>
      </c>
      <c r="E162" s="113">
        <f t="shared" si="22"/>
        <v>91233</v>
      </c>
      <c r="F162" s="114">
        <f t="shared" si="23"/>
        <v>0.21647561852380015</v>
      </c>
    </row>
    <row r="163" spans="1:6" x14ac:dyDescent="0.2">
      <c r="A163" s="115">
        <v>9</v>
      </c>
      <c r="B163" s="116" t="s">
        <v>121</v>
      </c>
      <c r="C163" s="113">
        <v>232316</v>
      </c>
      <c r="D163" s="113">
        <v>1593082</v>
      </c>
      <c r="E163" s="113">
        <f t="shared" si="22"/>
        <v>1360766</v>
      </c>
      <c r="F163" s="114">
        <f t="shared" si="23"/>
        <v>5.857392517088793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32060</v>
      </c>
      <c r="D165" s="113">
        <v>33743</v>
      </c>
      <c r="E165" s="113">
        <f t="shared" si="22"/>
        <v>1683</v>
      </c>
      <c r="F165" s="114">
        <f t="shared" si="23"/>
        <v>5.2495321272613846E-2</v>
      </c>
    </row>
    <row r="166" spans="1:6" ht="33.75" customHeight="1" x14ac:dyDescent="0.25">
      <c r="A166" s="117"/>
      <c r="B166" s="118" t="s">
        <v>148</v>
      </c>
      <c r="C166" s="119">
        <f>SUM(C155:C165)</f>
        <v>13802747</v>
      </c>
      <c r="D166" s="119">
        <f>SUM(D155:D165)</f>
        <v>13763968</v>
      </c>
      <c r="E166" s="119">
        <f t="shared" si="22"/>
        <v>-38779</v>
      </c>
      <c r="F166" s="120">
        <f t="shared" si="23"/>
        <v>-2.8095132077694388E-3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7612</v>
      </c>
      <c r="D168" s="133">
        <v>7816</v>
      </c>
      <c r="E168" s="133">
        <f t="shared" ref="E168:E179" si="24">D168-C168</f>
        <v>204</v>
      </c>
      <c r="F168" s="114">
        <f t="shared" ref="F168:F179" si="25">IF(C168=0,0,E168/C168)</f>
        <v>2.6799789805570153E-2</v>
      </c>
    </row>
    <row r="169" spans="1:6" x14ac:dyDescent="0.2">
      <c r="A169" s="115">
        <v>2</v>
      </c>
      <c r="B169" s="116" t="s">
        <v>114</v>
      </c>
      <c r="C169" s="133">
        <v>922</v>
      </c>
      <c r="D169" s="133">
        <v>1062</v>
      </c>
      <c r="E169" s="133">
        <f t="shared" si="24"/>
        <v>140</v>
      </c>
      <c r="F169" s="114">
        <f t="shared" si="25"/>
        <v>0.15184381778741865</v>
      </c>
    </row>
    <row r="170" spans="1:6" x14ac:dyDescent="0.2">
      <c r="A170" s="115">
        <v>3</v>
      </c>
      <c r="B170" s="116" t="s">
        <v>115</v>
      </c>
      <c r="C170" s="133">
        <v>9822</v>
      </c>
      <c r="D170" s="133">
        <v>11635</v>
      </c>
      <c r="E170" s="133">
        <f t="shared" si="24"/>
        <v>1813</v>
      </c>
      <c r="F170" s="114">
        <f t="shared" si="25"/>
        <v>0.18458562410914275</v>
      </c>
    </row>
    <row r="171" spans="1:6" x14ac:dyDescent="0.2">
      <c r="A171" s="115">
        <v>4</v>
      </c>
      <c r="B171" s="116" t="s">
        <v>116</v>
      </c>
      <c r="C171" s="133">
        <v>1672</v>
      </c>
      <c r="D171" s="133">
        <v>221</v>
      </c>
      <c r="E171" s="133">
        <f t="shared" si="24"/>
        <v>-1451</v>
      </c>
      <c r="F171" s="114">
        <f t="shared" si="25"/>
        <v>-0.86782296650717705</v>
      </c>
    </row>
    <row r="172" spans="1:6" x14ac:dyDescent="0.2">
      <c r="A172" s="115">
        <v>5</v>
      </c>
      <c r="B172" s="116" t="s">
        <v>117</v>
      </c>
      <c r="C172" s="133">
        <v>246</v>
      </c>
      <c r="D172" s="133">
        <v>235</v>
      </c>
      <c r="E172" s="133">
        <f t="shared" si="24"/>
        <v>-11</v>
      </c>
      <c r="F172" s="114">
        <f t="shared" si="25"/>
        <v>-4.4715447154471545E-2</v>
      </c>
    </row>
    <row r="173" spans="1:6" x14ac:dyDescent="0.2">
      <c r="A173" s="115">
        <v>6</v>
      </c>
      <c r="B173" s="116" t="s">
        <v>118</v>
      </c>
      <c r="C173" s="133">
        <v>2437</v>
      </c>
      <c r="D173" s="133">
        <v>2382</v>
      </c>
      <c r="E173" s="133">
        <f t="shared" si="24"/>
        <v>-55</v>
      </c>
      <c r="F173" s="114">
        <f t="shared" si="25"/>
        <v>-2.2568732047599509E-2</v>
      </c>
    </row>
    <row r="174" spans="1:6" x14ac:dyDescent="0.2">
      <c r="A174" s="115">
        <v>7</v>
      </c>
      <c r="B174" s="116" t="s">
        <v>119</v>
      </c>
      <c r="C174" s="133">
        <v>9358</v>
      </c>
      <c r="D174" s="133">
        <v>8439</v>
      </c>
      <c r="E174" s="133">
        <f t="shared" si="24"/>
        <v>-919</v>
      </c>
      <c r="F174" s="114">
        <f t="shared" si="25"/>
        <v>-9.8204744603547764E-2</v>
      </c>
    </row>
    <row r="175" spans="1:6" x14ac:dyDescent="0.2">
      <c r="A175" s="115">
        <v>8</v>
      </c>
      <c r="B175" s="116" t="s">
        <v>120</v>
      </c>
      <c r="C175" s="133">
        <v>737</v>
      </c>
      <c r="D175" s="133">
        <v>692</v>
      </c>
      <c r="E175" s="133">
        <f t="shared" si="24"/>
        <v>-45</v>
      </c>
      <c r="F175" s="114">
        <f t="shared" si="25"/>
        <v>-6.1058344640434192E-2</v>
      </c>
    </row>
    <row r="176" spans="1:6" x14ac:dyDescent="0.2">
      <c r="A176" s="115">
        <v>9</v>
      </c>
      <c r="B176" s="116" t="s">
        <v>121</v>
      </c>
      <c r="C176" s="133">
        <v>2849</v>
      </c>
      <c r="D176" s="133">
        <v>3198</v>
      </c>
      <c r="E176" s="133">
        <f t="shared" si="24"/>
        <v>349</v>
      </c>
      <c r="F176" s="114">
        <f t="shared" si="25"/>
        <v>0.1224991224991225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157</v>
      </c>
      <c r="D178" s="133">
        <v>110</v>
      </c>
      <c r="E178" s="133">
        <f t="shared" si="24"/>
        <v>-47</v>
      </c>
      <c r="F178" s="114">
        <f t="shared" si="25"/>
        <v>-0.29936305732484075</v>
      </c>
    </row>
    <row r="179" spans="1:6" ht="33.75" customHeight="1" x14ac:dyDescent="0.25">
      <c r="A179" s="117"/>
      <c r="B179" s="118" t="s">
        <v>150</v>
      </c>
      <c r="C179" s="134">
        <f>SUM(C168:C178)</f>
        <v>35812</v>
      </c>
      <c r="D179" s="134">
        <f>SUM(D168:D178)</f>
        <v>35790</v>
      </c>
      <c r="E179" s="134">
        <f t="shared" si="24"/>
        <v>-22</v>
      </c>
      <c r="F179" s="120">
        <f t="shared" si="25"/>
        <v>-6.1431922260694741E-4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21604919</v>
      </c>
      <c r="D15" s="157">
        <v>22590903</v>
      </c>
      <c r="E15" s="157">
        <f>+D15-C15</f>
        <v>985984</v>
      </c>
      <c r="F15" s="161">
        <f>IF(C15=0,0,E15/C15)</f>
        <v>4.5637014422502578E-2</v>
      </c>
    </row>
    <row r="16" spans="1:6" ht="15" customHeight="1" x14ac:dyDescent="0.2">
      <c r="A16" s="147">
        <v>2</v>
      </c>
      <c r="B16" s="160" t="s">
        <v>157</v>
      </c>
      <c r="C16" s="157">
        <v>7857318</v>
      </c>
      <c r="D16" s="157">
        <v>8984103</v>
      </c>
      <c r="E16" s="157">
        <f>+D16-C16</f>
        <v>1126785</v>
      </c>
      <c r="F16" s="161">
        <f>IF(C16=0,0,E16/C16)</f>
        <v>0.14340580335427433</v>
      </c>
    </row>
    <row r="17" spans="1:6" ht="15" customHeight="1" x14ac:dyDescent="0.2">
      <c r="A17" s="147">
        <v>3</v>
      </c>
      <c r="B17" s="160" t="s">
        <v>158</v>
      </c>
      <c r="C17" s="157">
        <v>25466493</v>
      </c>
      <c r="D17" s="157">
        <v>26897491</v>
      </c>
      <c r="E17" s="157">
        <f>+D17-C17</f>
        <v>1430998</v>
      </c>
      <c r="F17" s="161">
        <f>IF(C17=0,0,E17/C17)</f>
        <v>5.6191404132481061E-2</v>
      </c>
    </row>
    <row r="18" spans="1:6" ht="15.75" customHeight="1" x14ac:dyDescent="0.25">
      <c r="A18" s="147"/>
      <c r="B18" s="162" t="s">
        <v>159</v>
      </c>
      <c r="C18" s="158">
        <f>SUM(C15:C17)</f>
        <v>54928730</v>
      </c>
      <c r="D18" s="158">
        <f>SUM(D15:D17)</f>
        <v>58472497</v>
      </c>
      <c r="E18" s="158">
        <f>+D18-C18</f>
        <v>3543767</v>
      </c>
      <c r="F18" s="159">
        <f>IF(C18=0,0,E18/C18)</f>
        <v>6.4515727925987004E-2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6508150</v>
      </c>
      <c r="D21" s="157">
        <v>6262671</v>
      </c>
      <c r="E21" s="157">
        <f>+D21-C21</f>
        <v>-245479</v>
      </c>
      <c r="F21" s="161">
        <f>IF(C21=0,0,E21/C21)</f>
        <v>-3.771870654487066E-2</v>
      </c>
    </row>
    <row r="22" spans="1:6" ht="15" customHeight="1" x14ac:dyDescent="0.2">
      <c r="A22" s="147">
        <v>2</v>
      </c>
      <c r="B22" s="160" t="s">
        <v>162</v>
      </c>
      <c r="C22" s="157">
        <v>2366896</v>
      </c>
      <c r="D22" s="157">
        <v>2490581</v>
      </c>
      <c r="E22" s="157">
        <f>+D22-C22</f>
        <v>123685</v>
      </c>
      <c r="F22" s="161">
        <f>IF(C22=0,0,E22/C22)</f>
        <v>5.2256203905875036E-2</v>
      </c>
    </row>
    <row r="23" spans="1:6" ht="15" customHeight="1" x14ac:dyDescent="0.2">
      <c r="A23" s="147">
        <v>3</v>
      </c>
      <c r="B23" s="160" t="s">
        <v>163</v>
      </c>
      <c r="C23" s="157">
        <v>7671389</v>
      </c>
      <c r="D23" s="157">
        <v>7456548</v>
      </c>
      <c r="E23" s="157">
        <f>+D23-C23</f>
        <v>-214841</v>
      </c>
      <c r="F23" s="161">
        <f>IF(C23=0,0,E23/C23)</f>
        <v>-2.8005488966861152E-2</v>
      </c>
    </row>
    <row r="24" spans="1:6" ht="15.75" customHeight="1" x14ac:dyDescent="0.25">
      <c r="A24" s="147"/>
      <c r="B24" s="162" t="s">
        <v>164</v>
      </c>
      <c r="C24" s="158">
        <f>SUM(C21:C23)</f>
        <v>16546435</v>
      </c>
      <c r="D24" s="158">
        <f>SUM(D21:D23)</f>
        <v>16209800</v>
      </c>
      <c r="E24" s="158">
        <f>+D24-C24</f>
        <v>-336635</v>
      </c>
      <c r="F24" s="159">
        <f>IF(C24=0,0,E24/C24)</f>
        <v>-2.0344865827593678E-2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639573</v>
      </c>
      <c r="D27" s="157">
        <v>613655</v>
      </c>
      <c r="E27" s="157">
        <f>+D27-C27</f>
        <v>-25918</v>
      </c>
      <c r="F27" s="161">
        <f>IF(C27=0,0,E27/C27)</f>
        <v>-4.0523912047569235E-2</v>
      </c>
    </row>
    <row r="28" spans="1:6" ht="15" customHeight="1" x14ac:dyDescent="0.2">
      <c r="A28" s="147">
        <v>2</v>
      </c>
      <c r="B28" s="160" t="s">
        <v>167</v>
      </c>
      <c r="C28" s="157">
        <v>3306463</v>
      </c>
      <c r="D28" s="157">
        <v>4669548</v>
      </c>
      <c r="E28" s="157">
        <f>+D28-C28</f>
        <v>1363085</v>
      </c>
      <c r="F28" s="161">
        <f>IF(C28=0,0,E28/C28)</f>
        <v>0.41224867781674857</v>
      </c>
    </row>
    <row r="29" spans="1:6" ht="15" customHeight="1" x14ac:dyDescent="0.2">
      <c r="A29" s="147">
        <v>3</v>
      </c>
      <c r="B29" s="160" t="s">
        <v>168</v>
      </c>
      <c r="C29" s="157">
        <v>438753</v>
      </c>
      <c r="D29" s="157">
        <v>234519</v>
      </c>
      <c r="E29" s="157">
        <f>+D29-C29</f>
        <v>-204234</v>
      </c>
      <c r="F29" s="161">
        <f>IF(C29=0,0,E29/C29)</f>
        <v>-0.46548741547066347</v>
      </c>
    </row>
    <row r="30" spans="1:6" ht="15.75" customHeight="1" x14ac:dyDescent="0.25">
      <c r="A30" s="147"/>
      <c r="B30" s="162" t="s">
        <v>169</v>
      </c>
      <c r="C30" s="158">
        <f>SUM(C27:C29)</f>
        <v>4384789</v>
      </c>
      <c r="D30" s="158">
        <f>SUM(D27:D29)</f>
        <v>5517722</v>
      </c>
      <c r="E30" s="158">
        <f>+D30-C30</f>
        <v>1132933</v>
      </c>
      <c r="F30" s="159">
        <f>IF(C30=0,0,E30/C30)</f>
        <v>0.25837799720807547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8625979</v>
      </c>
      <c r="D33" s="157">
        <v>8819965</v>
      </c>
      <c r="E33" s="157">
        <f>+D33-C33</f>
        <v>193986</v>
      </c>
      <c r="F33" s="161">
        <f>IF(C33=0,0,E33/C33)</f>
        <v>2.2488577818239531E-2</v>
      </c>
    </row>
    <row r="34" spans="1:6" ht="15" customHeight="1" x14ac:dyDescent="0.2">
      <c r="A34" s="147">
        <v>2</v>
      </c>
      <c r="B34" s="160" t="s">
        <v>173</v>
      </c>
      <c r="C34" s="157">
        <v>3646867</v>
      </c>
      <c r="D34" s="157">
        <v>3700756</v>
      </c>
      <c r="E34" s="157">
        <f>+D34-C34</f>
        <v>53889</v>
      </c>
      <c r="F34" s="161">
        <f>IF(C34=0,0,E34/C34)</f>
        <v>1.4776793340694903E-2</v>
      </c>
    </row>
    <row r="35" spans="1:6" ht="15.75" customHeight="1" x14ac:dyDescent="0.25">
      <c r="A35" s="147"/>
      <c r="B35" s="162" t="s">
        <v>174</v>
      </c>
      <c r="C35" s="158">
        <f>SUM(C33:C34)</f>
        <v>12272846</v>
      </c>
      <c r="D35" s="158">
        <f>SUM(D33:D34)</f>
        <v>12520721</v>
      </c>
      <c r="E35" s="158">
        <f>+D35-C35</f>
        <v>247875</v>
      </c>
      <c r="F35" s="159">
        <f>IF(C35=0,0,E35/C35)</f>
        <v>2.0197026834688547E-2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3121665</v>
      </c>
      <c r="D38" s="157">
        <v>3129852</v>
      </c>
      <c r="E38" s="157">
        <f>+D38-C38</f>
        <v>8187</v>
      </c>
      <c r="F38" s="161">
        <f>IF(C38=0,0,E38/C38)</f>
        <v>2.6226388802129633E-3</v>
      </c>
    </row>
    <row r="39" spans="1:6" ht="15" customHeight="1" x14ac:dyDescent="0.2">
      <c r="A39" s="147">
        <v>2</v>
      </c>
      <c r="B39" s="160" t="s">
        <v>178</v>
      </c>
      <c r="C39" s="157">
        <v>2869560</v>
      </c>
      <c r="D39" s="157">
        <v>2846058</v>
      </c>
      <c r="E39" s="157">
        <f>+D39-C39</f>
        <v>-23502</v>
      </c>
      <c r="F39" s="161">
        <f>IF(C39=0,0,E39/C39)</f>
        <v>-8.1901058001923634E-3</v>
      </c>
    </row>
    <row r="40" spans="1:6" ht="15" customHeight="1" x14ac:dyDescent="0.2">
      <c r="A40" s="147">
        <v>3</v>
      </c>
      <c r="B40" s="160" t="s">
        <v>179</v>
      </c>
      <c r="C40" s="157">
        <v>69230</v>
      </c>
      <c r="D40" s="157">
        <v>74165</v>
      </c>
      <c r="E40" s="157">
        <f>+D40-C40</f>
        <v>4935</v>
      </c>
      <c r="F40" s="161">
        <f>IF(C40=0,0,E40/C40)</f>
        <v>7.1284125379170879E-2</v>
      </c>
    </row>
    <row r="41" spans="1:6" ht="15.75" customHeight="1" x14ac:dyDescent="0.25">
      <c r="A41" s="147"/>
      <c r="B41" s="162" t="s">
        <v>180</v>
      </c>
      <c r="C41" s="158">
        <f>SUM(C38:C40)</f>
        <v>6060455</v>
      </c>
      <c r="D41" s="158">
        <f>SUM(D38:D40)</f>
        <v>6050075</v>
      </c>
      <c r="E41" s="158">
        <f>+D41-C41</f>
        <v>-10380</v>
      </c>
      <c r="F41" s="159">
        <f>IF(C41=0,0,E41/C41)</f>
        <v>-1.712742690111551E-3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3125364</v>
      </c>
      <c r="D44" s="157">
        <v>0</v>
      </c>
      <c r="E44" s="157">
        <f>+D44-C44</f>
        <v>-3125364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264153</v>
      </c>
      <c r="D47" s="157">
        <v>250825</v>
      </c>
      <c r="E47" s="157">
        <f>+D47-C47</f>
        <v>-13328</v>
      </c>
      <c r="F47" s="161">
        <f>IF(C47=0,0,E47/C47)</f>
        <v>-5.0455607167058485E-2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1748531</v>
      </c>
      <c r="D50" s="157">
        <v>1842449</v>
      </c>
      <c r="E50" s="157">
        <f>+D50-C50</f>
        <v>93918</v>
      </c>
      <c r="F50" s="161">
        <f>IF(C50=0,0,E50/C50)</f>
        <v>5.371251639233162E-2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50888</v>
      </c>
      <c r="D53" s="157">
        <v>58435</v>
      </c>
      <c r="E53" s="157">
        <f t="shared" ref="E53:E59" si="0">+D53-C53</f>
        <v>7547</v>
      </c>
      <c r="F53" s="161">
        <f t="shared" ref="F53:F59" si="1">IF(C53=0,0,E53/C53)</f>
        <v>0.14830608394906461</v>
      </c>
    </row>
    <row r="54" spans="1:6" ht="15" customHeight="1" x14ac:dyDescent="0.2">
      <c r="A54" s="147">
        <v>2</v>
      </c>
      <c r="B54" s="160" t="s">
        <v>189</v>
      </c>
      <c r="C54" s="157">
        <v>462973</v>
      </c>
      <c r="D54" s="157">
        <v>474363</v>
      </c>
      <c r="E54" s="157">
        <f t="shared" si="0"/>
        <v>11390</v>
      </c>
      <c r="F54" s="161">
        <f t="shared" si="1"/>
        <v>2.4601866631531428E-2</v>
      </c>
    </row>
    <row r="55" spans="1:6" ht="15" customHeight="1" x14ac:dyDescent="0.2">
      <c r="A55" s="147">
        <v>3</v>
      </c>
      <c r="B55" s="160" t="s">
        <v>190</v>
      </c>
      <c r="C55" s="157">
        <v>11267</v>
      </c>
      <c r="D55" s="157">
        <v>15980</v>
      </c>
      <c r="E55" s="157">
        <f t="shared" si="0"/>
        <v>4713</v>
      </c>
      <c r="F55" s="161">
        <f t="shared" si="1"/>
        <v>0.41830123369131089</v>
      </c>
    </row>
    <row r="56" spans="1:6" ht="15" customHeight="1" x14ac:dyDescent="0.2">
      <c r="A56" s="147">
        <v>4</v>
      </c>
      <c r="B56" s="160" t="s">
        <v>191</v>
      </c>
      <c r="C56" s="157">
        <v>1300775</v>
      </c>
      <c r="D56" s="157">
        <v>1242732</v>
      </c>
      <c r="E56" s="157">
        <f t="shared" si="0"/>
        <v>-58043</v>
      </c>
      <c r="F56" s="161">
        <f t="shared" si="1"/>
        <v>-4.4621860044973191E-2</v>
      </c>
    </row>
    <row r="57" spans="1:6" ht="15" customHeight="1" x14ac:dyDescent="0.2">
      <c r="A57" s="147">
        <v>5</v>
      </c>
      <c r="B57" s="160" t="s">
        <v>192</v>
      </c>
      <c r="C57" s="157">
        <v>260422</v>
      </c>
      <c r="D57" s="157">
        <v>233223</v>
      </c>
      <c r="E57" s="157">
        <f t="shared" si="0"/>
        <v>-27199</v>
      </c>
      <c r="F57" s="161">
        <f t="shared" si="1"/>
        <v>-0.10444202102740936</v>
      </c>
    </row>
    <row r="58" spans="1:6" ht="15" customHeight="1" x14ac:dyDescent="0.2">
      <c r="A58" s="147">
        <v>6</v>
      </c>
      <c r="B58" s="160" t="s">
        <v>193</v>
      </c>
      <c r="C58" s="157">
        <v>51565</v>
      </c>
      <c r="D58" s="157">
        <v>53835</v>
      </c>
      <c r="E58" s="157">
        <f t="shared" si="0"/>
        <v>2270</v>
      </c>
      <c r="F58" s="161">
        <f t="shared" si="1"/>
        <v>4.4022108019005142E-2</v>
      </c>
    </row>
    <row r="59" spans="1:6" ht="15.75" customHeight="1" x14ac:dyDescent="0.25">
      <c r="A59" s="147"/>
      <c r="B59" s="162" t="s">
        <v>194</v>
      </c>
      <c r="C59" s="158">
        <f>SUM(C53:C58)</f>
        <v>2137890</v>
      </c>
      <c r="D59" s="158">
        <f>SUM(D53:D58)</f>
        <v>2078568</v>
      </c>
      <c r="E59" s="158">
        <f t="shared" si="0"/>
        <v>-59322</v>
      </c>
      <c r="F59" s="159">
        <f t="shared" si="1"/>
        <v>-2.774791967781317E-2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131256</v>
      </c>
      <c r="D62" s="157">
        <v>109008</v>
      </c>
      <c r="E62" s="157">
        <f t="shared" ref="E62:E90" si="2">+D62-C62</f>
        <v>-22248</v>
      </c>
      <c r="F62" s="161">
        <f t="shared" ref="F62:F90" si="3">IF(C62=0,0,E62/C62)</f>
        <v>-0.16950082281952825</v>
      </c>
    </row>
    <row r="63" spans="1:6" ht="15" customHeight="1" x14ac:dyDescent="0.2">
      <c r="A63" s="147">
        <v>2</v>
      </c>
      <c r="B63" s="160" t="s">
        <v>198</v>
      </c>
      <c r="C63" s="157">
        <v>257120</v>
      </c>
      <c r="D63" s="157">
        <v>253533</v>
      </c>
      <c r="E63" s="157">
        <f t="shared" si="2"/>
        <v>-3587</v>
      </c>
      <c r="F63" s="161">
        <f t="shared" si="3"/>
        <v>-1.3950684505289359E-2</v>
      </c>
    </row>
    <row r="64" spans="1:6" ht="15" customHeight="1" x14ac:dyDescent="0.2">
      <c r="A64" s="147">
        <v>3</v>
      </c>
      <c r="B64" s="160" t="s">
        <v>199</v>
      </c>
      <c r="C64" s="157">
        <v>466384</v>
      </c>
      <c r="D64" s="157">
        <v>570512</v>
      </c>
      <c r="E64" s="157">
        <f t="shared" si="2"/>
        <v>104128</v>
      </c>
      <c r="F64" s="161">
        <f t="shared" si="3"/>
        <v>0.22326666437956705</v>
      </c>
    </row>
    <row r="65" spans="1:6" ht="15" customHeight="1" x14ac:dyDescent="0.2">
      <c r="A65" s="147">
        <v>4</v>
      </c>
      <c r="B65" s="160" t="s">
        <v>200</v>
      </c>
      <c r="C65" s="157">
        <v>330293</v>
      </c>
      <c r="D65" s="157">
        <v>359416</v>
      </c>
      <c r="E65" s="157">
        <f t="shared" si="2"/>
        <v>29123</v>
      </c>
      <c r="F65" s="161">
        <f t="shared" si="3"/>
        <v>8.8173228012703872E-2</v>
      </c>
    </row>
    <row r="66" spans="1:6" ht="15" customHeight="1" x14ac:dyDescent="0.2">
      <c r="A66" s="147">
        <v>5</v>
      </c>
      <c r="B66" s="160" t="s">
        <v>201</v>
      </c>
      <c r="C66" s="157">
        <v>1304916</v>
      </c>
      <c r="D66" s="157">
        <v>1297634</v>
      </c>
      <c r="E66" s="157">
        <f t="shared" si="2"/>
        <v>-7282</v>
      </c>
      <c r="F66" s="161">
        <f t="shared" si="3"/>
        <v>-5.5804358288196326E-3</v>
      </c>
    </row>
    <row r="67" spans="1:6" ht="15" customHeight="1" x14ac:dyDescent="0.2">
      <c r="A67" s="147">
        <v>6</v>
      </c>
      <c r="B67" s="160" t="s">
        <v>202</v>
      </c>
      <c r="C67" s="157">
        <v>990352</v>
      </c>
      <c r="D67" s="157">
        <v>1103507</v>
      </c>
      <c r="E67" s="157">
        <f t="shared" si="2"/>
        <v>113155</v>
      </c>
      <c r="F67" s="161">
        <f t="shared" si="3"/>
        <v>0.11425735496066045</v>
      </c>
    </row>
    <row r="68" spans="1:6" ht="15" customHeight="1" x14ac:dyDescent="0.2">
      <c r="A68" s="147">
        <v>7</v>
      </c>
      <c r="B68" s="160" t="s">
        <v>203</v>
      </c>
      <c r="C68" s="157">
        <v>1942055</v>
      </c>
      <c r="D68" s="157">
        <v>2525670</v>
      </c>
      <c r="E68" s="157">
        <f t="shared" si="2"/>
        <v>583615</v>
      </c>
      <c r="F68" s="161">
        <f t="shared" si="3"/>
        <v>0.30051414609781907</v>
      </c>
    </row>
    <row r="69" spans="1:6" ht="15" customHeight="1" x14ac:dyDescent="0.2">
      <c r="A69" s="147">
        <v>8</v>
      </c>
      <c r="B69" s="160" t="s">
        <v>204</v>
      </c>
      <c r="C69" s="157">
        <v>270076</v>
      </c>
      <c r="D69" s="157">
        <v>283124</v>
      </c>
      <c r="E69" s="157">
        <f t="shared" si="2"/>
        <v>13048</v>
      </c>
      <c r="F69" s="161">
        <f t="shared" si="3"/>
        <v>4.8312326900576137E-2</v>
      </c>
    </row>
    <row r="70" spans="1:6" ht="15" customHeight="1" x14ac:dyDescent="0.2">
      <c r="A70" s="147">
        <v>9</v>
      </c>
      <c r="B70" s="160" t="s">
        <v>205</v>
      </c>
      <c r="C70" s="157">
        <v>60934</v>
      </c>
      <c r="D70" s="157">
        <v>33726</v>
      </c>
      <c r="E70" s="157">
        <f t="shared" si="2"/>
        <v>-27208</v>
      </c>
      <c r="F70" s="161">
        <f t="shared" si="3"/>
        <v>-0.44651590245183315</v>
      </c>
    </row>
    <row r="71" spans="1:6" ht="15" customHeight="1" x14ac:dyDescent="0.2">
      <c r="A71" s="147">
        <v>10</v>
      </c>
      <c r="B71" s="160" t="s">
        <v>206</v>
      </c>
      <c r="C71" s="157">
        <v>60224</v>
      </c>
      <c r="D71" s="157">
        <v>166304</v>
      </c>
      <c r="E71" s="157">
        <f t="shared" si="2"/>
        <v>106080</v>
      </c>
      <c r="F71" s="161">
        <f t="shared" si="3"/>
        <v>1.7614240170031881</v>
      </c>
    </row>
    <row r="72" spans="1:6" ht="15" customHeight="1" x14ac:dyDescent="0.2">
      <c r="A72" s="147">
        <v>11</v>
      </c>
      <c r="B72" s="160" t="s">
        <v>207</v>
      </c>
      <c r="C72" s="157">
        <v>209737</v>
      </c>
      <c r="D72" s="157">
        <v>208552</v>
      </c>
      <c r="E72" s="157">
        <f t="shared" si="2"/>
        <v>-1185</v>
      </c>
      <c r="F72" s="161">
        <f t="shared" si="3"/>
        <v>-5.6499330113427768E-3</v>
      </c>
    </row>
    <row r="73" spans="1:6" ht="15" customHeight="1" x14ac:dyDescent="0.2">
      <c r="A73" s="147">
        <v>12</v>
      </c>
      <c r="B73" s="160" t="s">
        <v>208</v>
      </c>
      <c r="C73" s="157">
        <v>652487</v>
      </c>
      <c r="D73" s="157">
        <v>736066</v>
      </c>
      <c r="E73" s="157">
        <f t="shared" si="2"/>
        <v>83579</v>
      </c>
      <c r="F73" s="161">
        <f t="shared" si="3"/>
        <v>0.12809297349985516</v>
      </c>
    </row>
    <row r="74" spans="1:6" ht="15" customHeight="1" x14ac:dyDescent="0.2">
      <c r="A74" s="147">
        <v>13</v>
      </c>
      <c r="B74" s="160" t="s">
        <v>209</v>
      </c>
      <c r="C74" s="157">
        <v>106523</v>
      </c>
      <c r="D74" s="157">
        <v>145149</v>
      </c>
      <c r="E74" s="157">
        <f t="shared" si="2"/>
        <v>38626</v>
      </c>
      <c r="F74" s="161">
        <f t="shared" si="3"/>
        <v>0.36260713648695586</v>
      </c>
    </row>
    <row r="75" spans="1:6" ht="15" customHeight="1" x14ac:dyDescent="0.2">
      <c r="A75" s="147">
        <v>14</v>
      </c>
      <c r="B75" s="160" t="s">
        <v>210</v>
      </c>
      <c r="C75" s="157">
        <v>141465</v>
      </c>
      <c r="D75" s="157">
        <v>146736</v>
      </c>
      <c r="E75" s="157">
        <f t="shared" si="2"/>
        <v>5271</v>
      </c>
      <c r="F75" s="161">
        <f t="shared" si="3"/>
        <v>3.7260099671296787E-2</v>
      </c>
    </row>
    <row r="76" spans="1:6" ht="15" customHeight="1" x14ac:dyDescent="0.2">
      <c r="A76" s="147">
        <v>15</v>
      </c>
      <c r="B76" s="160" t="s">
        <v>211</v>
      </c>
      <c r="C76" s="157">
        <v>266455</v>
      </c>
      <c r="D76" s="157">
        <v>250728</v>
      </c>
      <c r="E76" s="157">
        <f t="shared" si="2"/>
        <v>-15727</v>
      </c>
      <c r="F76" s="161">
        <f t="shared" si="3"/>
        <v>-5.9023099585295828E-2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1336103</v>
      </c>
      <c r="D78" s="157">
        <v>1336296</v>
      </c>
      <c r="E78" s="157">
        <f t="shared" si="2"/>
        <v>193</v>
      </c>
      <c r="F78" s="161">
        <f t="shared" si="3"/>
        <v>1.4444994135931138E-4</v>
      </c>
    </row>
    <row r="79" spans="1:6" ht="15" customHeight="1" x14ac:dyDescent="0.2">
      <c r="A79" s="147">
        <v>18</v>
      </c>
      <c r="B79" s="160" t="s">
        <v>214</v>
      </c>
      <c r="C79" s="157">
        <v>374457</v>
      </c>
      <c r="D79" s="157">
        <v>437390</v>
      </c>
      <c r="E79" s="157">
        <f t="shared" si="2"/>
        <v>62933</v>
      </c>
      <c r="F79" s="161">
        <f t="shared" si="3"/>
        <v>0.1680646910059099</v>
      </c>
    </row>
    <row r="80" spans="1:6" ht="15" customHeight="1" x14ac:dyDescent="0.2">
      <c r="A80" s="147">
        <v>19</v>
      </c>
      <c r="B80" s="160" t="s">
        <v>215</v>
      </c>
      <c r="C80" s="157">
        <v>1749668</v>
      </c>
      <c r="D80" s="157">
        <v>1822885</v>
      </c>
      <c r="E80" s="157">
        <f t="shared" si="2"/>
        <v>73217</v>
      </c>
      <c r="F80" s="161">
        <f t="shared" si="3"/>
        <v>4.1846224540884325E-2</v>
      </c>
    </row>
    <row r="81" spans="1:6" ht="15" customHeight="1" x14ac:dyDescent="0.2">
      <c r="A81" s="147">
        <v>20</v>
      </c>
      <c r="B81" s="160" t="s">
        <v>216</v>
      </c>
      <c r="C81" s="157">
        <v>2641805</v>
      </c>
      <c r="D81" s="157">
        <v>2290720</v>
      </c>
      <c r="E81" s="157">
        <f t="shared" si="2"/>
        <v>-351085</v>
      </c>
      <c r="F81" s="161">
        <f t="shared" si="3"/>
        <v>-0.13289587990029544</v>
      </c>
    </row>
    <row r="82" spans="1:6" ht="15" customHeight="1" x14ac:dyDescent="0.2">
      <c r="A82" s="147">
        <v>21</v>
      </c>
      <c r="B82" s="160" t="s">
        <v>217</v>
      </c>
      <c r="C82" s="157">
        <v>535277</v>
      </c>
      <c r="D82" s="157">
        <v>491282</v>
      </c>
      <c r="E82" s="157">
        <f t="shared" si="2"/>
        <v>-43995</v>
      </c>
      <c r="F82" s="161">
        <f t="shared" si="3"/>
        <v>-8.2191089846939056E-2</v>
      </c>
    </row>
    <row r="83" spans="1:6" ht="15" customHeight="1" x14ac:dyDescent="0.2">
      <c r="A83" s="147">
        <v>22</v>
      </c>
      <c r="B83" s="160" t="s">
        <v>218</v>
      </c>
      <c r="C83" s="157">
        <v>445308</v>
      </c>
      <c r="D83" s="157">
        <v>393613</v>
      </c>
      <c r="E83" s="157">
        <f t="shared" si="2"/>
        <v>-51695</v>
      </c>
      <c r="F83" s="161">
        <f t="shared" si="3"/>
        <v>-0.11608819064557564</v>
      </c>
    </row>
    <row r="84" spans="1:6" ht="15" customHeight="1" x14ac:dyDescent="0.2">
      <c r="A84" s="147">
        <v>23</v>
      </c>
      <c r="B84" s="160" t="s">
        <v>219</v>
      </c>
      <c r="C84" s="157">
        <v>511165</v>
      </c>
      <c r="D84" s="157">
        <v>519379</v>
      </c>
      <c r="E84" s="157">
        <f t="shared" si="2"/>
        <v>8214</v>
      </c>
      <c r="F84" s="161">
        <f t="shared" si="3"/>
        <v>1.6069175315211331E-2</v>
      </c>
    </row>
    <row r="85" spans="1:6" ht="15" customHeight="1" x14ac:dyDescent="0.2">
      <c r="A85" s="147">
        <v>24</v>
      </c>
      <c r="B85" s="160" t="s">
        <v>220</v>
      </c>
      <c r="C85" s="157">
        <v>29869</v>
      </c>
      <c r="D85" s="157">
        <v>29693</v>
      </c>
      <c r="E85" s="157">
        <f t="shared" si="2"/>
        <v>-176</v>
      </c>
      <c r="F85" s="161">
        <f t="shared" si="3"/>
        <v>-5.8923967993571927E-3</v>
      </c>
    </row>
    <row r="86" spans="1:6" ht="15" customHeight="1" x14ac:dyDescent="0.2">
      <c r="A86" s="147">
        <v>25</v>
      </c>
      <c r="B86" s="160" t="s">
        <v>221</v>
      </c>
      <c r="C86" s="157">
        <v>134908</v>
      </c>
      <c r="D86" s="157">
        <v>154468</v>
      </c>
      <c r="E86" s="157">
        <f t="shared" si="2"/>
        <v>19560</v>
      </c>
      <c r="F86" s="161">
        <f t="shared" si="3"/>
        <v>0.14498769531829098</v>
      </c>
    </row>
    <row r="87" spans="1:6" ht="15" customHeight="1" x14ac:dyDescent="0.2">
      <c r="A87" s="147">
        <v>26</v>
      </c>
      <c r="B87" s="160" t="s">
        <v>222</v>
      </c>
      <c r="C87" s="157">
        <v>874035</v>
      </c>
      <c r="D87" s="157">
        <v>1033842</v>
      </c>
      <c r="E87" s="157">
        <f t="shared" si="2"/>
        <v>159807</v>
      </c>
      <c r="F87" s="161">
        <f t="shared" si="3"/>
        <v>0.18283821586092089</v>
      </c>
    </row>
    <row r="88" spans="1:6" ht="15" customHeight="1" x14ac:dyDescent="0.2">
      <c r="A88" s="147">
        <v>27</v>
      </c>
      <c r="B88" s="160" t="s">
        <v>223</v>
      </c>
      <c r="C88" s="157">
        <v>3760818</v>
      </c>
      <c r="D88" s="157">
        <v>4124487</v>
      </c>
      <c r="E88" s="157">
        <f t="shared" si="2"/>
        <v>363669</v>
      </c>
      <c r="F88" s="161">
        <f t="shared" si="3"/>
        <v>9.6699441451301285E-2</v>
      </c>
    </row>
    <row r="89" spans="1:6" ht="15" customHeight="1" x14ac:dyDescent="0.2">
      <c r="A89" s="147">
        <v>28</v>
      </c>
      <c r="B89" s="160" t="s">
        <v>224</v>
      </c>
      <c r="C89" s="157">
        <v>780721</v>
      </c>
      <c r="D89" s="157">
        <v>1110989</v>
      </c>
      <c r="E89" s="157">
        <f t="shared" si="2"/>
        <v>330268</v>
      </c>
      <c r="F89" s="161">
        <f t="shared" si="3"/>
        <v>0.42302948172266402</v>
      </c>
    </row>
    <row r="90" spans="1:6" ht="15.75" customHeight="1" x14ac:dyDescent="0.25">
      <c r="A90" s="147"/>
      <c r="B90" s="162" t="s">
        <v>225</v>
      </c>
      <c r="C90" s="158">
        <f>SUM(C62:C89)</f>
        <v>20364411</v>
      </c>
      <c r="D90" s="158">
        <f>SUM(D62:D89)</f>
        <v>21934709</v>
      </c>
      <c r="E90" s="158">
        <f t="shared" si="2"/>
        <v>1570298</v>
      </c>
      <c r="F90" s="159">
        <f t="shared" si="3"/>
        <v>7.7109914939351792E-2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49077</v>
      </c>
      <c r="D93" s="157">
        <v>22619</v>
      </c>
      <c r="E93" s="157">
        <f>+D93-C93</f>
        <v>-26458</v>
      </c>
      <c r="F93" s="161">
        <f>IF(C93=0,0,E93/C93)</f>
        <v>-0.53911200766142997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121882681</v>
      </c>
      <c r="D95" s="158">
        <f>+D93+D90+D59+D50+D47+D44+D41+D35+D30+D24+D18</f>
        <v>124899985</v>
      </c>
      <c r="E95" s="158">
        <f>+D95-C95</f>
        <v>3017304</v>
      </c>
      <c r="F95" s="159">
        <f>IF(C95=0,0,E95/C95)</f>
        <v>2.4755805954087932E-2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32240541</v>
      </c>
      <c r="D103" s="157">
        <v>29263477</v>
      </c>
      <c r="E103" s="157">
        <f t="shared" ref="E103:E121" si="4">D103-C103</f>
        <v>-2977064</v>
      </c>
      <c r="F103" s="161">
        <f t="shared" ref="F103:F121" si="5">IF(C103=0,0,E103/C103)</f>
        <v>-9.2339145301563022E-2</v>
      </c>
    </row>
    <row r="104" spans="1:6" ht="15" customHeight="1" x14ac:dyDescent="0.2">
      <c r="A104" s="147">
        <v>2</v>
      </c>
      <c r="B104" s="169" t="s">
        <v>234</v>
      </c>
      <c r="C104" s="157">
        <v>869256</v>
      </c>
      <c r="D104" s="157">
        <v>877749</v>
      </c>
      <c r="E104" s="157">
        <f t="shared" si="4"/>
        <v>8493</v>
      </c>
      <c r="F104" s="161">
        <f t="shared" si="5"/>
        <v>9.7704243629034484E-3</v>
      </c>
    </row>
    <row r="105" spans="1:6" ht="15" customHeight="1" x14ac:dyDescent="0.2">
      <c r="A105" s="147">
        <v>3</v>
      </c>
      <c r="B105" s="169" t="s">
        <v>235</v>
      </c>
      <c r="C105" s="157">
        <v>1189245</v>
      </c>
      <c r="D105" s="157">
        <v>1176951</v>
      </c>
      <c r="E105" s="157">
        <f t="shared" si="4"/>
        <v>-12294</v>
      </c>
      <c r="F105" s="161">
        <f t="shared" si="5"/>
        <v>-1.0337651198869872E-2</v>
      </c>
    </row>
    <row r="106" spans="1:6" ht="15" customHeight="1" x14ac:dyDescent="0.2">
      <c r="A106" s="147">
        <v>4</v>
      </c>
      <c r="B106" s="169" t="s">
        <v>236</v>
      </c>
      <c r="C106" s="157">
        <v>1210326</v>
      </c>
      <c r="D106" s="157">
        <v>1207135</v>
      </c>
      <c r="E106" s="157">
        <f t="shared" si="4"/>
        <v>-3191</v>
      </c>
      <c r="F106" s="161">
        <f t="shared" si="5"/>
        <v>-2.6364797583460983E-3</v>
      </c>
    </row>
    <row r="107" spans="1:6" ht="15" customHeight="1" x14ac:dyDescent="0.2">
      <c r="A107" s="147">
        <v>5</v>
      </c>
      <c r="B107" s="169" t="s">
        <v>237</v>
      </c>
      <c r="C107" s="157">
        <v>2857814</v>
      </c>
      <c r="D107" s="157">
        <v>3340256</v>
      </c>
      <c r="E107" s="157">
        <f t="shared" si="4"/>
        <v>482442</v>
      </c>
      <c r="F107" s="161">
        <f t="shared" si="5"/>
        <v>0.16881504534584826</v>
      </c>
    </row>
    <row r="108" spans="1:6" ht="15" customHeight="1" x14ac:dyDescent="0.2">
      <c r="A108" s="147">
        <v>6</v>
      </c>
      <c r="B108" s="169" t="s">
        <v>238</v>
      </c>
      <c r="C108" s="157">
        <v>302798</v>
      </c>
      <c r="D108" s="157">
        <v>289800</v>
      </c>
      <c r="E108" s="157">
        <f t="shared" si="4"/>
        <v>-12998</v>
      </c>
      <c r="F108" s="161">
        <f t="shared" si="5"/>
        <v>-4.2926307307181687E-2</v>
      </c>
    </row>
    <row r="109" spans="1:6" ht="15" customHeight="1" x14ac:dyDescent="0.2">
      <c r="A109" s="147">
        <v>7</v>
      </c>
      <c r="B109" s="169" t="s">
        <v>239</v>
      </c>
      <c r="C109" s="157">
        <v>833216</v>
      </c>
      <c r="D109" s="157">
        <v>1048041</v>
      </c>
      <c r="E109" s="157">
        <f t="shared" si="4"/>
        <v>214825</v>
      </c>
      <c r="F109" s="161">
        <f t="shared" si="5"/>
        <v>0.25782630194331363</v>
      </c>
    </row>
    <row r="110" spans="1:6" ht="15" customHeight="1" x14ac:dyDescent="0.2">
      <c r="A110" s="147">
        <v>8</v>
      </c>
      <c r="B110" s="169" t="s">
        <v>240</v>
      </c>
      <c r="C110" s="157">
        <v>500772</v>
      </c>
      <c r="D110" s="157">
        <v>459022</v>
      </c>
      <c r="E110" s="157">
        <f t="shared" si="4"/>
        <v>-41750</v>
      </c>
      <c r="F110" s="161">
        <f t="shared" si="5"/>
        <v>-8.3371274751783242E-2</v>
      </c>
    </row>
    <row r="111" spans="1:6" ht="15" customHeight="1" x14ac:dyDescent="0.2">
      <c r="A111" s="147">
        <v>9</v>
      </c>
      <c r="B111" s="169" t="s">
        <v>241</v>
      </c>
      <c r="C111" s="157">
        <v>955409</v>
      </c>
      <c r="D111" s="157">
        <v>765511</v>
      </c>
      <c r="E111" s="157">
        <f t="shared" si="4"/>
        <v>-189898</v>
      </c>
      <c r="F111" s="161">
        <f t="shared" si="5"/>
        <v>-0.19876094949911505</v>
      </c>
    </row>
    <row r="112" spans="1:6" ht="15" customHeight="1" x14ac:dyDescent="0.2">
      <c r="A112" s="147">
        <v>10</v>
      </c>
      <c r="B112" s="169" t="s">
        <v>242</v>
      </c>
      <c r="C112" s="157">
        <v>1586480</v>
      </c>
      <c r="D112" s="157">
        <v>1610770</v>
      </c>
      <c r="E112" s="157">
        <f t="shared" si="4"/>
        <v>24290</v>
      </c>
      <c r="F112" s="161">
        <f t="shared" si="5"/>
        <v>1.5310624779385809E-2</v>
      </c>
    </row>
    <row r="113" spans="1:6" ht="15" customHeight="1" x14ac:dyDescent="0.2">
      <c r="A113" s="147">
        <v>11</v>
      </c>
      <c r="B113" s="169" t="s">
        <v>243</v>
      </c>
      <c r="C113" s="157">
        <v>1597443</v>
      </c>
      <c r="D113" s="157">
        <v>1512537</v>
      </c>
      <c r="E113" s="157">
        <f t="shared" si="4"/>
        <v>-84906</v>
      </c>
      <c r="F113" s="161">
        <f t="shared" si="5"/>
        <v>-5.3151192249113112E-2</v>
      </c>
    </row>
    <row r="114" spans="1:6" ht="15" customHeight="1" x14ac:dyDescent="0.2">
      <c r="A114" s="147">
        <v>12</v>
      </c>
      <c r="B114" s="169" t="s">
        <v>244</v>
      </c>
      <c r="C114" s="157">
        <v>531515</v>
      </c>
      <c r="D114" s="157">
        <v>529202</v>
      </c>
      <c r="E114" s="157">
        <f t="shared" si="4"/>
        <v>-2313</v>
      </c>
      <c r="F114" s="161">
        <f t="shared" si="5"/>
        <v>-4.3517116167935055E-3</v>
      </c>
    </row>
    <row r="115" spans="1:6" ht="15" customHeight="1" x14ac:dyDescent="0.2">
      <c r="A115" s="147">
        <v>13</v>
      </c>
      <c r="B115" s="169" t="s">
        <v>245</v>
      </c>
      <c r="C115" s="157">
        <v>1842087</v>
      </c>
      <c r="D115" s="157">
        <v>1983474</v>
      </c>
      <c r="E115" s="157">
        <f t="shared" si="4"/>
        <v>141387</v>
      </c>
      <c r="F115" s="161">
        <f t="shared" si="5"/>
        <v>7.6753703815292118E-2</v>
      </c>
    </row>
    <row r="116" spans="1:6" ht="15" customHeight="1" x14ac:dyDescent="0.2">
      <c r="A116" s="147">
        <v>14</v>
      </c>
      <c r="B116" s="169" t="s">
        <v>246</v>
      </c>
      <c r="C116" s="157">
        <v>307069</v>
      </c>
      <c r="D116" s="157">
        <v>309577</v>
      </c>
      <c r="E116" s="157">
        <f t="shared" si="4"/>
        <v>2508</v>
      </c>
      <c r="F116" s="161">
        <f t="shared" si="5"/>
        <v>8.167545405104391E-3</v>
      </c>
    </row>
    <row r="117" spans="1:6" ht="15" customHeight="1" x14ac:dyDescent="0.2">
      <c r="A117" s="147">
        <v>15</v>
      </c>
      <c r="B117" s="169" t="s">
        <v>203</v>
      </c>
      <c r="C117" s="157">
        <v>704313</v>
      </c>
      <c r="D117" s="157">
        <v>880372</v>
      </c>
      <c r="E117" s="157">
        <f t="shared" si="4"/>
        <v>176059</v>
      </c>
      <c r="F117" s="161">
        <f t="shared" si="5"/>
        <v>0.24997266840169072</v>
      </c>
    </row>
    <row r="118" spans="1:6" ht="15" customHeight="1" x14ac:dyDescent="0.2">
      <c r="A118" s="147">
        <v>16</v>
      </c>
      <c r="B118" s="169" t="s">
        <v>247</v>
      </c>
      <c r="C118" s="157">
        <v>402478</v>
      </c>
      <c r="D118" s="157">
        <v>422444</v>
      </c>
      <c r="E118" s="157">
        <f t="shared" si="4"/>
        <v>19966</v>
      </c>
      <c r="F118" s="161">
        <f t="shared" si="5"/>
        <v>4.9607680419799342E-2</v>
      </c>
    </row>
    <row r="119" spans="1:6" ht="15" customHeight="1" x14ac:dyDescent="0.2">
      <c r="A119" s="147">
        <v>17</v>
      </c>
      <c r="B119" s="169" t="s">
        <v>248</v>
      </c>
      <c r="C119" s="157">
        <v>4789318</v>
      </c>
      <c r="D119" s="157">
        <v>4873185</v>
      </c>
      <c r="E119" s="157">
        <f t="shared" si="4"/>
        <v>83867</v>
      </c>
      <c r="F119" s="161">
        <f t="shared" si="5"/>
        <v>1.7511261519907426E-2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52720080</v>
      </c>
      <c r="D121" s="158">
        <f>SUM(D103:D120)</f>
        <v>50549503</v>
      </c>
      <c r="E121" s="158">
        <f t="shared" si="4"/>
        <v>-2170577</v>
      </c>
      <c r="F121" s="159">
        <f t="shared" si="5"/>
        <v>-4.1171731909359771E-2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668938</v>
      </c>
      <c r="D124" s="157">
        <v>683458</v>
      </c>
      <c r="E124" s="157">
        <f t="shared" ref="E124:E130" si="6">D124-C124</f>
        <v>14520</v>
      </c>
      <c r="F124" s="161">
        <f t="shared" ref="F124:F130" si="7">IF(C124=0,0,E124/C124)</f>
        <v>2.1706047496180512E-2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1303152</v>
      </c>
      <c r="D126" s="157">
        <v>1350351</v>
      </c>
      <c r="E126" s="157">
        <f t="shared" si="6"/>
        <v>47199</v>
      </c>
      <c r="F126" s="161">
        <f t="shared" si="7"/>
        <v>3.6219105676083836E-2</v>
      </c>
    </row>
    <row r="127" spans="1:6" ht="15" customHeight="1" x14ac:dyDescent="0.2">
      <c r="A127" s="147">
        <v>4</v>
      </c>
      <c r="B127" s="169" t="s">
        <v>255</v>
      </c>
      <c r="C127" s="157">
        <v>2049493</v>
      </c>
      <c r="D127" s="157">
        <v>1996826</v>
      </c>
      <c r="E127" s="157">
        <f t="shared" si="6"/>
        <v>-52667</v>
      </c>
      <c r="F127" s="161">
        <f t="shared" si="7"/>
        <v>-2.5697574961222117E-2</v>
      </c>
    </row>
    <row r="128" spans="1:6" ht="15" customHeight="1" x14ac:dyDescent="0.2">
      <c r="A128" s="147">
        <v>5</v>
      </c>
      <c r="B128" s="169" t="s">
        <v>256</v>
      </c>
      <c r="C128" s="157">
        <v>1394999</v>
      </c>
      <c r="D128" s="157">
        <v>1490296</v>
      </c>
      <c r="E128" s="157">
        <f t="shared" si="6"/>
        <v>95297</v>
      </c>
      <c r="F128" s="161">
        <f t="shared" si="7"/>
        <v>6.8313310618860659E-2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5416582</v>
      </c>
      <c r="D130" s="158">
        <f>SUM(D124:D129)</f>
        <v>5520931</v>
      </c>
      <c r="E130" s="158">
        <f t="shared" si="6"/>
        <v>104349</v>
      </c>
      <c r="F130" s="159">
        <f t="shared" si="7"/>
        <v>1.9264731891809262E-2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6834895</v>
      </c>
      <c r="D133" s="157">
        <v>6935832</v>
      </c>
      <c r="E133" s="157">
        <f t="shared" ref="E133:E167" si="8">D133-C133</f>
        <v>100937</v>
      </c>
      <c r="F133" s="161">
        <f t="shared" ref="F133:F167" si="9">IF(C133=0,0,E133/C133)</f>
        <v>1.4767893288777662E-2</v>
      </c>
    </row>
    <row r="134" spans="1:6" ht="15" customHeight="1" x14ac:dyDescent="0.2">
      <c r="A134" s="147">
        <v>2</v>
      </c>
      <c r="B134" s="169" t="s">
        <v>261</v>
      </c>
      <c r="C134" s="157">
        <v>514074</v>
      </c>
      <c r="D134" s="157">
        <v>674796</v>
      </c>
      <c r="E134" s="157">
        <f t="shared" si="8"/>
        <v>160722</v>
      </c>
      <c r="F134" s="161">
        <f t="shared" si="9"/>
        <v>0.31264370499188832</v>
      </c>
    </row>
    <row r="135" spans="1:6" ht="15" customHeight="1" x14ac:dyDescent="0.2">
      <c r="A135" s="147">
        <v>3</v>
      </c>
      <c r="B135" s="169" t="s">
        <v>262</v>
      </c>
      <c r="C135" s="157">
        <v>195221</v>
      </c>
      <c r="D135" s="157">
        <v>213591</v>
      </c>
      <c r="E135" s="157">
        <f t="shared" si="8"/>
        <v>18370</v>
      </c>
      <c r="F135" s="161">
        <f t="shared" si="9"/>
        <v>9.4098483257436444E-2</v>
      </c>
    </row>
    <row r="136" spans="1:6" ht="15" customHeight="1" x14ac:dyDescent="0.2">
      <c r="A136" s="147">
        <v>4</v>
      </c>
      <c r="B136" s="169" t="s">
        <v>263</v>
      </c>
      <c r="C136" s="157">
        <v>605796</v>
      </c>
      <c r="D136" s="157">
        <v>695595</v>
      </c>
      <c r="E136" s="157">
        <f t="shared" si="8"/>
        <v>89799</v>
      </c>
      <c r="F136" s="161">
        <f t="shared" si="9"/>
        <v>0.1482330685577323</v>
      </c>
    </row>
    <row r="137" spans="1:6" ht="15" customHeight="1" x14ac:dyDescent="0.2">
      <c r="A137" s="147">
        <v>5</v>
      </c>
      <c r="B137" s="169" t="s">
        <v>264</v>
      </c>
      <c r="C137" s="157">
        <v>3085284</v>
      </c>
      <c r="D137" s="157">
        <v>2941459</v>
      </c>
      <c r="E137" s="157">
        <f t="shared" si="8"/>
        <v>-143825</v>
      </c>
      <c r="F137" s="161">
        <f t="shared" si="9"/>
        <v>-4.6616454109248938E-2</v>
      </c>
    </row>
    <row r="138" spans="1:6" ht="15" customHeight="1" x14ac:dyDescent="0.2">
      <c r="A138" s="147">
        <v>6</v>
      </c>
      <c r="B138" s="169" t="s">
        <v>265</v>
      </c>
      <c r="C138" s="157">
        <v>412212</v>
      </c>
      <c r="D138" s="157">
        <v>417796</v>
      </c>
      <c r="E138" s="157">
        <f t="shared" si="8"/>
        <v>5584</v>
      </c>
      <c r="F138" s="161">
        <f t="shared" si="9"/>
        <v>1.3546427566397873E-2</v>
      </c>
    </row>
    <row r="139" spans="1:6" ht="15" customHeight="1" x14ac:dyDescent="0.2">
      <c r="A139" s="147">
        <v>7</v>
      </c>
      <c r="B139" s="169" t="s">
        <v>266</v>
      </c>
      <c r="C139" s="157">
        <v>1587744</v>
      </c>
      <c r="D139" s="157">
        <v>1867292</v>
      </c>
      <c r="E139" s="157">
        <f t="shared" si="8"/>
        <v>279548</v>
      </c>
      <c r="F139" s="161">
        <f t="shared" si="9"/>
        <v>0.1760661668379789</v>
      </c>
    </row>
    <row r="140" spans="1:6" ht="15" customHeight="1" x14ac:dyDescent="0.2">
      <c r="A140" s="147">
        <v>8</v>
      </c>
      <c r="B140" s="169" t="s">
        <v>267</v>
      </c>
      <c r="C140" s="157">
        <v>445420</v>
      </c>
      <c r="D140" s="157">
        <v>375872</v>
      </c>
      <c r="E140" s="157">
        <f t="shared" si="8"/>
        <v>-69548</v>
      </c>
      <c r="F140" s="161">
        <f t="shared" si="9"/>
        <v>-0.15614027210273448</v>
      </c>
    </row>
    <row r="141" spans="1:6" ht="15" customHeight="1" x14ac:dyDescent="0.2">
      <c r="A141" s="147">
        <v>9</v>
      </c>
      <c r="B141" s="169" t="s">
        <v>268</v>
      </c>
      <c r="C141" s="157">
        <v>725805</v>
      </c>
      <c r="D141" s="157">
        <v>754602</v>
      </c>
      <c r="E141" s="157">
        <f t="shared" si="8"/>
        <v>28797</v>
      </c>
      <c r="F141" s="161">
        <f t="shared" si="9"/>
        <v>3.9675946018558707E-2</v>
      </c>
    </row>
    <row r="142" spans="1:6" ht="15" customHeight="1" x14ac:dyDescent="0.2">
      <c r="A142" s="147">
        <v>10</v>
      </c>
      <c r="B142" s="169" t="s">
        <v>269</v>
      </c>
      <c r="C142" s="157">
        <v>6556019</v>
      </c>
      <c r="D142" s="157">
        <v>6201518</v>
      </c>
      <c r="E142" s="157">
        <f t="shared" si="8"/>
        <v>-354501</v>
      </c>
      <c r="F142" s="161">
        <f t="shared" si="9"/>
        <v>-5.4072601070863278E-2</v>
      </c>
    </row>
    <row r="143" spans="1:6" ht="15" customHeight="1" x14ac:dyDescent="0.2">
      <c r="A143" s="147">
        <v>11</v>
      </c>
      <c r="B143" s="169" t="s">
        <v>270</v>
      </c>
      <c r="C143" s="157">
        <v>1118312</v>
      </c>
      <c r="D143" s="157">
        <v>1085406</v>
      </c>
      <c r="E143" s="157">
        <f t="shared" si="8"/>
        <v>-32906</v>
      </c>
      <c r="F143" s="161">
        <f t="shared" si="9"/>
        <v>-2.9424704375880791E-2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257295</v>
      </c>
      <c r="D145" s="157">
        <v>246648</v>
      </c>
      <c r="E145" s="157">
        <f t="shared" si="8"/>
        <v>-10647</v>
      </c>
      <c r="F145" s="161">
        <f t="shared" si="9"/>
        <v>-4.1380516527721095E-2</v>
      </c>
    </row>
    <row r="146" spans="1:6" ht="15" customHeight="1" x14ac:dyDescent="0.2">
      <c r="A146" s="147">
        <v>14</v>
      </c>
      <c r="B146" s="169" t="s">
        <v>273</v>
      </c>
      <c r="C146" s="157">
        <v>4882</v>
      </c>
      <c r="D146" s="157">
        <v>12863</v>
      </c>
      <c r="E146" s="157">
        <f t="shared" si="8"/>
        <v>7981</v>
      </c>
      <c r="F146" s="161">
        <f t="shared" si="9"/>
        <v>1.6347808275297009</v>
      </c>
    </row>
    <row r="147" spans="1:6" ht="15" customHeight="1" x14ac:dyDescent="0.2">
      <c r="A147" s="147">
        <v>15</v>
      </c>
      <c r="B147" s="169" t="s">
        <v>274</v>
      </c>
      <c r="C147" s="157">
        <v>29373</v>
      </c>
      <c r="D147" s="157">
        <v>96076</v>
      </c>
      <c r="E147" s="157">
        <f t="shared" si="8"/>
        <v>66703</v>
      </c>
      <c r="F147" s="161">
        <f t="shared" si="9"/>
        <v>2.2708950396622747</v>
      </c>
    </row>
    <row r="148" spans="1:6" ht="15" customHeight="1" x14ac:dyDescent="0.2">
      <c r="A148" s="147">
        <v>16</v>
      </c>
      <c r="B148" s="169" t="s">
        <v>275</v>
      </c>
      <c r="C148" s="157">
        <v>52453</v>
      </c>
      <c r="D148" s="157">
        <v>62629</v>
      </c>
      <c r="E148" s="157">
        <f t="shared" si="8"/>
        <v>10176</v>
      </c>
      <c r="F148" s="161">
        <f t="shared" si="9"/>
        <v>0.19400224963300478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843344</v>
      </c>
      <c r="D150" s="157">
        <v>894513</v>
      </c>
      <c r="E150" s="157">
        <f t="shared" si="8"/>
        <v>51169</v>
      </c>
      <c r="F150" s="161">
        <f t="shared" si="9"/>
        <v>6.0673936139938149E-2</v>
      </c>
    </row>
    <row r="151" spans="1:6" ht="15" customHeight="1" x14ac:dyDescent="0.2">
      <c r="A151" s="147">
        <v>19</v>
      </c>
      <c r="B151" s="169" t="s">
        <v>278</v>
      </c>
      <c r="C151" s="157">
        <v>233169</v>
      </c>
      <c r="D151" s="157">
        <v>247358</v>
      </c>
      <c r="E151" s="157">
        <f t="shared" si="8"/>
        <v>14189</v>
      </c>
      <c r="F151" s="161">
        <f t="shared" si="9"/>
        <v>6.0852857798420888E-2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4581600</v>
      </c>
      <c r="D154" s="157">
        <v>5071382</v>
      </c>
      <c r="E154" s="157">
        <f t="shared" si="8"/>
        <v>489782</v>
      </c>
      <c r="F154" s="161">
        <f t="shared" si="9"/>
        <v>0.10690195564868168</v>
      </c>
    </row>
    <row r="155" spans="1:6" ht="15" customHeight="1" x14ac:dyDescent="0.2">
      <c r="A155" s="147">
        <v>23</v>
      </c>
      <c r="B155" s="169" t="s">
        <v>282</v>
      </c>
      <c r="C155" s="157">
        <v>141628</v>
      </c>
      <c r="D155" s="157">
        <v>179437</v>
      </c>
      <c r="E155" s="157">
        <f t="shared" si="8"/>
        <v>37809</v>
      </c>
      <c r="F155" s="161">
        <f t="shared" si="9"/>
        <v>0.26695992317903239</v>
      </c>
    </row>
    <row r="156" spans="1:6" ht="15" customHeight="1" x14ac:dyDescent="0.2">
      <c r="A156" s="147">
        <v>24</v>
      </c>
      <c r="B156" s="169" t="s">
        <v>283</v>
      </c>
      <c r="C156" s="157">
        <v>6160646</v>
      </c>
      <c r="D156" s="157">
        <v>6729539</v>
      </c>
      <c r="E156" s="157">
        <f t="shared" si="8"/>
        <v>568893</v>
      </c>
      <c r="F156" s="161">
        <f t="shared" si="9"/>
        <v>9.2343075709917427E-2</v>
      </c>
    </row>
    <row r="157" spans="1:6" ht="15" customHeight="1" x14ac:dyDescent="0.2">
      <c r="A157" s="147">
        <v>25</v>
      </c>
      <c r="B157" s="169" t="s">
        <v>284</v>
      </c>
      <c r="C157" s="157">
        <v>262902</v>
      </c>
      <c r="D157" s="157">
        <v>281375</v>
      </c>
      <c r="E157" s="157">
        <f t="shared" si="8"/>
        <v>18473</v>
      </c>
      <c r="F157" s="161">
        <f t="shared" si="9"/>
        <v>7.0265726392343922E-2</v>
      </c>
    </row>
    <row r="158" spans="1:6" ht="15" customHeight="1" x14ac:dyDescent="0.2">
      <c r="A158" s="147">
        <v>26</v>
      </c>
      <c r="B158" s="169" t="s">
        <v>285</v>
      </c>
      <c r="C158" s="157">
        <v>138402</v>
      </c>
      <c r="D158" s="157">
        <v>182813</v>
      </c>
      <c r="E158" s="157">
        <f t="shared" si="8"/>
        <v>44411</v>
      </c>
      <c r="F158" s="161">
        <f t="shared" si="9"/>
        <v>0.32088409127035739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349381</v>
      </c>
      <c r="D160" s="157">
        <v>389648</v>
      </c>
      <c r="E160" s="157">
        <f t="shared" si="8"/>
        <v>40267</v>
      </c>
      <c r="F160" s="161">
        <f t="shared" si="9"/>
        <v>0.11525240353654034</v>
      </c>
    </row>
    <row r="161" spans="1:6" ht="15" customHeight="1" x14ac:dyDescent="0.2">
      <c r="A161" s="147">
        <v>29</v>
      </c>
      <c r="B161" s="169" t="s">
        <v>288</v>
      </c>
      <c r="C161" s="157">
        <v>423636</v>
      </c>
      <c r="D161" s="157">
        <v>527035</v>
      </c>
      <c r="E161" s="157">
        <f t="shared" si="8"/>
        <v>103399</v>
      </c>
      <c r="F161" s="161">
        <f t="shared" si="9"/>
        <v>0.24407510221038817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322430</v>
      </c>
      <c r="D163" s="157">
        <v>349241</v>
      </c>
      <c r="E163" s="157">
        <f t="shared" si="8"/>
        <v>26811</v>
      </c>
      <c r="F163" s="161">
        <f t="shared" si="9"/>
        <v>8.3152932419439884E-2</v>
      </c>
    </row>
    <row r="164" spans="1:6" ht="15" customHeight="1" x14ac:dyDescent="0.2">
      <c r="A164" s="147">
        <v>32</v>
      </c>
      <c r="B164" s="169" t="s">
        <v>291</v>
      </c>
      <c r="C164" s="157">
        <v>910931</v>
      </c>
      <c r="D164" s="157">
        <v>963081</v>
      </c>
      <c r="E164" s="157">
        <f t="shared" si="8"/>
        <v>52150</v>
      </c>
      <c r="F164" s="161">
        <f t="shared" si="9"/>
        <v>5.7249122052054437E-2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94044</v>
      </c>
      <c r="D166" s="157">
        <v>113269</v>
      </c>
      <c r="E166" s="157">
        <f t="shared" si="8"/>
        <v>19225</v>
      </c>
      <c r="F166" s="161">
        <f t="shared" si="9"/>
        <v>0.2044255880226277</v>
      </c>
    </row>
    <row r="167" spans="1:6" ht="15.75" customHeight="1" x14ac:dyDescent="0.25">
      <c r="A167" s="147"/>
      <c r="B167" s="165" t="s">
        <v>294</v>
      </c>
      <c r="C167" s="158">
        <f>SUM(C133:C166)</f>
        <v>36886898</v>
      </c>
      <c r="D167" s="158">
        <f>SUM(D133:D166)</f>
        <v>38510666</v>
      </c>
      <c r="E167" s="158">
        <f t="shared" si="8"/>
        <v>1623768</v>
      </c>
      <c r="F167" s="159">
        <f t="shared" si="9"/>
        <v>4.4020182992888152E-2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7125530</v>
      </c>
      <c r="D170" s="157">
        <v>7474652</v>
      </c>
      <c r="E170" s="157">
        <f t="shared" ref="E170:E183" si="10">D170-C170</f>
        <v>349122</v>
      </c>
      <c r="F170" s="161">
        <f t="shared" ref="F170:F183" si="11">IF(C170=0,0,E170/C170)</f>
        <v>4.8995934337515944E-2</v>
      </c>
    </row>
    <row r="171" spans="1:6" ht="15" customHeight="1" x14ac:dyDescent="0.2">
      <c r="A171" s="147">
        <v>2</v>
      </c>
      <c r="B171" s="169" t="s">
        <v>297</v>
      </c>
      <c r="C171" s="157">
        <v>2208523</v>
      </c>
      <c r="D171" s="157">
        <v>2552372</v>
      </c>
      <c r="E171" s="157">
        <f t="shared" si="10"/>
        <v>343849</v>
      </c>
      <c r="F171" s="161">
        <f t="shared" si="11"/>
        <v>0.15569183567479261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2606104</v>
      </c>
      <c r="D173" s="157">
        <v>2854438</v>
      </c>
      <c r="E173" s="157">
        <f t="shared" si="10"/>
        <v>248334</v>
      </c>
      <c r="F173" s="161">
        <f t="shared" si="11"/>
        <v>9.5289366809613127E-2</v>
      </c>
    </row>
    <row r="174" spans="1:6" ht="15" customHeight="1" x14ac:dyDescent="0.2">
      <c r="A174" s="147">
        <v>5</v>
      </c>
      <c r="B174" s="169" t="s">
        <v>300</v>
      </c>
      <c r="C174" s="157">
        <v>839890</v>
      </c>
      <c r="D174" s="157">
        <v>963633</v>
      </c>
      <c r="E174" s="157">
        <f t="shared" si="10"/>
        <v>123743</v>
      </c>
      <c r="F174" s="161">
        <f t="shared" si="11"/>
        <v>0.14733238876519544</v>
      </c>
    </row>
    <row r="175" spans="1:6" ht="15" customHeight="1" x14ac:dyDescent="0.2">
      <c r="A175" s="147">
        <v>6</v>
      </c>
      <c r="B175" s="169" t="s">
        <v>301</v>
      </c>
      <c r="C175" s="157">
        <v>892990</v>
      </c>
      <c r="D175" s="157">
        <v>846042</v>
      </c>
      <c r="E175" s="157">
        <f t="shared" si="10"/>
        <v>-46948</v>
      </c>
      <c r="F175" s="161">
        <f t="shared" si="11"/>
        <v>-5.257393699817467E-2</v>
      </c>
    </row>
    <row r="176" spans="1:6" ht="15" customHeight="1" x14ac:dyDescent="0.2">
      <c r="A176" s="147">
        <v>7</v>
      </c>
      <c r="B176" s="169" t="s">
        <v>302</v>
      </c>
      <c r="C176" s="157">
        <v>286782</v>
      </c>
      <c r="D176" s="157">
        <v>327067</v>
      </c>
      <c r="E176" s="157">
        <f t="shared" si="10"/>
        <v>40285</v>
      </c>
      <c r="F176" s="161">
        <f t="shared" si="11"/>
        <v>0.14047255406545739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606896</v>
      </c>
      <c r="D179" s="157">
        <v>610049</v>
      </c>
      <c r="E179" s="157">
        <f t="shared" si="10"/>
        <v>3153</v>
      </c>
      <c r="F179" s="161">
        <f t="shared" si="11"/>
        <v>5.1952888138989215E-3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10413076</v>
      </c>
      <c r="D181" s="157">
        <v>12498989</v>
      </c>
      <c r="E181" s="157">
        <f t="shared" si="10"/>
        <v>2085913</v>
      </c>
      <c r="F181" s="161">
        <f t="shared" si="11"/>
        <v>0.20031669796705603</v>
      </c>
    </row>
    <row r="182" spans="1:6" ht="15" customHeight="1" x14ac:dyDescent="0.2">
      <c r="A182" s="147">
        <v>13</v>
      </c>
      <c r="B182" s="169" t="s">
        <v>308</v>
      </c>
      <c r="C182" s="157">
        <v>1572968</v>
      </c>
      <c r="D182" s="157">
        <v>1913976</v>
      </c>
      <c r="E182" s="157">
        <f t="shared" si="10"/>
        <v>341008</v>
      </c>
      <c r="F182" s="161">
        <f t="shared" si="11"/>
        <v>0.2167927128841782</v>
      </c>
    </row>
    <row r="183" spans="1:6" ht="15.75" customHeight="1" x14ac:dyDescent="0.25">
      <c r="A183" s="147"/>
      <c r="B183" s="165" t="s">
        <v>309</v>
      </c>
      <c r="C183" s="158">
        <f>SUM(C170:C182)</f>
        <v>26552759</v>
      </c>
      <c r="D183" s="158">
        <f>SUM(D170:D182)</f>
        <v>30041218</v>
      </c>
      <c r="E183" s="158">
        <f t="shared" si="10"/>
        <v>3488459</v>
      </c>
      <c r="F183" s="159">
        <f t="shared" si="11"/>
        <v>0.13137840026341518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306362</v>
      </c>
      <c r="D186" s="157">
        <v>277667</v>
      </c>
      <c r="E186" s="157">
        <f>D186-C186</f>
        <v>-28695</v>
      </c>
      <c r="F186" s="161">
        <f>IF(C186=0,0,E186/C186)</f>
        <v>-9.3663705028691549E-2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121882681</v>
      </c>
      <c r="D188" s="158">
        <f>+D186+D183+D167+D130+D121</f>
        <v>124899985</v>
      </c>
      <c r="E188" s="158">
        <f>D188-C188</f>
        <v>3017304</v>
      </c>
      <c r="F188" s="159">
        <f>IF(C188=0,0,E188/C188)</f>
        <v>2.4755805954087932E-2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109579717</v>
      </c>
      <c r="D11" s="183">
        <v>116313832</v>
      </c>
      <c r="E11" s="76">
        <v>116677548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4949386</v>
      </c>
      <c r="D12" s="185">
        <v>5735128</v>
      </c>
      <c r="E12" s="185">
        <v>8250545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114529103</v>
      </c>
      <c r="D13" s="76">
        <f>+D11+D12</f>
        <v>122048960</v>
      </c>
      <c r="E13" s="76">
        <f>+E11+E12</f>
        <v>124928093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113880767</v>
      </c>
      <c r="D14" s="185">
        <v>121882681</v>
      </c>
      <c r="E14" s="185">
        <v>124899985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648336</v>
      </c>
      <c r="D15" s="76">
        <f>+D13-D14</f>
        <v>166279</v>
      </c>
      <c r="E15" s="76">
        <f>+E13-E14</f>
        <v>28108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2011113</v>
      </c>
      <c r="D16" s="185">
        <v>2249345</v>
      </c>
      <c r="E16" s="185">
        <v>2664812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2659449</v>
      </c>
      <c r="D17" s="76">
        <f>D15+D16</f>
        <v>2415624</v>
      </c>
      <c r="E17" s="76">
        <f>E15+E16</f>
        <v>2692920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5.5631954552066388E-3</v>
      </c>
      <c r="D20" s="189">
        <f>IF(+D27=0,0,+D24/+D27)</f>
        <v>1.3377414921305645E-3</v>
      </c>
      <c r="E20" s="189">
        <f>IF(+E27=0,0,+E24/+E27)</f>
        <v>2.2029438078864964E-4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1.7256815449870112E-2</v>
      </c>
      <c r="D21" s="189">
        <f>IF(D27=0,0,+D26/D27)</f>
        <v>1.8096344917977764E-2</v>
      </c>
      <c r="E21" s="189">
        <f>IF(E27=0,0,+E26/E27)</f>
        <v>2.088526787598417E-2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2.2820010905076751E-2</v>
      </c>
      <c r="D22" s="189">
        <f>IF(D27=0,0,+D28/D27)</f>
        <v>1.9434086410108329E-2</v>
      </c>
      <c r="E22" s="189">
        <f>IF(E27=0,0,+E28/E27)</f>
        <v>2.110556225677282E-2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648336</v>
      </c>
      <c r="D24" s="76">
        <f>+D15</f>
        <v>166279</v>
      </c>
      <c r="E24" s="76">
        <f>+E15</f>
        <v>28108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114529103</v>
      </c>
      <c r="D25" s="76">
        <f>+D13</f>
        <v>122048960</v>
      </c>
      <c r="E25" s="76">
        <f>+E13</f>
        <v>124928093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2011113</v>
      </c>
      <c r="D26" s="76">
        <f>+D16</f>
        <v>2249345</v>
      </c>
      <c r="E26" s="76">
        <f>+E16</f>
        <v>2664812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116540216</v>
      </c>
      <c r="D27" s="76">
        <f>+D25+D26</f>
        <v>124298305</v>
      </c>
      <c r="E27" s="76">
        <f>+E25+E26</f>
        <v>127592905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2659449</v>
      </c>
      <c r="D28" s="76">
        <f>+D17</f>
        <v>2415624</v>
      </c>
      <c r="E28" s="76">
        <f>+E17</f>
        <v>2692920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47062165</v>
      </c>
      <c r="D31" s="76">
        <v>40934207</v>
      </c>
      <c r="E31" s="76">
        <v>61139349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65985850</v>
      </c>
      <c r="D32" s="76">
        <v>61791679</v>
      </c>
      <c r="E32" s="76">
        <v>84555779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7444266</v>
      </c>
      <c r="D33" s="76">
        <f>+D32-C32</f>
        <v>-4194171</v>
      </c>
      <c r="E33" s="76">
        <f>+E32-D32</f>
        <v>22764100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1.1271</v>
      </c>
      <c r="D34" s="193">
        <f>IF(C32=0,0,+D33/C32)</f>
        <v>-6.3561672691948345E-2</v>
      </c>
      <c r="E34" s="193">
        <f>IF(D32=0,0,+E33/D32)</f>
        <v>0.36840073563950254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0.53320212223315999</v>
      </c>
      <c r="D38" s="195">
        <f>IF((D40+D41)=0,0,+D39/(D40+D41))</f>
        <v>0.50197857703216731</v>
      </c>
      <c r="E38" s="195">
        <f>IF((E40+E41)=0,0,+E39/(E40+E41))</f>
        <v>0.46571608446630625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113880767</v>
      </c>
      <c r="D39" s="76">
        <v>121882681</v>
      </c>
      <c r="E39" s="196">
        <v>124899985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208629597</v>
      </c>
      <c r="D40" s="76">
        <v>237069419</v>
      </c>
      <c r="E40" s="196">
        <v>259938571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4949386</v>
      </c>
      <c r="D41" s="76">
        <v>5735128</v>
      </c>
      <c r="E41" s="196">
        <v>8250545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1.0709201957973216</v>
      </c>
      <c r="D43" s="197">
        <f>IF(D38=0,0,IF((D46-D47)=0,0,((+D44-D45)/(D46-D47)/D38)))</f>
        <v>1.090646913392896</v>
      </c>
      <c r="E43" s="197">
        <f>IF(E38=0,0,IF((E46-E47)=0,0,((+E44-E45)/(E46-E47)/E38)))</f>
        <v>1.1565824120417338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41153855</v>
      </c>
      <c r="D44" s="76">
        <v>44202249</v>
      </c>
      <c r="E44" s="196">
        <v>44671615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1467954</v>
      </c>
      <c r="D45" s="76">
        <v>1657845</v>
      </c>
      <c r="E45" s="196">
        <v>1215767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74660403</v>
      </c>
      <c r="D46" s="76">
        <v>84219906</v>
      </c>
      <c r="E46" s="196">
        <v>87780597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5160009</v>
      </c>
      <c r="D47" s="76">
        <v>6510590</v>
      </c>
      <c r="E47" s="76">
        <v>7103473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1.009001542060008</v>
      </c>
      <c r="D49" s="198">
        <f>IF(D38=0,0,IF(D51=0,0,(D50/D51)/D38))</f>
        <v>0.97142204380113417</v>
      </c>
      <c r="E49" s="198">
        <f>IF(E38=0,0,IF(E51=0,0,(E50/E51)/E38))</f>
        <v>0.98641234624275764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50742113</v>
      </c>
      <c r="D50" s="199">
        <v>53362838</v>
      </c>
      <c r="E50" s="199">
        <v>56420512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94315886</v>
      </c>
      <c r="D51" s="199">
        <v>109432364</v>
      </c>
      <c r="E51" s="199">
        <v>122816661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0.72273863651223824</v>
      </c>
      <c r="D53" s="198">
        <f>IF(D38=0,0,IF(D55=0,0,(D54/D55)/D38))</f>
        <v>0.70345074627415727</v>
      </c>
      <c r="E53" s="198">
        <f>IF(E38=0,0,IF(E55=0,0,(E54/E55)/E38))</f>
        <v>0.7080400549201723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14852649</v>
      </c>
      <c r="D54" s="199">
        <v>14878229</v>
      </c>
      <c r="E54" s="199">
        <v>15891621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38541692</v>
      </c>
      <c r="D55" s="199">
        <v>42133968</v>
      </c>
      <c r="E55" s="199">
        <v>48193574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2056055.6430435432</v>
      </c>
      <c r="D57" s="88">
        <f>+D60*D38</f>
        <v>2455853.8873861698</v>
      </c>
      <c r="E57" s="88">
        <f>+E60*E38</f>
        <v>3070270.0784147969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1726098</v>
      </c>
      <c r="D58" s="199">
        <v>1766984</v>
      </c>
      <c r="E58" s="199">
        <v>3214518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2129955</v>
      </c>
      <c r="D59" s="199">
        <v>3125364</v>
      </c>
      <c r="E59" s="199">
        <v>3378061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3856053</v>
      </c>
      <c r="D60" s="76">
        <v>4892348</v>
      </c>
      <c r="E60" s="201">
        <v>6592579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1.8054459038228495E-2</v>
      </c>
      <c r="D62" s="202">
        <f>IF(D63=0,0,+D57/D63)</f>
        <v>2.0149326116203251E-2</v>
      </c>
      <c r="E62" s="202">
        <f>IF(E63=0,0,+E57/E63)</f>
        <v>2.4581829040370155E-2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113880767</v>
      </c>
      <c r="D63" s="199">
        <v>121882681</v>
      </c>
      <c r="E63" s="199">
        <v>124899985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1.3292836663716678</v>
      </c>
      <c r="D67" s="203">
        <f>IF(D69=0,0,D68/D69)</f>
        <v>1.3944350943107457</v>
      </c>
      <c r="E67" s="203">
        <f>IF(E69=0,0,E68/E69)</f>
        <v>1.3238456306600204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25471279</v>
      </c>
      <c r="D68" s="204">
        <v>28025839</v>
      </c>
      <c r="E68" s="204">
        <v>28110276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19161658</v>
      </c>
      <c r="D69" s="204">
        <v>20098346</v>
      </c>
      <c r="E69" s="204">
        <v>21233802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28.655601668612068</v>
      </c>
      <c r="D71" s="203">
        <f>IF((D77/365)=0,0,+D74/(D77/365))</f>
        <v>31.10732917531735</v>
      </c>
      <c r="E71" s="203">
        <f>IF((E77/365)=0,0,+E74/(E77/365))</f>
        <v>27.482374113703575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8455576</v>
      </c>
      <c r="D72" s="183">
        <v>9871014</v>
      </c>
      <c r="E72" s="183">
        <v>8948706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8455576</v>
      </c>
      <c r="D74" s="204">
        <f>+D72+D73</f>
        <v>9871014</v>
      </c>
      <c r="E74" s="204">
        <f>+E72+E73</f>
        <v>8948706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113880767</v>
      </c>
      <c r="D75" s="204">
        <f>+D14</f>
        <v>121882681</v>
      </c>
      <c r="E75" s="204">
        <f>+E14</f>
        <v>124899985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6178082</v>
      </c>
      <c r="D76" s="204">
        <v>6060455</v>
      </c>
      <c r="E76" s="204">
        <v>6050075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107702685</v>
      </c>
      <c r="D77" s="204">
        <f>+D75-D76</f>
        <v>115822226</v>
      </c>
      <c r="E77" s="204">
        <f>+E75-E76</f>
        <v>118849910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36.529769327657604</v>
      </c>
      <c r="D79" s="203">
        <f>IF((D84/365)=0,0,+D83/(D84/365))</f>
        <v>39.211633144371</v>
      </c>
      <c r="E79" s="203">
        <f>IF((E84/365)=0,0,+E83/(E84/365))</f>
        <v>37.151311578813775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11144540</v>
      </c>
      <c r="D80" s="212">
        <v>13441101</v>
      </c>
      <c r="E80" s="212">
        <v>13504471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1516187</v>
      </c>
      <c r="D81" s="212">
        <v>971585</v>
      </c>
      <c r="E81" s="212">
        <v>840007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1693818</v>
      </c>
      <c r="D82" s="212">
        <v>1917192</v>
      </c>
      <c r="E82" s="212">
        <v>2468522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10966909</v>
      </c>
      <c r="D83" s="212">
        <f>+D80+D81-D82</f>
        <v>12495494</v>
      </c>
      <c r="E83" s="212">
        <f>+E80+E81-E82</f>
        <v>11875956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109579717</v>
      </c>
      <c r="D84" s="204">
        <f>+D11</f>
        <v>116313832</v>
      </c>
      <c r="E84" s="204">
        <f>+E11</f>
        <v>116677548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64.938076242017544</v>
      </c>
      <c r="D86" s="203">
        <f>IF((D90/365)=0,0,+D87/(D90/365))</f>
        <v>63.337552241484289</v>
      </c>
      <c r="E86" s="203">
        <f>IF((E90/365)=0,0,+E87/(E90/365))</f>
        <v>65.211136718572178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19161658</v>
      </c>
      <c r="D87" s="76">
        <f>+D69</f>
        <v>20098346</v>
      </c>
      <c r="E87" s="76">
        <f>+E69</f>
        <v>21233802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113880767</v>
      </c>
      <c r="D88" s="76">
        <f t="shared" si="0"/>
        <v>121882681</v>
      </c>
      <c r="E88" s="76">
        <f t="shared" si="0"/>
        <v>124899985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6178082</v>
      </c>
      <c r="D89" s="201">
        <f t="shared" si="0"/>
        <v>6060455</v>
      </c>
      <c r="E89" s="201">
        <f t="shared" si="0"/>
        <v>6050075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107702685</v>
      </c>
      <c r="D90" s="76">
        <f>+D88-D89</f>
        <v>115822226</v>
      </c>
      <c r="E90" s="76">
        <f>+E88-E89</f>
        <v>118849910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55.531253084854548</v>
      </c>
      <c r="D94" s="214">
        <f>IF(D96=0,0,(D95/D96)*100)</f>
        <v>48.836733349323595</v>
      </c>
      <c r="E94" s="214">
        <f>IF(E96=0,0,(E95/E96)*100)</f>
        <v>63.839860948996254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65985850</v>
      </c>
      <c r="D95" s="76">
        <f>+D32</f>
        <v>61791679</v>
      </c>
      <c r="E95" s="76">
        <f>+E32</f>
        <v>84555779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118826510</v>
      </c>
      <c r="D96" s="76">
        <v>126527052</v>
      </c>
      <c r="E96" s="76">
        <v>132449817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37.154344934725458</v>
      </c>
      <c r="D98" s="214">
        <f>IF(D104=0,0,(D101/D104)*100)</f>
        <v>36.344154322804435</v>
      </c>
      <c r="E98" s="214">
        <f>IF(E104=0,0,(E101/E104)*100)</f>
        <v>41.17489180694065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2659449</v>
      </c>
      <c r="D99" s="76">
        <f>+D28</f>
        <v>2415624</v>
      </c>
      <c r="E99" s="76">
        <f>+E28</f>
        <v>2692920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6178082</v>
      </c>
      <c r="D100" s="201">
        <f>+D76</f>
        <v>6060455</v>
      </c>
      <c r="E100" s="201">
        <f>+E76</f>
        <v>6050075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8837531</v>
      </c>
      <c r="D101" s="76">
        <f>+D99+D100</f>
        <v>8476079</v>
      </c>
      <c r="E101" s="76">
        <f>+E99+E100</f>
        <v>8742995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19161658</v>
      </c>
      <c r="D102" s="204">
        <f>+D69</f>
        <v>20098346</v>
      </c>
      <c r="E102" s="204">
        <f>+E69</f>
        <v>21233802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4624338</v>
      </c>
      <c r="D103" s="216">
        <v>3223366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23785996</v>
      </c>
      <c r="D104" s="204">
        <f>+D102+D103</f>
        <v>23321712</v>
      </c>
      <c r="E104" s="204">
        <f>+E102+E103</f>
        <v>21233802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6.5491087490094202</v>
      </c>
      <c r="D106" s="214">
        <f>IF(D109=0,0,(D107/D109)*100)</f>
        <v>4.9578770575333753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4624338</v>
      </c>
      <c r="D107" s="204">
        <f>+D103</f>
        <v>3223366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65985850</v>
      </c>
      <c r="D108" s="204">
        <f>+D32</f>
        <v>61791679</v>
      </c>
      <c r="E108" s="204">
        <f>+E32</f>
        <v>84555779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70610188</v>
      </c>
      <c r="D109" s="204">
        <f>+D107+D108</f>
        <v>65015045</v>
      </c>
      <c r="E109" s="204">
        <f>+E107+E108</f>
        <v>84555779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5.318563063683885</v>
      </c>
      <c r="D111" s="214">
        <f>IF((+D113+D115)=0,0,((+D112+D113+D114)/(+D113+D115)))</f>
        <v>5.4347376223094415</v>
      </c>
      <c r="E111" s="214">
        <f>IF((+E113+E115)=0,0,((+E112+E113+E114)/(+E113+E115)))</f>
        <v>5.4414901051110736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2659449</v>
      </c>
      <c r="D112" s="76">
        <f>+D17</f>
        <v>2415624</v>
      </c>
      <c r="E112" s="76">
        <f>+E17</f>
        <v>2692920</v>
      </c>
    </row>
    <row r="113" spans="1:8" ht="24" customHeight="1" x14ac:dyDescent="0.2">
      <c r="A113" s="85">
        <v>17</v>
      </c>
      <c r="B113" s="75" t="s">
        <v>88</v>
      </c>
      <c r="C113" s="218">
        <v>308286</v>
      </c>
      <c r="D113" s="76">
        <v>264153</v>
      </c>
      <c r="E113" s="76">
        <v>250825</v>
      </c>
    </row>
    <row r="114" spans="1:8" ht="24" customHeight="1" x14ac:dyDescent="0.2">
      <c r="A114" s="85">
        <v>18</v>
      </c>
      <c r="B114" s="75" t="s">
        <v>374</v>
      </c>
      <c r="C114" s="218">
        <v>6178082</v>
      </c>
      <c r="D114" s="76">
        <v>6060455</v>
      </c>
      <c r="E114" s="76">
        <v>6050075</v>
      </c>
    </row>
    <row r="115" spans="1:8" ht="24" customHeight="1" x14ac:dyDescent="0.2">
      <c r="A115" s="85">
        <v>19</v>
      </c>
      <c r="B115" s="75" t="s">
        <v>104</v>
      </c>
      <c r="C115" s="218">
        <v>1411317</v>
      </c>
      <c r="D115" s="76">
        <v>1344063</v>
      </c>
      <c r="E115" s="76">
        <v>1401998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16.589814605892251</v>
      </c>
      <c r="D119" s="214">
        <f>IF(+D121=0,0,(+D120)/(+D121))</f>
        <v>17.605111167395847</v>
      </c>
      <c r="E119" s="214">
        <f>IF(+E121=0,0,(+E120)/(+E121))</f>
        <v>18.616493018681588</v>
      </c>
    </row>
    <row r="120" spans="1:8" ht="24" customHeight="1" x14ac:dyDescent="0.2">
      <c r="A120" s="85">
        <v>21</v>
      </c>
      <c r="B120" s="75" t="s">
        <v>378</v>
      </c>
      <c r="C120" s="218">
        <v>102493235</v>
      </c>
      <c r="D120" s="218">
        <v>106694984</v>
      </c>
      <c r="E120" s="218">
        <v>112631179</v>
      </c>
    </row>
    <row r="121" spans="1:8" ht="24" customHeight="1" x14ac:dyDescent="0.2">
      <c r="A121" s="85">
        <v>22</v>
      </c>
      <c r="B121" s="75" t="s">
        <v>374</v>
      </c>
      <c r="C121" s="218">
        <v>6178082</v>
      </c>
      <c r="D121" s="218">
        <v>6060455</v>
      </c>
      <c r="E121" s="218">
        <v>6050075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27425</v>
      </c>
      <c r="D124" s="218">
        <v>25249</v>
      </c>
      <c r="E124" s="218">
        <v>26574</v>
      </c>
    </row>
    <row r="125" spans="1:8" ht="24" customHeight="1" x14ac:dyDescent="0.2">
      <c r="A125" s="85">
        <v>2</v>
      </c>
      <c r="B125" s="75" t="s">
        <v>381</v>
      </c>
      <c r="C125" s="218">
        <v>6512</v>
      </c>
      <c r="D125" s="218">
        <v>6338</v>
      </c>
      <c r="E125" s="218">
        <v>6533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4.2114557739557741</v>
      </c>
      <c r="D126" s="219">
        <f>IF(D125=0,0,D124/D125)</f>
        <v>3.9837488166614072</v>
      </c>
      <c r="E126" s="219">
        <f>IF(E125=0,0,E124/E125)</f>
        <v>4.0676565130874023</v>
      </c>
    </row>
    <row r="127" spans="1:8" ht="24" customHeight="1" x14ac:dyDescent="0.2">
      <c r="A127" s="85">
        <v>4</v>
      </c>
      <c r="B127" s="75" t="s">
        <v>383</v>
      </c>
      <c r="C127" s="218">
        <v>81</v>
      </c>
      <c r="D127" s="218">
        <v>75</v>
      </c>
      <c r="E127" s="218">
        <v>77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122</v>
      </c>
      <c r="E128" s="218">
        <v>122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122</v>
      </c>
      <c r="D129" s="218">
        <v>122</v>
      </c>
      <c r="E129" s="218">
        <v>122</v>
      </c>
    </row>
    <row r="130" spans="1:7" ht="24" customHeight="1" x14ac:dyDescent="0.2">
      <c r="A130" s="85">
        <v>7</v>
      </c>
      <c r="B130" s="75" t="s">
        <v>386</v>
      </c>
      <c r="C130" s="193">
        <v>0.92759999999999998</v>
      </c>
      <c r="D130" s="193">
        <v>0.92230000000000001</v>
      </c>
      <c r="E130" s="193">
        <v>0.94550000000000001</v>
      </c>
    </row>
    <row r="131" spans="1:7" ht="24" customHeight="1" x14ac:dyDescent="0.2">
      <c r="A131" s="85">
        <v>8</v>
      </c>
      <c r="B131" s="75" t="s">
        <v>387</v>
      </c>
      <c r="C131" s="193">
        <v>0.61580000000000001</v>
      </c>
      <c r="D131" s="193">
        <v>0.56699999999999995</v>
      </c>
      <c r="E131" s="193">
        <v>0.59670000000000001</v>
      </c>
    </row>
    <row r="132" spans="1:7" ht="24" customHeight="1" x14ac:dyDescent="0.2">
      <c r="A132" s="85">
        <v>9</v>
      </c>
      <c r="B132" s="75" t="s">
        <v>388</v>
      </c>
      <c r="C132" s="219">
        <v>744.3</v>
      </c>
      <c r="D132" s="219">
        <v>768.4</v>
      </c>
      <c r="E132" s="219">
        <v>789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0.33312816110170601</v>
      </c>
      <c r="D135" s="227">
        <f>IF(D149=0,0,D143/D149)</f>
        <v>0.32779139683132225</v>
      </c>
      <c r="E135" s="227">
        <f>IF(E149=0,0,E143/E149)</f>
        <v>0.31036996044730891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0.45207337480501386</v>
      </c>
      <c r="D136" s="227">
        <f>IF(D149=0,0,D144/D149)</f>
        <v>0.46160472515436501</v>
      </c>
      <c r="E136" s="227">
        <f>IF(E149=0,0,E144/E149)</f>
        <v>0.47248340455022353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0.1847374128801102</v>
      </c>
      <c r="D137" s="227">
        <f>IF(D149=0,0,D145/D149)</f>
        <v>0.17772839777364957</v>
      </c>
      <c r="E137" s="227">
        <f>IF(E149=0,0,E145/E149)</f>
        <v>0.1854037044775475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1.1168070271448591E-3</v>
      </c>
      <c r="D138" s="227">
        <f>IF(D149=0,0,D146/D149)</f>
        <v>1.1657091883285038E-3</v>
      </c>
      <c r="E138" s="227">
        <f>IF(E149=0,0,E146/E149)</f>
        <v>6.682309567670894E-4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2.4732871434343998E-2</v>
      </c>
      <c r="D139" s="227">
        <f>IF(D149=0,0,D147/D149)</f>
        <v>2.7462799830795553E-2</v>
      </c>
      <c r="E139" s="227">
        <f>IF(E149=0,0,E147/E149)</f>
        <v>2.7327506543844162E-2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4.2113727516810574E-3</v>
      </c>
      <c r="D140" s="227">
        <f>IF(D149=0,0,D148/D149)</f>
        <v>4.2469712215391225E-3</v>
      </c>
      <c r="E140" s="227">
        <f>IF(E149=0,0,E148/E149)</f>
        <v>3.7471930243088087E-3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1.0000000000000002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69500394</v>
      </c>
      <c r="D143" s="229">
        <f>+D46-D147</f>
        <v>77709316</v>
      </c>
      <c r="E143" s="229">
        <f>+E46-E147</f>
        <v>80677124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94315886</v>
      </c>
      <c r="D144" s="229">
        <f>+D51</f>
        <v>109432364</v>
      </c>
      <c r="E144" s="229">
        <f>+E51</f>
        <v>122816661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38541692</v>
      </c>
      <c r="D145" s="229">
        <f>+D55</f>
        <v>42133968</v>
      </c>
      <c r="E145" s="229">
        <f>+E55</f>
        <v>48193574</v>
      </c>
    </row>
    <row r="146" spans="1:7" ht="20.100000000000001" customHeight="1" x14ac:dyDescent="0.2">
      <c r="A146" s="226">
        <v>11</v>
      </c>
      <c r="B146" s="224" t="s">
        <v>400</v>
      </c>
      <c r="C146" s="228">
        <v>232999</v>
      </c>
      <c r="D146" s="229">
        <v>276354</v>
      </c>
      <c r="E146" s="229">
        <v>173699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5160009</v>
      </c>
      <c r="D147" s="229">
        <f>+D47</f>
        <v>6510590</v>
      </c>
      <c r="E147" s="229">
        <f>+E47</f>
        <v>7103473</v>
      </c>
    </row>
    <row r="148" spans="1:7" ht="20.100000000000001" customHeight="1" x14ac:dyDescent="0.2">
      <c r="A148" s="226">
        <v>13</v>
      </c>
      <c r="B148" s="224" t="s">
        <v>402</v>
      </c>
      <c r="C148" s="230">
        <v>878617</v>
      </c>
      <c r="D148" s="229">
        <v>1006827</v>
      </c>
      <c r="E148" s="229">
        <v>974040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208629597</v>
      </c>
      <c r="D149" s="229">
        <f>SUM(D143:D148)</f>
        <v>237069419</v>
      </c>
      <c r="E149" s="229">
        <f>SUM(E143:E148)</f>
        <v>259938571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0.36994302121248096</v>
      </c>
      <c r="D152" s="227">
        <f>IF(D166=0,0,D160/D166)</f>
        <v>0.37655394070701864</v>
      </c>
      <c r="E152" s="227">
        <f>IF(E166=0,0,E160/E166)</f>
        <v>0.36988973636573502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0.47300653665202425</v>
      </c>
      <c r="D153" s="227">
        <f>IF(D166=0,0,D161/D166)</f>
        <v>0.47230622707066811</v>
      </c>
      <c r="E153" s="227">
        <f>IF(E166=0,0,E161/E166)</f>
        <v>0.48024303447719596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0.13845304517764467</v>
      </c>
      <c r="D154" s="227">
        <f>IF(D166=0,0,D162/D166)</f>
        <v>0.13168490409905484</v>
      </c>
      <c r="E154" s="227">
        <f>IF(E166=0,0,E162/E166)</f>
        <v>0.13526712220905637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6.3265951569727171E-4</v>
      </c>
      <c r="D155" s="227">
        <f>IF(D166=0,0,D163/D166)</f>
        <v>6.0363650434871238E-4</v>
      </c>
      <c r="E155" s="227">
        <f>IF(E166=0,0,E163/E166)</f>
        <v>4.260181806854865E-4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1.3683936211022305E-2</v>
      </c>
      <c r="D156" s="227">
        <f>IF(D166=0,0,D164/D166)</f>
        <v>1.4673329724666664E-2</v>
      </c>
      <c r="E156" s="227">
        <f>IF(E166=0,0,E164/E166)</f>
        <v>1.0348428481067968E-2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4.2808012311304914E-3</v>
      </c>
      <c r="D157" s="227">
        <f>IF(D166=0,0,D165/D166)</f>
        <v>4.1779618942430546E-3</v>
      </c>
      <c r="E157" s="227">
        <f>IF(E166=0,0,E165/E166)</f>
        <v>3.8256602862591924E-3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39685901</v>
      </c>
      <c r="D160" s="229">
        <f>+D44-D164</f>
        <v>42544404</v>
      </c>
      <c r="E160" s="229">
        <f>+E44-E164</f>
        <v>43455848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50742113</v>
      </c>
      <c r="D161" s="229">
        <f>+D50</f>
        <v>53362838</v>
      </c>
      <c r="E161" s="229">
        <f>+E50</f>
        <v>56420512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14852649</v>
      </c>
      <c r="D162" s="229">
        <f>+D54</f>
        <v>14878229</v>
      </c>
      <c r="E162" s="229">
        <f>+E54</f>
        <v>15891621</v>
      </c>
    </row>
    <row r="163" spans="1:6" ht="20.100000000000001" customHeight="1" x14ac:dyDescent="0.2">
      <c r="A163" s="226">
        <v>11</v>
      </c>
      <c r="B163" s="224" t="s">
        <v>415</v>
      </c>
      <c r="C163" s="228">
        <v>67869</v>
      </c>
      <c r="D163" s="229">
        <v>68201</v>
      </c>
      <c r="E163" s="229">
        <v>50050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1467954</v>
      </c>
      <c r="D164" s="229">
        <f>+D45</f>
        <v>1657845</v>
      </c>
      <c r="E164" s="229">
        <f>+E45</f>
        <v>1215767</v>
      </c>
    </row>
    <row r="165" spans="1:6" ht="20.100000000000001" customHeight="1" x14ac:dyDescent="0.2">
      <c r="A165" s="226">
        <v>13</v>
      </c>
      <c r="B165" s="224" t="s">
        <v>417</v>
      </c>
      <c r="C165" s="230">
        <v>459226</v>
      </c>
      <c r="D165" s="229">
        <v>472041</v>
      </c>
      <c r="E165" s="229">
        <v>449451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107275712</v>
      </c>
      <c r="D166" s="229">
        <f>SUM(D160:D165)</f>
        <v>112983558</v>
      </c>
      <c r="E166" s="229">
        <f>SUM(E160:E165)</f>
        <v>117483249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1747</v>
      </c>
      <c r="D169" s="218">
        <v>1720</v>
      </c>
      <c r="E169" s="218">
        <v>1821</v>
      </c>
    </row>
    <row r="170" spans="1:6" ht="20.100000000000001" customHeight="1" x14ac:dyDescent="0.2">
      <c r="A170" s="226">
        <v>2</v>
      </c>
      <c r="B170" s="224" t="s">
        <v>420</v>
      </c>
      <c r="C170" s="218">
        <v>3532</v>
      </c>
      <c r="D170" s="218">
        <v>3482</v>
      </c>
      <c r="E170" s="218">
        <v>3510</v>
      </c>
    </row>
    <row r="171" spans="1:6" ht="20.100000000000001" customHeight="1" x14ac:dyDescent="0.2">
      <c r="A171" s="226">
        <v>3</v>
      </c>
      <c r="B171" s="224" t="s">
        <v>421</v>
      </c>
      <c r="C171" s="218">
        <v>1200</v>
      </c>
      <c r="D171" s="218">
        <v>1105</v>
      </c>
      <c r="E171" s="218">
        <v>1170</v>
      </c>
    </row>
    <row r="172" spans="1:6" ht="20.100000000000001" customHeight="1" x14ac:dyDescent="0.2">
      <c r="A172" s="226">
        <v>4</v>
      </c>
      <c r="B172" s="224" t="s">
        <v>422</v>
      </c>
      <c r="C172" s="218">
        <v>1192</v>
      </c>
      <c r="D172" s="218">
        <v>1103</v>
      </c>
      <c r="E172" s="218">
        <v>1167</v>
      </c>
    </row>
    <row r="173" spans="1:6" ht="20.100000000000001" customHeight="1" x14ac:dyDescent="0.2">
      <c r="A173" s="226">
        <v>5</v>
      </c>
      <c r="B173" s="224" t="s">
        <v>423</v>
      </c>
      <c r="C173" s="218">
        <v>8</v>
      </c>
      <c r="D173" s="218">
        <v>2</v>
      </c>
      <c r="E173" s="218">
        <v>3</v>
      </c>
    </row>
    <row r="174" spans="1:6" ht="20.100000000000001" customHeight="1" x14ac:dyDescent="0.2">
      <c r="A174" s="226">
        <v>6</v>
      </c>
      <c r="B174" s="224" t="s">
        <v>424</v>
      </c>
      <c r="C174" s="218">
        <v>33</v>
      </c>
      <c r="D174" s="218">
        <v>31</v>
      </c>
      <c r="E174" s="218">
        <v>32</v>
      </c>
    </row>
    <row r="175" spans="1:6" ht="20.100000000000001" customHeight="1" x14ac:dyDescent="0.2">
      <c r="A175" s="226">
        <v>7</v>
      </c>
      <c r="B175" s="224" t="s">
        <v>425</v>
      </c>
      <c r="C175" s="218">
        <v>90</v>
      </c>
      <c r="D175" s="218">
        <v>114</v>
      </c>
      <c r="E175" s="218">
        <v>200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6512</v>
      </c>
      <c r="D176" s="218">
        <f>+D169+D170+D171+D174</f>
        <v>6338</v>
      </c>
      <c r="E176" s="218">
        <f>+E169+E170+E171+E174</f>
        <v>6533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1.1544000000000001</v>
      </c>
      <c r="D179" s="231">
        <v>1.1603000000000001</v>
      </c>
      <c r="E179" s="231">
        <v>1.0895999999999999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1.4061999999999999</v>
      </c>
      <c r="D180" s="231">
        <v>1.3565</v>
      </c>
      <c r="E180" s="231">
        <v>1.4476</v>
      </c>
    </row>
    <row r="181" spans="1:6" ht="20.100000000000001" customHeight="1" x14ac:dyDescent="0.2">
      <c r="A181" s="226">
        <v>3</v>
      </c>
      <c r="B181" s="224" t="s">
        <v>421</v>
      </c>
      <c r="C181" s="231">
        <v>0.97322900000000001</v>
      </c>
      <c r="D181" s="231">
        <v>1.008313</v>
      </c>
      <c r="E181" s="231">
        <v>1.0481929999999999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0.97260000000000002</v>
      </c>
      <c r="D182" s="231">
        <v>1.0074000000000001</v>
      </c>
      <c r="E182" s="231">
        <v>1.048</v>
      </c>
    </row>
    <row r="183" spans="1:6" ht="20.100000000000001" customHeight="1" x14ac:dyDescent="0.2">
      <c r="A183" s="226">
        <v>5</v>
      </c>
      <c r="B183" s="224" t="s">
        <v>423</v>
      </c>
      <c r="C183" s="231">
        <v>1.0669999999999999</v>
      </c>
      <c r="D183" s="231">
        <v>1.512</v>
      </c>
      <c r="E183" s="231">
        <v>1.1234999999999999</v>
      </c>
    </row>
    <row r="184" spans="1:6" ht="20.100000000000001" customHeight="1" x14ac:dyDescent="0.2">
      <c r="A184" s="226">
        <v>6</v>
      </c>
      <c r="B184" s="224" t="s">
        <v>424</v>
      </c>
      <c r="C184" s="231">
        <v>1.1505000000000001</v>
      </c>
      <c r="D184" s="231">
        <v>1.0644</v>
      </c>
      <c r="E184" s="231">
        <v>1.0033000000000001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0.97450000000000003</v>
      </c>
      <c r="D185" s="231">
        <v>1.0903</v>
      </c>
      <c r="E185" s="231">
        <v>1.0268999999999999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1.2575670000000001</v>
      </c>
      <c r="D186" s="231">
        <v>1.2411220000000001</v>
      </c>
      <c r="E186" s="231">
        <v>1.274105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5055</v>
      </c>
      <c r="D189" s="218">
        <v>5066</v>
      </c>
      <c r="E189" s="218">
        <v>5182</v>
      </c>
    </row>
    <row r="190" spans="1:6" ht="20.100000000000001" customHeight="1" x14ac:dyDescent="0.2">
      <c r="A190" s="226">
        <v>2</v>
      </c>
      <c r="B190" s="224" t="s">
        <v>433</v>
      </c>
      <c r="C190" s="218">
        <v>34480</v>
      </c>
      <c r="D190" s="218">
        <v>35812</v>
      </c>
      <c r="E190" s="218">
        <v>35790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39535</v>
      </c>
      <c r="D191" s="218">
        <f>+D190+D189</f>
        <v>40878</v>
      </c>
      <c r="E191" s="218">
        <f>+E190+E189</f>
        <v>40972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236294</v>
      </c>
      <c r="D14" s="258">
        <v>439418</v>
      </c>
      <c r="E14" s="258">
        <f t="shared" ref="E14:E24" si="0">D14-C14</f>
        <v>203124</v>
      </c>
      <c r="F14" s="259">
        <f t="shared" ref="F14:F24" si="1">IF(C14=0,0,E14/C14)</f>
        <v>0.85962402769431301</v>
      </c>
    </row>
    <row r="15" spans="1:7" ht="20.25" customHeight="1" x14ac:dyDescent="0.3">
      <c r="A15" s="256">
        <v>2</v>
      </c>
      <c r="B15" s="257" t="s">
        <v>442</v>
      </c>
      <c r="C15" s="258">
        <v>111324</v>
      </c>
      <c r="D15" s="258">
        <v>205951</v>
      </c>
      <c r="E15" s="258">
        <f t="shared" si="0"/>
        <v>94627</v>
      </c>
      <c r="F15" s="259">
        <f t="shared" si="1"/>
        <v>0.85001437246236211</v>
      </c>
    </row>
    <row r="16" spans="1:7" ht="20.25" customHeight="1" x14ac:dyDescent="0.3">
      <c r="A16" s="256">
        <v>3</v>
      </c>
      <c r="B16" s="257" t="s">
        <v>443</v>
      </c>
      <c r="C16" s="258">
        <v>245783</v>
      </c>
      <c r="D16" s="258">
        <v>537003</v>
      </c>
      <c r="E16" s="258">
        <f t="shared" si="0"/>
        <v>291220</v>
      </c>
      <c r="F16" s="259">
        <f t="shared" si="1"/>
        <v>1.1848663251730185</v>
      </c>
    </row>
    <row r="17" spans="1:6" ht="20.25" customHeight="1" x14ac:dyDescent="0.3">
      <c r="A17" s="256">
        <v>4</v>
      </c>
      <c r="B17" s="257" t="s">
        <v>444</v>
      </c>
      <c r="C17" s="258">
        <v>74674</v>
      </c>
      <c r="D17" s="258">
        <v>166622</v>
      </c>
      <c r="E17" s="258">
        <f t="shared" si="0"/>
        <v>91948</v>
      </c>
      <c r="F17" s="259">
        <f t="shared" si="1"/>
        <v>1.2313254948174732</v>
      </c>
    </row>
    <row r="18" spans="1:6" ht="20.25" customHeight="1" x14ac:dyDescent="0.3">
      <c r="A18" s="256">
        <v>5</v>
      </c>
      <c r="B18" s="257" t="s">
        <v>381</v>
      </c>
      <c r="C18" s="260">
        <v>17</v>
      </c>
      <c r="D18" s="260">
        <v>23</v>
      </c>
      <c r="E18" s="260">
        <f t="shared" si="0"/>
        <v>6</v>
      </c>
      <c r="F18" s="259">
        <f t="shared" si="1"/>
        <v>0.35294117647058826</v>
      </c>
    </row>
    <row r="19" spans="1:6" ht="20.25" customHeight="1" x14ac:dyDescent="0.3">
      <c r="A19" s="256">
        <v>6</v>
      </c>
      <c r="B19" s="257" t="s">
        <v>380</v>
      </c>
      <c r="C19" s="260">
        <v>70</v>
      </c>
      <c r="D19" s="260">
        <v>92</v>
      </c>
      <c r="E19" s="260">
        <f t="shared" si="0"/>
        <v>22</v>
      </c>
      <c r="F19" s="259">
        <f t="shared" si="1"/>
        <v>0.31428571428571428</v>
      </c>
    </row>
    <row r="20" spans="1:6" ht="20.25" customHeight="1" x14ac:dyDescent="0.3">
      <c r="A20" s="256">
        <v>7</v>
      </c>
      <c r="B20" s="257" t="s">
        <v>445</v>
      </c>
      <c r="C20" s="260">
        <v>472</v>
      </c>
      <c r="D20" s="260">
        <v>822</v>
      </c>
      <c r="E20" s="260">
        <f t="shared" si="0"/>
        <v>350</v>
      </c>
      <c r="F20" s="259">
        <f t="shared" si="1"/>
        <v>0.74152542372881358</v>
      </c>
    </row>
    <row r="21" spans="1:6" ht="20.25" customHeight="1" x14ac:dyDescent="0.3">
      <c r="A21" s="256">
        <v>8</v>
      </c>
      <c r="B21" s="257" t="s">
        <v>446</v>
      </c>
      <c r="C21" s="260">
        <v>39</v>
      </c>
      <c r="D21" s="260">
        <v>71</v>
      </c>
      <c r="E21" s="260">
        <f t="shared" si="0"/>
        <v>32</v>
      </c>
      <c r="F21" s="259">
        <f t="shared" si="1"/>
        <v>0.82051282051282048</v>
      </c>
    </row>
    <row r="22" spans="1:6" ht="20.25" customHeight="1" x14ac:dyDescent="0.3">
      <c r="A22" s="256">
        <v>9</v>
      </c>
      <c r="B22" s="257" t="s">
        <v>447</v>
      </c>
      <c r="C22" s="260">
        <v>17</v>
      </c>
      <c r="D22" s="260">
        <v>21</v>
      </c>
      <c r="E22" s="260">
        <f t="shared" si="0"/>
        <v>4</v>
      </c>
      <c r="F22" s="259">
        <f t="shared" si="1"/>
        <v>0.23529411764705882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482077</v>
      </c>
      <c r="D23" s="263">
        <f>+D14+D16</f>
        <v>976421</v>
      </c>
      <c r="E23" s="263">
        <f t="shared" si="0"/>
        <v>494344</v>
      </c>
      <c r="F23" s="264">
        <f t="shared" si="1"/>
        <v>1.0254461424212316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185998</v>
      </c>
      <c r="D24" s="263">
        <f>+D15+D17</f>
        <v>372573</v>
      </c>
      <c r="E24" s="263">
        <f t="shared" si="0"/>
        <v>186575</v>
      </c>
      <c r="F24" s="264">
        <f t="shared" si="1"/>
        <v>1.0031021838944505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2887477</v>
      </c>
      <c r="D40" s="258">
        <v>2950906</v>
      </c>
      <c r="E40" s="258">
        <f t="shared" ref="E40:E50" si="4">D40-C40</f>
        <v>63429</v>
      </c>
      <c r="F40" s="259">
        <f t="shared" ref="F40:F50" si="5">IF(C40=0,0,E40/C40)</f>
        <v>2.1966928221419598E-2</v>
      </c>
    </row>
    <row r="41" spans="1:6" ht="20.25" customHeight="1" x14ac:dyDescent="0.3">
      <c r="A41" s="256">
        <v>2</v>
      </c>
      <c r="B41" s="257" t="s">
        <v>442</v>
      </c>
      <c r="C41" s="258">
        <v>1550570</v>
      </c>
      <c r="D41" s="258">
        <v>1703814</v>
      </c>
      <c r="E41" s="258">
        <f t="shared" si="4"/>
        <v>153244</v>
      </c>
      <c r="F41" s="259">
        <f t="shared" si="5"/>
        <v>9.8830752561961083E-2</v>
      </c>
    </row>
    <row r="42" spans="1:6" ht="20.25" customHeight="1" x14ac:dyDescent="0.3">
      <c r="A42" s="256">
        <v>3</v>
      </c>
      <c r="B42" s="257" t="s">
        <v>443</v>
      </c>
      <c r="C42" s="258">
        <v>3597401</v>
      </c>
      <c r="D42" s="258">
        <v>4194625</v>
      </c>
      <c r="E42" s="258">
        <f t="shared" si="4"/>
        <v>597224</v>
      </c>
      <c r="F42" s="259">
        <f t="shared" si="5"/>
        <v>0.166015409458106</v>
      </c>
    </row>
    <row r="43" spans="1:6" ht="20.25" customHeight="1" x14ac:dyDescent="0.3">
      <c r="A43" s="256">
        <v>4</v>
      </c>
      <c r="B43" s="257" t="s">
        <v>444</v>
      </c>
      <c r="C43" s="258">
        <v>1247567</v>
      </c>
      <c r="D43" s="258">
        <v>1437328</v>
      </c>
      <c r="E43" s="258">
        <f t="shared" si="4"/>
        <v>189761</v>
      </c>
      <c r="F43" s="259">
        <f t="shared" si="5"/>
        <v>0.15210485689345743</v>
      </c>
    </row>
    <row r="44" spans="1:6" ht="20.25" customHeight="1" x14ac:dyDescent="0.3">
      <c r="A44" s="256">
        <v>5</v>
      </c>
      <c r="B44" s="257" t="s">
        <v>381</v>
      </c>
      <c r="C44" s="260">
        <v>164</v>
      </c>
      <c r="D44" s="260">
        <v>171</v>
      </c>
      <c r="E44" s="260">
        <f t="shared" si="4"/>
        <v>7</v>
      </c>
      <c r="F44" s="259">
        <f t="shared" si="5"/>
        <v>4.2682926829268296E-2</v>
      </c>
    </row>
    <row r="45" spans="1:6" ht="20.25" customHeight="1" x14ac:dyDescent="0.3">
      <c r="A45" s="256">
        <v>6</v>
      </c>
      <c r="B45" s="257" t="s">
        <v>380</v>
      </c>
      <c r="C45" s="260">
        <v>673</v>
      </c>
      <c r="D45" s="260">
        <v>677</v>
      </c>
      <c r="E45" s="260">
        <f t="shared" si="4"/>
        <v>4</v>
      </c>
      <c r="F45" s="259">
        <f t="shared" si="5"/>
        <v>5.9435364041604752E-3</v>
      </c>
    </row>
    <row r="46" spans="1:6" ht="20.25" customHeight="1" x14ac:dyDescent="0.3">
      <c r="A46" s="256">
        <v>7</v>
      </c>
      <c r="B46" s="257" t="s">
        <v>445</v>
      </c>
      <c r="C46" s="260">
        <v>5403</v>
      </c>
      <c r="D46" s="260">
        <v>6018</v>
      </c>
      <c r="E46" s="260">
        <f t="shared" si="4"/>
        <v>615</v>
      </c>
      <c r="F46" s="259">
        <f t="shared" si="5"/>
        <v>0.11382565241532482</v>
      </c>
    </row>
    <row r="47" spans="1:6" ht="20.25" customHeight="1" x14ac:dyDescent="0.3">
      <c r="A47" s="256">
        <v>8</v>
      </c>
      <c r="B47" s="257" t="s">
        <v>446</v>
      </c>
      <c r="C47" s="260">
        <v>409</v>
      </c>
      <c r="D47" s="260">
        <v>421</v>
      </c>
      <c r="E47" s="260">
        <f t="shared" si="4"/>
        <v>12</v>
      </c>
      <c r="F47" s="259">
        <f t="shared" si="5"/>
        <v>2.9339853300733496E-2</v>
      </c>
    </row>
    <row r="48" spans="1:6" ht="20.25" customHeight="1" x14ac:dyDescent="0.3">
      <c r="A48" s="256">
        <v>9</v>
      </c>
      <c r="B48" s="257" t="s">
        <v>447</v>
      </c>
      <c r="C48" s="260">
        <v>133</v>
      </c>
      <c r="D48" s="260">
        <v>149</v>
      </c>
      <c r="E48" s="260">
        <f t="shared" si="4"/>
        <v>16</v>
      </c>
      <c r="F48" s="259">
        <f t="shared" si="5"/>
        <v>0.12030075187969924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6484878</v>
      </c>
      <c r="D49" s="263">
        <f>+D40+D42</f>
        <v>7145531</v>
      </c>
      <c r="E49" s="263">
        <f t="shared" si="4"/>
        <v>660653</v>
      </c>
      <c r="F49" s="264">
        <f t="shared" si="5"/>
        <v>0.10187593351794745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2798137</v>
      </c>
      <c r="D50" s="263">
        <f>+D41+D43</f>
        <v>3141142</v>
      </c>
      <c r="E50" s="263">
        <f t="shared" si="4"/>
        <v>343005</v>
      </c>
      <c r="F50" s="264">
        <f t="shared" si="5"/>
        <v>0.122583347420087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85793</v>
      </c>
      <c r="D66" s="258">
        <v>227820</v>
      </c>
      <c r="E66" s="258">
        <f t="shared" ref="E66:E76" si="8">D66-C66</f>
        <v>142027</v>
      </c>
      <c r="F66" s="259">
        <f t="shared" ref="F66:F76" si="9">IF(C66=0,0,E66/C66)</f>
        <v>1.6554614012798248</v>
      </c>
    </row>
    <row r="67" spans="1:6" ht="20.25" customHeight="1" x14ac:dyDescent="0.3">
      <c r="A67" s="256">
        <v>2</v>
      </c>
      <c r="B67" s="257" t="s">
        <v>442</v>
      </c>
      <c r="C67" s="258">
        <v>52677</v>
      </c>
      <c r="D67" s="258">
        <v>115019</v>
      </c>
      <c r="E67" s="258">
        <f t="shared" si="8"/>
        <v>62342</v>
      </c>
      <c r="F67" s="259">
        <f t="shared" si="9"/>
        <v>1.1834766596427284</v>
      </c>
    </row>
    <row r="68" spans="1:6" ht="20.25" customHeight="1" x14ac:dyDescent="0.3">
      <c r="A68" s="256">
        <v>3</v>
      </c>
      <c r="B68" s="257" t="s">
        <v>443</v>
      </c>
      <c r="C68" s="258">
        <v>47539</v>
      </c>
      <c r="D68" s="258">
        <v>79451</v>
      </c>
      <c r="E68" s="258">
        <f t="shared" si="8"/>
        <v>31912</v>
      </c>
      <c r="F68" s="259">
        <f t="shared" si="9"/>
        <v>0.6712804223900376</v>
      </c>
    </row>
    <row r="69" spans="1:6" ht="20.25" customHeight="1" x14ac:dyDescent="0.3">
      <c r="A69" s="256">
        <v>4</v>
      </c>
      <c r="B69" s="257" t="s">
        <v>444</v>
      </c>
      <c r="C69" s="258">
        <v>10120</v>
      </c>
      <c r="D69" s="258">
        <v>31376</v>
      </c>
      <c r="E69" s="258">
        <f t="shared" si="8"/>
        <v>21256</v>
      </c>
      <c r="F69" s="259">
        <f t="shared" si="9"/>
        <v>2.1003952569169959</v>
      </c>
    </row>
    <row r="70" spans="1:6" ht="20.25" customHeight="1" x14ac:dyDescent="0.3">
      <c r="A70" s="256">
        <v>5</v>
      </c>
      <c r="B70" s="257" t="s">
        <v>381</v>
      </c>
      <c r="C70" s="260">
        <v>5</v>
      </c>
      <c r="D70" s="260">
        <v>10</v>
      </c>
      <c r="E70" s="260">
        <f t="shared" si="8"/>
        <v>5</v>
      </c>
      <c r="F70" s="259">
        <f t="shared" si="9"/>
        <v>1</v>
      </c>
    </row>
    <row r="71" spans="1:6" ht="20.25" customHeight="1" x14ac:dyDescent="0.3">
      <c r="A71" s="256">
        <v>6</v>
      </c>
      <c r="B71" s="257" t="s">
        <v>380</v>
      </c>
      <c r="C71" s="260">
        <v>24</v>
      </c>
      <c r="D71" s="260">
        <v>76</v>
      </c>
      <c r="E71" s="260">
        <f t="shared" si="8"/>
        <v>52</v>
      </c>
      <c r="F71" s="259">
        <f t="shared" si="9"/>
        <v>2.1666666666666665</v>
      </c>
    </row>
    <row r="72" spans="1:6" ht="20.25" customHeight="1" x14ac:dyDescent="0.3">
      <c r="A72" s="256">
        <v>7</v>
      </c>
      <c r="B72" s="257" t="s">
        <v>445</v>
      </c>
      <c r="C72" s="260">
        <v>51</v>
      </c>
      <c r="D72" s="260">
        <v>91</v>
      </c>
      <c r="E72" s="260">
        <f t="shared" si="8"/>
        <v>40</v>
      </c>
      <c r="F72" s="259">
        <f t="shared" si="9"/>
        <v>0.78431372549019607</v>
      </c>
    </row>
    <row r="73" spans="1:6" ht="20.25" customHeight="1" x14ac:dyDescent="0.3">
      <c r="A73" s="256">
        <v>8</v>
      </c>
      <c r="B73" s="257" t="s">
        <v>446</v>
      </c>
      <c r="C73" s="260">
        <v>18</v>
      </c>
      <c r="D73" s="260">
        <v>28</v>
      </c>
      <c r="E73" s="260">
        <f t="shared" si="8"/>
        <v>10</v>
      </c>
      <c r="F73" s="259">
        <f t="shared" si="9"/>
        <v>0.55555555555555558</v>
      </c>
    </row>
    <row r="74" spans="1:6" ht="20.25" customHeight="1" x14ac:dyDescent="0.3">
      <c r="A74" s="256">
        <v>9</v>
      </c>
      <c r="B74" s="257" t="s">
        <v>447</v>
      </c>
      <c r="C74" s="260">
        <v>4</v>
      </c>
      <c r="D74" s="260">
        <v>9</v>
      </c>
      <c r="E74" s="260">
        <f t="shared" si="8"/>
        <v>5</v>
      </c>
      <c r="F74" s="259">
        <f t="shared" si="9"/>
        <v>1.25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133332</v>
      </c>
      <c r="D75" s="263">
        <f>+D66+D68</f>
        <v>307271</v>
      </c>
      <c r="E75" s="263">
        <f t="shared" si="8"/>
        <v>173939</v>
      </c>
      <c r="F75" s="264">
        <f t="shared" si="9"/>
        <v>1.3045555455554556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62797</v>
      </c>
      <c r="D76" s="263">
        <f>+D67+D69</f>
        <v>146395</v>
      </c>
      <c r="E76" s="263">
        <f t="shared" si="8"/>
        <v>83598</v>
      </c>
      <c r="F76" s="264">
        <f t="shared" si="9"/>
        <v>1.3312419383091549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779</v>
      </c>
      <c r="D81" s="258">
        <v>0</v>
      </c>
      <c r="E81" s="258">
        <f t="shared" si="10"/>
        <v>-779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295</v>
      </c>
      <c r="D82" s="258">
        <v>0</v>
      </c>
      <c r="E82" s="258">
        <f t="shared" si="10"/>
        <v>-295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3</v>
      </c>
      <c r="D85" s="260">
        <v>0</v>
      </c>
      <c r="E85" s="260">
        <f t="shared" si="10"/>
        <v>-3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779</v>
      </c>
      <c r="D88" s="263">
        <f>+D79+D81</f>
        <v>0</v>
      </c>
      <c r="E88" s="263">
        <f t="shared" si="10"/>
        <v>-779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295</v>
      </c>
      <c r="D89" s="263">
        <f>+D80+D82</f>
        <v>0</v>
      </c>
      <c r="E89" s="263">
        <f t="shared" si="10"/>
        <v>-295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1318395</v>
      </c>
      <c r="D92" s="258">
        <v>1725808</v>
      </c>
      <c r="E92" s="258">
        <f t="shared" ref="E92:E102" si="12">D92-C92</f>
        <v>407413</v>
      </c>
      <c r="F92" s="259">
        <f t="shared" ref="F92:F102" si="13">IF(C92=0,0,E92/C92)</f>
        <v>0.30902195472525307</v>
      </c>
    </row>
    <row r="93" spans="1:6" ht="20.25" customHeight="1" x14ac:dyDescent="0.3">
      <c r="A93" s="256">
        <v>2</v>
      </c>
      <c r="B93" s="257" t="s">
        <v>442</v>
      </c>
      <c r="C93" s="258">
        <v>708239</v>
      </c>
      <c r="D93" s="258">
        <v>955750</v>
      </c>
      <c r="E93" s="258">
        <f t="shared" si="12"/>
        <v>247511</v>
      </c>
      <c r="F93" s="259">
        <f t="shared" si="13"/>
        <v>0.34947383580966312</v>
      </c>
    </row>
    <row r="94" spans="1:6" ht="20.25" customHeight="1" x14ac:dyDescent="0.3">
      <c r="A94" s="256">
        <v>3</v>
      </c>
      <c r="B94" s="257" t="s">
        <v>443</v>
      </c>
      <c r="C94" s="258">
        <v>2028879</v>
      </c>
      <c r="D94" s="258">
        <v>2494934</v>
      </c>
      <c r="E94" s="258">
        <f t="shared" si="12"/>
        <v>466055</v>
      </c>
      <c r="F94" s="259">
        <f t="shared" si="13"/>
        <v>0.22971059387967444</v>
      </c>
    </row>
    <row r="95" spans="1:6" ht="20.25" customHeight="1" x14ac:dyDescent="0.3">
      <c r="A95" s="256">
        <v>4</v>
      </c>
      <c r="B95" s="257" t="s">
        <v>444</v>
      </c>
      <c r="C95" s="258">
        <v>727090</v>
      </c>
      <c r="D95" s="258">
        <v>868538</v>
      </c>
      <c r="E95" s="258">
        <f t="shared" si="12"/>
        <v>141448</v>
      </c>
      <c r="F95" s="259">
        <f t="shared" si="13"/>
        <v>0.19453987814438378</v>
      </c>
    </row>
    <row r="96" spans="1:6" ht="20.25" customHeight="1" x14ac:dyDescent="0.3">
      <c r="A96" s="256">
        <v>5</v>
      </c>
      <c r="B96" s="257" t="s">
        <v>381</v>
      </c>
      <c r="C96" s="260">
        <v>86</v>
      </c>
      <c r="D96" s="260">
        <v>100</v>
      </c>
      <c r="E96" s="260">
        <f t="shared" si="12"/>
        <v>14</v>
      </c>
      <c r="F96" s="259">
        <f t="shared" si="13"/>
        <v>0.16279069767441862</v>
      </c>
    </row>
    <row r="97" spans="1:6" ht="20.25" customHeight="1" x14ac:dyDescent="0.3">
      <c r="A97" s="256">
        <v>6</v>
      </c>
      <c r="B97" s="257" t="s">
        <v>380</v>
      </c>
      <c r="C97" s="260">
        <v>369</v>
      </c>
      <c r="D97" s="260">
        <v>394</v>
      </c>
      <c r="E97" s="260">
        <f t="shared" si="12"/>
        <v>25</v>
      </c>
      <c r="F97" s="259">
        <f t="shared" si="13"/>
        <v>6.7750677506775062E-2</v>
      </c>
    </row>
    <row r="98" spans="1:6" ht="20.25" customHeight="1" x14ac:dyDescent="0.3">
      <c r="A98" s="256">
        <v>7</v>
      </c>
      <c r="B98" s="257" t="s">
        <v>445</v>
      </c>
      <c r="C98" s="260">
        <v>2631</v>
      </c>
      <c r="D98" s="260">
        <v>2995</v>
      </c>
      <c r="E98" s="260">
        <f t="shared" si="12"/>
        <v>364</v>
      </c>
      <c r="F98" s="259">
        <f t="shared" si="13"/>
        <v>0.13835043709616116</v>
      </c>
    </row>
    <row r="99" spans="1:6" ht="20.25" customHeight="1" x14ac:dyDescent="0.3">
      <c r="A99" s="256">
        <v>8</v>
      </c>
      <c r="B99" s="257" t="s">
        <v>446</v>
      </c>
      <c r="C99" s="260">
        <v>310</v>
      </c>
      <c r="D99" s="260">
        <v>309</v>
      </c>
      <c r="E99" s="260">
        <f t="shared" si="12"/>
        <v>-1</v>
      </c>
      <c r="F99" s="259">
        <f t="shared" si="13"/>
        <v>-3.2258064516129032E-3</v>
      </c>
    </row>
    <row r="100" spans="1:6" ht="20.25" customHeight="1" x14ac:dyDescent="0.3">
      <c r="A100" s="256">
        <v>9</v>
      </c>
      <c r="B100" s="257" t="s">
        <v>447</v>
      </c>
      <c r="C100" s="260">
        <v>75</v>
      </c>
      <c r="D100" s="260">
        <v>86</v>
      </c>
      <c r="E100" s="260">
        <f t="shared" si="12"/>
        <v>11</v>
      </c>
      <c r="F100" s="259">
        <f t="shared" si="13"/>
        <v>0.14666666666666667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3347274</v>
      </c>
      <c r="D101" s="263">
        <f>+D92+D94</f>
        <v>4220742</v>
      </c>
      <c r="E101" s="263">
        <f t="shared" si="12"/>
        <v>873468</v>
      </c>
      <c r="F101" s="264">
        <f t="shared" si="13"/>
        <v>0.26094905884609387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1435329</v>
      </c>
      <c r="D102" s="263">
        <f>+D93+D95</f>
        <v>1824288</v>
      </c>
      <c r="E102" s="263">
        <f t="shared" si="12"/>
        <v>388959</v>
      </c>
      <c r="F102" s="264">
        <f t="shared" si="13"/>
        <v>0.2709894386583146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6177</v>
      </c>
      <c r="D107" s="258">
        <v>0</v>
      </c>
      <c r="E107" s="258">
        <f t="shared" si="14"/>
        <v>-6177</v>
      </c>
      <c r="F107" s="259">
        <f t="shared" si="15"/>
        <v>-1</v>
      </c>
    </row>
    <row r="108" spans="1:6" ht="20.25" customHeight="1" x14ac:dyDescent="0.3">
      <c r="A108" s="256">
        <v>4</v>
      </c>
      <c r="B108" s="257" t="s">
        <v>444</v>
      </c>
      <c r="C108" s="258">
        <v>2733</v>
      </c>
      <c r="D108" s="258">
        <v>0</v>
      </c>
      <c r="E108" s="258">
        <f t="shared" si="14"/>
        <v>-2733</v>
      </c>
      <c r="F108" s="259">
        <f t="shared" si="15"/>
        <v>-1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3</v>
      </c>
      <c r="D111" s="260">
        <v>0</v>
      </c>
      <c r="E111" s="260">
        <f t="shared" si="14"/>
        <v>-3</v>
      </c>
      <c r="F111" s="259">
        <f t="shared" si="15"/>
        <v>-1</v>
      </c>
    </row>
    <row r="112" spans="1:6" ht="20.25" customHeight="1" x14ac:dyDescent="0.3">
      <c r="A112" s="256">
        <v>8</v>
      </c>
      <c r="B112" s="257" t="s">
        <v>446</v>
      </c>
      <c r="C112" s="260">
        <v>1</v>
      </c>
      <c r="D112" s="260">
        <v>0</v>
      </c>
      <c r="E112" s="260">
        <f t="shared" si="14"/>
        <v>-1</v>
      </c>
      <c r="F112" s="259">
        <f t="shared" si="15"/>
        <v>-1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6177</v>
      </c>
      <c r="D114" s="263">
        <f>+D105+D107</f>
        <v>0</v>
      </c>
      <c r="E114" s="263">
        <f t="shared" si="14"/>
        <v>-6177</v>
      </c>
      <c r="F114" s="264">
        <f t="shared" si="15"/>
        <v>-1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2733</v>
      </c>
      <c r="D115" s="263">
        <f>+D106+D108</f>
        <v>0</v>
      </c>
      <c r="E115" s="263">
        <f t="shared" si="14"/>
        <v>-2733</v>
      </c>
      <c r="F115" s="264">
        <f t="shared" si="15"/>
        <v>-1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766342</v>
      </c>
      <c r="D118" s="258">
        <v>1770029</v>
      </c>
      <c r="E118" s="258">
        <f t="shared" ref="E118:E128" si="16">D118-C118</f>
        <v>1003687</v>
      </c>
      <c r="F118" s="259">
        <f t="shared" ref="F118:F128" si="17">IF(C118=0,0,E118/C118)</f>
        <v>1.3097115909084978</v>
      </c>
    </row>
    <row r="119" spans="1:6" ht="20.25" customHeight="1" x14ac:dyDescent="0.3">
      <c r="A119" s="256">
        <v>2</v>
      </c>
      <c r="B119" s="257" t="s">
        <v>442</v>
      </c>
      <c r="C119" s="258">
        <v>507993</v>
      </c>
      <c r="D119" s="258">
        <v>982939</v>
      </c>
      <c r="E119" s="258">
        <f t="shared" si="16"/>
        <v>474946</v>
      </c>
      <c r="F119" s="259">
        <f t="shared" si="17"/>
        <v>0.93494595397968083</v>
      </c>
    </row>
    <row r="120" spans="1:6" ht="20.25" customHeight="1" x14ac:dyDescent="0.3">
      <c r="A120" s="256">
        <v>3</v>
      </c>
      <c r="B120" s="257" t="s">
        <v>443</v>
      </c>
      <c r="C120" s="258">
        <v>1128387</v>
      </c>
      <c r="D120" s="258">
        <v>2353390</v>
      </c>
      <c r="E120" s="258">
        <f t="shared" si="16"/>
        <v>1225003</v>
      </c>
      <c r="F120" s="259">
        <f t="shared" si="17"/>
        <v>1.0856231062569845</v>
      </c>
    </row>
    <row r="121" spans="1:6" ht="20.25" customHeight="1" x14ac:dyDescent="0.3">
      <c r="A121" s="256">
        <v>4</v>
      </c>
      <c r="B121" s="257" t="s">
        <v>444</v>
      </c>
      <c r="C121" s="258">
        <v>420967</v>
      </c>
      <c r="D121" s="258">
        <v>858182</v>
      </c>
      <c r="E121" s="258">
        <f t="shared" si="16"/>
        <v>437215</v>
      </c>
      <c r="F121" s="259">
        <f t="shared" si="17"/>
        <v>1.0385968496342943</v>
      </c>
    </row>
    <row r="122" spans="1:6" ht="20.25" customHeight="1" x14ac:dyDescent="0.3">
      <c r="A122" s="256">
        <v>5</v>
      </c>
      <c r="B122" s="257" t="s">
        <v>381</v>
      </c>
      <c r="C122" s="260">
        <v>47</v>
      </c>
      <c r="D122" s="260">
        <v>93</v>
      </c>
      <c r="E122" s="260">
        <f t="shared" si="16"/>
        <v>46</v>
      </c>
      <c r="F122" s="259">
        <f t="shared" si="17"/>
        <v>0.97872340425531912</v>
      </c>
    </row>
    <row r="123" spans="1:6" ht="20.25" customHeight="1" x14ac:dyDescent="0.3">
      <c r="A123" s="256">
        <v>6</v>
      </c>
      <c r="B123" s="257" t="s">
        <v>380</v>
      </c>
      <c r="C123" s="260">
        <v>208</v>
      </c>
      <c r="D123" s="260">
        <v>416</v>
      </c>
      <c r="E123" s="260">
        <f t="shared" si="16"/>
        <v>208</v>
      </c>
      <c r="F123" s="259">
        <f t="shared" si="17"/>
        <v>1</v>
      </c>
    </row>
    <row r="124" spans="1:6" ht="20.25" customHeight="1" x14ac:dyDescent="0.3">
      <c r="A124" s="256">
        <v>7</v>
      </c>
      <c r="B124" s="257" t="s">
        <v>445</v>
      </c>
      <c r="C124" s="260">
        <v>1829</v>
      </c>
      <c r="D124" s="260">
        <v>3188</v>
      </c>
      <c r="E124" s="260">
        <f t="shared" si="16"/>
        <v>1359</v>
      </c>
      <c r="F124" s="259">
        <f t="shared" si="17"/>
        <v>0.74302897758337894</v>
      </c>
    </row>
    <row r="125" spans="1:6" ht="20.25" customHeight="1" x14ac:dyDescent="0.3">
      <c r="A125" s="256">
        <v>8</v>
      </c>
      <c r="B125" s="257" t="s">
        <v>446</v>
      </c>
      <c r="C125" s="260">
        <v>138</v>
      </c>
      <c r="D125" s="260">
        <v>233</v>
      </c>
      <c r="E125" s="260">
        <f t="shared" si="16"/>
        <v>95</v>
      </c>
      <c r="F125" s="259">
        <f t="shared" si="17"/>
        <v>0.68840579710144922</v>
      </c>
    </row>
    <row r="126" spans="1:6" ht="20.25" customHeight="1" x14ac:dyDescent="0.3">
      <c r="A126" s="256">
        <v>9</v>
      </c>
      <c r="B126" s="257" t="s">
        <v>447</v>
      </c>
      <c r="C126" s="260">
        <v>46</v>
      </c>
      <c r="D126" s="260">
        <v>70</v>
      </c>
      <c r="E126" s="260">
        <f t="shared" si="16"/>
        <v>24</v>
      </c>
      <c r="F126" s="259">
        <f t="shared" si="17"/>
        <v>0.52173913043478259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1894729</v>
      </c>
      <c r="D127" s="263">
        <f>+D118+D120</f>
        <v>4123419</v>
      </c>
      <c r="E127" s="263">
        <f t="shared" si="16"/>
        <v>2228690</v>
      </c>
      <c r="F127" s="264">
        <f t="shared" si="17"/>
        <v>1.1762579239564075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928960</v>
      </c>
      <c r="D128" s="263">
        <f>+D119+D121</f>
        <v>1841121</v>
      </c>
      <c r="E128" s="263">
        <f t="shared" si="16"/>
        <v>912161</v>
      </c>
      <c r="F128" s="264">
        <f t="shared" si="17"/>
        <v>0.98191633654839816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41976</v>
      </c>
      <c r="D133" s="258">
        <v>0</v>
      </c>
      <c r="E133" s="258">
        <f t="shared" si="18"/>
        <v>-41976</v>
      </c>
      <c r="F133" s="259">
        <f t="shared" si="19"/>
        <v>-1</v>
      </c>
    </row>
    <row r="134" spans="1:6" ht="20.25" customHeight="1" x14ac:dyDescent="0.3">
      <c r="A134" s="256">
        <v>4</v>
      </c>
      <c r="B134" s="257" t="s">
        <v>444</v>
      </c>
      <c r="C134" s="258">
        <v>11301</v>
      </c>
      <c r="D134" s="258">
        <v>0</v>
      </c>
      <c r="E134" s="258">
        <f t="shared" si="18"/>
        <v>-11301</v>
      </c>
      <c r="F134" s="259">
        <f t="shared" si="19"/>
        <v>-1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23</v>
      </c>
      <c r="D137" s="260">
        <v>0</v>
      </c>
      <c r="E137" s="260">
        <f t="shared" si="18"/>
        <v>-23</v>
      </c>
      <c r="F137" s="259">
        <f t="shared" si="19"/>
        <v>-1</v>
      </c>
    </row>
    <row r="138" spans="1:6" ht="20.25" customHeight="1" x14ac:dyDescent="0.3">
      <c r="A138" s="256">
        <v>8</v>
      </c>
      <c r="B138" s="257" t="s">
        <v>446</v>
      </c>
      <c r="C138" s="260">
        <v>6</v>
      </c>
      <c r="D138" s="260">
        <v>0</v>
      </c>
      <c r="E138" s="260">
        <f t="shared" si="18"/>
        <v>-6</v>
      </c>
      <c r="F138" s="259">
        <f t="shared" si="19"/>
        <v>-1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41976</v>
      </c>
      <c r="D140" s="263">
        <f>+D131+D133</f>
        <v>0</v>
      </c>
      <c r="E140" s="263">
        <f t="shared" si="18"/>
        <v>-41976</v>
      </c>
      <c r="F140" s="264">
        <f t="shared" si="19"/>
        <v>-1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11301</v>
      </c>
      <c r="D141" s="263">
        <f>+D132+D134</f>
        <v>0</v>
      </c>
      <c r="E141" s="263">
        <f t="shared" si="18"/>
        <v>-11301</v>
      </c>
      <c r="F141" s="264">
        <f t="shared" si="19"/>
        <v>-1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6691</v>
      </c>
      <c r="D146" s="258">
        <v>0</v>
      </c>
      <c r="E146" s="258">
        <f t="shared" si="20"/>
        <v>-6691</v>
      </c>
      <c r="F146" s="259">
        <f t="shared" si="21"/>
        <v>-1</v>
      </c>
    </row>
    <row r="147" spans="1:6" ht="20.25" customHeight="1" x14ac:dyDescent="0.3">
      <c r="A147" s="256">
        <v>4</v>
      </c>
      <c r="B147" s="257" t="s">
        <v>444</v>
      </c>
      <c r="C147" s="258">
        <v>1727</v>
      </c>
      <c r="D147" s="258">
        <v>0</v>
      </c>
      <c r="E147" s="258">
        <f t="shared" si="20"/>
        <v>-1727</v>
      </c>
      <c r="F147" s="259">
        <f t="shared" si="21"/>
        <v>-1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3</v>
      </c>
      <c r="D150" s="260">
        <v>0</v>
      </c>
      <c r="E150" s="260">
        <f t="shared" si="20"/>
        <v>-3</v>
      </c>
      <c r="F150" s="259">
        <f t="shared" si="21"/>
        <v>-1</v>
      </c>
    </row>
    <row r="151" spans="1:6" ht="20.25" customHeight="1" x14ac:dyDescent="0.3">
      <c r="A151" s="256">
        <v>8</v>
      </c>
      <c r="B151" s="257" t="s">
        <v>446</v>
      </c>
      <c r="C151" s="260">
        <v>1</v>
      </c>
      <c r="D151" s="260">
        <v>0</v>
      </c>
      <c r="E151" s="260">
        <f t="shared" si="20"/>
        <v>-1</v>
      </c>
      <c r="F151" s="259">
        <f t="shared" si="21"/>
        <v>-1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6691</v>
      </c>
      <c r="D153" s="263">
        <f>+D144+D146</f>
        <v>0</v>
      </c>
      <c r="E153" s="263">
        <f t="shared" si="20"/>
        <v>-6691</v>
      </c>
      <c r="F153" s="264">
        <f t="shared" si="21"/>
        <v>-1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1727</v>
      </c>
      <c r="D154" s="263">
        <f>+D145+D147</f>
        <v>0</v>
      </c>
      <c r="E154" s="263">
        <f t="shared" si="20"/>
        <v>-1727</v>
      </c>
      <c r="F154" s="264">
        <f t="shared" si="21"/>
        <v>-1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3284</v>
      </c>
      <c r="D172" s="258">
        <v>0</v>
      </c>
      <c r="E172" s="258">
        <f t="shared" si="24"/>
        <v>-3284</v>
      </c>
      <c r="F172" s="259">
        <f t="shared" si="25"/>
        <v>-1</v>
      </c>
    </row>
    <row r="173" spans="1:6" ht="20.25" customHeight="1" x14ac:dyDescent="0.3">
      <c r="A173" s="256">
        <v>4</v>
      </c>
      <c r="B173" s="257" t="s">
        <v>444</v>
      </c>
      <c r="C173" s="258">
        <v>902</v>
      </c>
      <c r="D173" s="258">
        <v>0</v>
      </c>
      <c r="E173" s="258">
        <f t="shared" si="24"/>
        <v>-902</v>
      </c>
      <c r="F173" s="259">
        <f t="shared" si="25"/>
        <v>-1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9</v>
      </c>
      <c r="D176" s="260">
        <v>0</v>
      </c>
      <c r="E176" s="260">
        <f t="shared" si="24"/>
        <v>-9</v>
      </c>
      <c r="F176" s="259">
        <f t="shared" si="25"/>
        <v>-1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3284</v>
      </c>
      <c r="D179" s="263">
        <f>+D170+D172</f>
        <v>0</v>
      </c>
      <c r="E179" s="263">
        <f t="shared" si="24"/>
        <v>-3284</v>
      </c>
      <c r="F179" s="264">
        <f t="shared" si="25"/>
        <v>-1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902</v>
      </c>
      <c r="D180" s="263">
        <f>+D171+D173</f>
        <v>0</v>
      </c>
      <c r="E180" s="263">
        <f t="shared" si="24"/>
        <v>-902</v>
      </c>
      <c r="F180" s="264">
        <f t="shared" si="25"/>
        <v>-1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4171</v>
      </c>
      <c r="D185" s="258">
        <v>0</v>
      </c>
      <c r="E185" s="258">
        <f t="shared" si="26"/>
        <v>-4171</v>
      </c>
      <c r="F185" s="259">
        <f t="shared" si="27"/>
        <v>-1</v>
      </c>
    </row>
    <row r="186" spans="1:6" ht="20.25" customHeight="1" x14ac:dyDescent="0.3">
      <c r="A186" s="256">
        <v>4</v>
      </c>
      <c r="B186" s="257" t="s">
        <v>444</v>
      </c>
      <c r="C186" s="258">
        <v>1234</v>
      </c>
      <c r="D186" s="258">
        <v>0</v>
      </c>
      <c r="E186" s="258">
        <f t="shared" si="26"/>
        <v>-1234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5</v>
      </c>
      <c r="D189" s="260">
        <v>0</v>
      </c>
      <c r="E189" s="260">
        <f t="shared" si="26"/>
        <v>-5</v>
      </c>
      <c r="F189" s="259">
        <f t="shared" si="27"/>
        <v>-1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4171</v>
      </c>
      <c r="D192" s="263">
        <f>+D183+D185</f>
        <v>0</v>
      </c>
      <c r="E192" s="263">
        <f t="shared" si="26"/>
        <v>-4171</v>
      </c>
      <c r="F192" s="264">
        <f t="shared" si="27"/>
        <v>-1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1234</v>
      </c>
      <c r="D193" s="263">
        <f>+D184+D186</f>
        <v>0</v>
      </c>
      <c r="E193" s="263">
        <f t="shared" si="26"/>
        <v>-1234</v>
      </c>
      <c r="F193" s="264">
        <f t="shared" si="27"/>
        <v>-1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5294301</v>
      </c>
      <c r="D198" s="263">
        <f t="shared" si="28"/>
        <v>7113981</v>
      </c>
      <c r="E198" s="263">
        <f t="shared" ref="E198:E208" si="29">D198-C198</f>
        <v>1819680</v>
      </c>
      <c r="F198" s="273">
        <f t="shared" ref="F198:F208" si="30">IF(C198=0,0,E198/C198)</f>
        <v>0.34370542966861917</v>
      </c>
    </row>
    <row r="199" spans="1:9" ht="20.25" customHeight="1" x14ac:dyDescent="0.3">
      <c r="A199" s="271"/>
      <c r="B199" s="272" t="s">
        <v>466</v>
      </c>
      <c r="C199" s="263">
        <f t="shared" si="28"/>
        <v>2930803</v>
      </c>
      <c r="D199" s="263">
        <f t="shared" si="28"/>
        <v>3963473</v>
      </c>
      <c r="E199" s="263">
        <f t="shared" si="29"/>
        <v>1032670</v>
      </c>
      <c r="F199" s="273">
        <f t="shared" si="30"/>
        <v>0.35235053328388161</v>
      </c>
    </row>
    <row r="200" spans="1:9" ht="20.25" customHeight="1" x14ac:dyDescent="0.3">
      <c r="A200" s="271"/>
      <c r="B200" s="272" t="s">
        <v>467</v>
      </c>
      <c r="C200" s="263">
        <f t="shared" si="28"/>
        <v>7111067</v>
      </c>
      <c r="D200" s="263">
        <f t="shared" si="28"/>
        <v>9659403</v>
      </c>
      <c r="E200" s="263">
        <f t="shared" si="29"/>
        <v>2548336</v>
      </c>
      <c r="F200" s="273">
        <f t="shared" si="30"/>
        <v>0.35836197296411354</v>
      </c>
    </row>
    <row r="201" spans="1:9" ht="20.25" customHeight="1" x14ac:dyDescent="0.3">
      <c r="A201" s="271"/>
      <c r="B201" s="272" t="s">
        <v>468</v>
      </c>
      <c r="C201" s="263">
        <f t="shared" si="28"/>
        <v>2498610</v>
      </c>
      <c r="D201" s="263">
        <f t="shared" si="28"/>
        <v>3362046</v>
      </c>
      <c r="E201" s="263">
        <f t="shared" si="29"/>
        <v>863436</v>
      </c>
      <c r="F201" s="273">
        <f t="shared" si="30"/>
        <v>0.34556653499345635</v>
      </c>
    </row>
    <row r="202" spans="1:9" ht="20.25" customHeight="1" x14ac:dyDescent="0.3">
      <c r="A202" s="271"/>
      <c r="B202" s="272" t="s">
        <v>138</v>
      </c>
      <c r="C202" s="274">
        <f t="shared" si="28"/>
        <v>319</v>
      </c>
      <c r="D202" s="274">
        <f t="shared" si="28"/>
        <v>397</v>
      </c>
      <c r="E202" s="274">
        <f t="shared" si="29"/>
        <v>78</v>
      </c>
      <c r="F202" s="273">
        <f t="shared" si="30"/>
        <v>0.2445141065830721</v>
      </c>
    </row>
    <row r="203" spans="1:9" ht="20.25" customHeight="1" x14ac:dyDescent="0.3">
      <c r="A203" s="271"/>
      <c r="B203" s="272" t="s">
        <v>140</v>
      </c>
      <c r="C203" s="274">
        <f t="shared" si="28"/>
        <v>1344</v>
      </c>
      <c r="D203" s="274">
        <f t="shared" si="28"/>
        <v>1655</v>
      </c>
      <c r="E203" s="274">
        <f t="shared" si="29"/>
        <v>311</v>
      </c>
      <c r="F203" s="273">
        <f t="shared" si="30"/>
        <v>0.23139880952380953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10432</v>
      </c>
      <c r="D204" s="274">
        <f t="shared" si="28"/>
        <v>13114</v>
      </c>
      <c r="E204" s="274">
        <f t="shared" si="29"/>
        <v>2682</v>
      </c>
      <c r="F204" s="273">
        <f t="shared" si="30"/>
        <v>0.25709355828220859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922</v>
      </c>
      <c r="D205" s="274">
        <f t="shared" si="28"/>
        <v>1062</v>
      </c>
      <c r="E205" s="274">
        <f t="shared" si="29"/>
        <v>140</v>
      </c>
      <c r="F205" s="273">
        <f t="shared" si="30"/>
        <v>0.15184381778741865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275</v>
      </c>
      <c r="D206" s="274">
        <f t="shared" si="28"/>
        <v>335</v>
      </c>
      <c r="E206" s="274">
        <f t="shared" si="29"/>
        <v>60</v>
      </c>
      <c r="F206" s="273">
        <f t="shared" si="30"/>
        <v>0.21818181818181817</v>
      </c>
    </row>
    <row r="207" spans="1:9" ht="20.25" customHeight="1" x14ac:dyDescent="0.3">
      <c r="A207" s="271"/>
      <c r="B207" s="262" t="s">
        <v>471</v>
      </c>
      <c r="C207" s="263">
        <f>+C198+C200</f>
        <v>12405368</v>
      </c>
      <c r="D207" s="263">
        <f>+D198+D200</f>
        <v>16773384</v>
      </c>
      <c r="E207" s="263">
        <f t="shared" si="29"/>
        <v>4368016</v>
      </c>
      <c r="F207" s="273">
        <f t="shared" si="30"/>
        <v>0.3521069266143495</v>
      </c>
    </row>
    <row r="208" spans="1:9" ht="20.25" customHeight="1" x14ac:dyDescent="0.3">
      <c r="A208" s="271"/>
      <c r="B208" s="262" t="s">
        <v>472</v>
      </c>
      <c r="C208" s="263">
        <f>+C199+C201</f>
        <v>5429413</v>
      </c>
      <c r="D208" s="263">
        <f>+D199+D201</f>
        <v>7325519</v>
      </c>
      <c r="E208" s="263">
        <f t="shared" si="29"/>
        <v>1896106</v>
      </c>
      <c r="F208" s="273">
        <f t="shared" si="30"/>
        <v>0.34922854459588909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365986</v>
      </c>
      <c r="D26" s="258">
        <v>437891</v>
      </c>
      <c r="E26" s="258">
        <f t="shared" ref="E26:E36" si="2">D26-C26</f>
        <v>71905</v>
      </c>
      <c r="F26" s="259">
        <f t="shared" ref="F26:F36" si="3">IF(C26=0,0,E26/C26)</f>
        <v>0.19646926385162275</v>
      </c>
    </row>
    <row r="27" spans="1:6" ht="20.25" customHeight="1" x14ac:dyDescent="0.3">
      <c r="A27" s="256">
        <v>2</v>
      </c>
      <c r="B27" s="257" t="s">
        <v>442</v>
      </c>
      <c r="C27" s="258">
        <v>247447</v>
      </c>
      <c r="D27" s="258">
        <v>140182</v>
      </c>
      <c r="E27" s="258">
        <f t="shared" si="2"/>
        <v>-107265</v>
      </c>
      <c r="F27" s="259">
        <f t="shared" si="3"/>
        <v>-0.43348676686320708</v>
      </c>
    </row>
    <row r="28" spans="1:6" ht="20.25" customHeight="1" x14ac:dyDescent="0.3">
      <c r="A28" s="256">
        <v>3</v>
      </c>
      <c r="B28" s="257" t="s">
        <v>443</v>
      </c>
      <c r="C28" s="258">
        <v>1755382</v>
      </c>
      <c r="D28" s="258">
        <v>1128215</v>
      </c>
      <c r="E28" s="258">
        <f t="shared" si="2"/>
        <v>-627167</v>
      </c>
      <c r="F28" s="259">
        <f t="shared" si="3"/>
        <v>-0.35728234652058638</v>
      </c>
    </row>
    <row r="29" spans="1:6" ht="20.25" customHeight="1" x14ac:dyDescent="0.3">
      <c r="A29" s="256">
        <v>4</v>
      </c>
      <c r="B29" s="257" t="s">
        <v>444</v>
      </c>
      <c r="C29" s="258">
        <v>1034498</v>
      </c>
      <c r="D29" s="258">
        <v>409033</v>
      </c>
      <c r="E29" s="258">
        <f t="shared" si="2"/>
        <v>-625465</v>
      </c>
      <c r="F29" s="259">
        <f t="shared" si="3"/>
        <v>-0.60460725878638721</v>
      </c>
    </row>
    <row r="30" spans="1:6" ht="20.25" customHeight="1" x14ac:dyDescent="0.3">
      <c r="A30" s="256">
        <v>5</v>
      </c>
      <c r="B30" s="257" t="s">
        <v>381</v>
      </c>
      <c r="C30" s="260">
        <v>43</v>
      </c>
      <c r="D30" s="260">
        <v>31</v>
      </c>
      <c r="E30" s="260">
        <f t="shared" si="2"/>
        <v>-12</v>
      </c>
      <c r="F30" s="259">
        <f t="shared" si="3"/>
        <v>-0.27906976744186046</v>
      </c>
    </row>
    <row r="31" spans="1:6" ht="20.25" customHeight="1" x14ac:dyDescent="0.3">
      <c r="A31" s="256">
        <v>6</v>
      </c>
      <c r="B31" s="257" t="s">
        <v>380</v>
      </c>
      <c r="C31" s="260">
        <v>107</v>
      </c>
      <c r="D31" s="260">
        <v>109</v>
      </c>
      <c r="E31" s="260">
        <f t="shared" si="2"/>
        <v>2</v>
      </c>
      <c r="F31" s="259">
        <f t="shared" si="3"/>
        <v>1.8691588785046728E-2</v>
      </c>
    </row>
    <row r="32" spans="1:6" ht="20.25" customHeight="1" x14ac:dyDescent="0.3">
      <c r="A32" s="256">
        <v>7</v>
      </c>
      <c r="B32" s="257" t="s">
        <v>445</v>
      </c>
      <c r="C32" s="260">
        <v>1851</v>
      </c>
      <c r="D32" s="260">
        <v>1248</v>
      </c>
      <c r="E32" s="260">
        <f t="shared" si="2"/>
        <v>-603</v>
      </c>
      <c r="F32" s="259">
        <f t="shared" si="3"/>
        <v>-0.32576985413290116</v>
      </c>
    </row>
    <row r="33" spans="1:6" ht="20.25" customHeight="1" x14ac:dyDescent="0.3">
      <c r="A33" s="256">
        <v>8</v>
      </c>
      <c r="B33" s="257" t="s">
        <v>446</v>
      </c>
      <c r="C33" s="260">
        <v>1041</v>
      </c>
      <c r="D33" s="260">
        <v>221</v>
      </c>
      <c r="E33" s="260">
        <f t="shared" si="2"/>
        <v>-820</v>
      </c>
      <c r="F33" s="259">
        <f t="shared" si="3"/>
        <v>-0.78770413064361189</v>
      </c>
    </row>
    <row r="34" spans="1:6" ht="20.25" customHeight="1" x14ac:dyDescent="0.3">
      <c r="A34" s="256">
        <v>9</v>
      </c>
      <c r="B34" s="257" t="s">
        <v>447</v>
      </c>
      <c r="C34" s="260">
        <v>20</v>
      </c>
      <c r="D34" s="260">
        <v>21</v>
      </c>
      <c r="E34" s="260">
        <f t="shared" si="2"/>
        <v>1</v>
      </c>
      <c r="F34" s="259">
        <f t="shared" si="3"/>
        <v>0.05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2121368</v>
      </c>
      <c r="D35" s="263">
        <f>+D26+D28</f>
        <v>1566106</v>
      </c>
      <c r="E35" s="263">
        <f t="shared" si="2"/>
        <v>-555262</v>
      </c>
      <c r="F35" s="264">
        <f t="shared" si="3"/>
        <v>-0.26174713675326489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1281945</v>
      </c>
      <c r="D36" s="263">
        <f>+D27+D29</f>
        <v>549215</v>
      </c>
      <c r="E36" s="263">
        <f t="shared" si="2"/>
        <v>-732730</v>
      </c>
      <c r="F36" s="264">
        <f t="shared" si="3"/>
        <v>-0.57157678371537002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115204</v>
      </c>
      <c r="D50" s="258">
        <v>0</v>
      </c>
      <c r="E50" s="258">
        <f t="shared" ref="E50:E60" si="6">D50-C50</f>
        <v>-115204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60918</v>
      </c>
      <c r="D51" s="258">
        <v>0</v>
      </c>
      <c r="E51" s="258">
        <f t="shared" si="6"/>
        <v>-60918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813448</v>
      </c>
      <c r="D52" s="258">
        <v>0</v>
      </c>
      <c r="E52" s="258">
        <f t="shared" si="6"/>
        <v>-813448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362196</v>
      </c>
      <c r="D53" s="258">
        <v>0</v>
      </c>
      <c r="E53" s="258">
        <f t="shared" si="6"/>
        <v>-362196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15</v>
      </c>
      <c r="D54" s="260">
        <v>0</v>
      </c>
      <c r="E54" s="260">
        <f t="shared" si="6"/>
        <v>-15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68</v>
      </c>
      <c r="D55" s="260">
        <v>0</v>
      </c>
      <c r="E55" s="260">
        <f t="shared" si="6"/>
        <v>-68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1003</v>
      </c>
      <c r="D56" s="260">
        <v>0</v>
      </c>
      <c r="E56" s="260">
        <f t="shared" si="6"/>
        <v>-1003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13</v>
      </c>
      <c r="D58" s="260">
        <v>0</v>
      </c>
      <c r="E58" s="260">
        <f t="shared" si="6"/>
        <v>-13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928652</v>
      </c>
      <c r="D59" s="263">
        <f>+D50+D52</f>
        <v>0</v>
      </c>
      <c r="E59" s="263">
        <f t="shared" si="6"/>
        <v>-928652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423114</v>
      </c>
      <c r="D60" s="263">
        <f>+D51+D53</f>
        <v>0</v>
      </c>
      <c r="E60" s="263">
        <f t="shared" si="6"/>
        <v>-423114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54283</v>
      </c>
      <c r="D86" s="258">
        <v>0</v>
      </c>
      <c r="E86" s="258">
        <f t="shared" ref="E86:E96" si="12">D86-C86</f>
        <v>-54283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21291</v>
      </c>
      <c r="D87" s="258">
        <v>0</v>
      </c>
      <c r="E87" s="258">
        <f t="shared" si="12"/>
        <v>-21291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199890</v>
      </c>
      <c r="D88" s="258">
        <v>0</v>
      </c>
      <c r="E88" s="258">
        <f t="shared" si="12"/>
        <v>-199890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113568</v>
      </c>
      <c r="D89" s="258">
        <v>0</v>
      </c>
      <c r="E89" s="258">
        <f t="shared" si="12"/>
        <v>-113568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7</v>
      </c>
      <c r="D90" s="260">
        <v>0</v>
      </c>
      <c r="E90" s="260">
        <f t="shared" si="12"/>
        <v>-7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16</v>
      </c>
      <c r="D91" s="260">
        <v>0</v>
      </c>
      <c r="E91" s="260">
        <f t="shared" si="12"/>
        <v>-16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213</v>
      </c>
      <c r="D92" s="260">
        <v>0</v>
      </c>
      <c r="E92" s="260">
        <f t="shared" si="12"/>
        <v>-213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101</v>
      </c>
      <c r="D93" s="260">
        <v>0</v>
      </c>
      <c r="E93" s="260">
        <f t="shared" si="12"/>
        <v>-101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1</v>
      </c>
      <c r="D94" s="260">
        <v>0</v>
      </c>
      <c r="E94" s="260">
        <f t="shared" si="12"/>
        <v>-1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254173</v>
      </c>
      <c r="D95" s="263">
        <f>+D86+D88</f>
        <v>0</v>
      </c>
      <c r="E95" s="263">
        <f t="shared" si="12"/>
        <v>-254173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134859</v>
      </c>
      <c r="D96" s="263">
        <f>+D87+D89</f>
        <v>0</v>
      </c>
      <c r="E96" s="263">
        <f t="shared" si="12"/>
        <v>-134859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131450</v>
      </c>
      <c r="D98" s="258">
        <v>0</v>
      </c>
      <c r="E98" s="258">
        <f t="shared" ref="E98:E108" si="14">D98-C98</f>
        <v>-131450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87088</v>
      </c>
      <c r="D99" s="258">
        <v>0</v>
      </c>
      <c r="E99" s="258">
        <f t="shared" si="14"/>
        <v>-87088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1002050</v>
      </c>
      <c r="D100" s="258">
        <v>0</v>
      </c>
      <c r="E100" s="258">
        <f t="shared" si="14"/>
        <v>-1002050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482640</v>
      </c>
      <c r="D101" s="258">
        <v>0</v>
      </c>
      <c r="E101" s="258">
        <f t="shared" si="14"/>
        <v>-482640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18</v>
      </c>
      <c r="D102" s="260">
        <v>0</v>
      </c>
      <c r="E102" s="260">
        <f t="shared" si="14"/>
        <v>-18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44</v>
      </c>
      <c r="D103" s="260">
        <v>0</v>
      </c>
      <c r="E103" s="260">
        <f t="shared" si="14"/>
        <v>-44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910</v>
      </c>
      <c r="D104" s="260">
        <v>0</v>
      </c>
      <c r="E104" s="260">
        <f t="shared" si="14"/>
        <v>-910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530</v>
      </c>
      <c r="D105" s="260">
        <v>0</v>
      </c>
      <c r="E105" s="260">
        <f t="shared" si="14"/>
        <v>-530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6</v>
      </c>
      <c r="D106" s="260">
        <v>0</v>
      </c>
      <c r="E106" s="260">
        <f t="shared" si="14"/>
        <v>-6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1133500</v>
      </c>
      <c r="D107" s="263">
        <f>+D98+D100</f>
        <v>0</v>
      </c>
      <c r="E107" s="263">
        <f t="shared" si="14"/>
        <v>-1133500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569728</v>
      </c>
      <c r="D108" s="263">
        <f>+D99+D101</f>
        <v>0</v>
      </c>
      <c r="E108" s="263">
        <f t="shared" si="14"/>
        <v>-569728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666923</v>
      </c>
      <c r="D112" s="263">
        <f t="shared" si="16"/>
        <v>437891</v>
      </c>
      <c r="E112" s="263">
        <f t="shared" ref="E112:E122" si="17">D112-C112</f>
        <v>-229032</v>
      </c>
      <c r="F112" s="264">
        <f t="shared" ref="F112:F122" si="18">IF(C112=0,0,E112/C112)</f>
        <v>-0.34341595656470086</v>
      </c>
    </row>
    <row r="113" spans="1:6" ht="20.25" customHeight="1" x14ac:dyDescent="0.3">
      <c r="A113" s="271"/>
      <c r="B113" s="286" t="s">
        <v>492</v>
      </c>
      <c r="C113" s="263">
        <f t="shared" si="16"/>
        <v>416744</v>
      </c>
      <c r="D113" s="263">
        <f t="shared" si="16"/>
        <v>140182</v>
      </c>
      <c r="E113" s="263">
        <f t="shared" si="17"/>
        <v>-276562</v>
      </c>
      <c r="F113" s="264">
        <f t="shared" si="18"/>
        <v>-0.66362563108287098</v>
      </c>
    </row>
    <row r="114" spans="1:6" ht="20.25" customHeight="1" x14ac:dyDescent="0.3">
      <c r="A114" s="271"/>
      <c r="B114" s="286" t="s">
        <v>493</v>
      </c>
      <c r="C114" s="263">
        <f t="shared" si="16"/>
        <v>3770770</v>
      </c>
      <c r="D114" s="263">
        <f t="shared" si="16"/>
        <v>1128215</v>
      </c>
      <c r="E114" s="263">
        <f t="shared" si="17"/>
        <v>-2642555</v>
      </c>
      <c r="F114" s="264">
        <f t="shared" si="18"/>
        <v>-0.70079983663814027</v>
      </c>
    </row>
    <row r="115" spans="1:6" ht="20.25" customHeight="1" x14ac:dyDescent="0.3">
      <c r="A115" s="271"/>
      <c r="B115" s="286" t="s">
        <v>494</v>
      </c>
      <c r="C115" s="263">
        <f t="shared" si="16"/>
        <v>1992902</v>
      </c>
      <c r="D115" s="263">
        <f t="shared" si="16"/>
        <v>409033</v>
      </c>
      <c r="E115" s="263">
        <f t="shared" si="17"/>
        <v>-1583869</v>
      </c>
      <c r="F115" s="264">
        <f t="shared" si="18"/>
        <v>-0.79475508579950238</v>
      </c>
    </row>
    <row r="116" spans="1:6" ht="20.25" customHeight="1" x14ac:dyDescent="0.3">
      <c r="A116" s="271"/>
      <c r="B116" s="286" t="s">
        <v>495</v>
      </c>
      <c r="C116" s="287">
        <f t="shared" si="16"/>
        <v>83</v>
      </c>
      <c r="D116" s="287">
        <f t="shared" si="16"/>
        <v>31</v>
      </c>
      <c r="E116" s="287">
        <f t="shared" si="17"/>
        <v>-52</v>
      </c>
      <c r="F116" s="264">
        <f t="shared" si="18"/>
        <v>-0.62650602409638556</v>
      </c>
    </row>
    <row r="117" spans="1:6" ht="20.25" customHeight="1" x14ac:dyDescent="0.3">
      <c r="A117" s="271"/>
      <c r="B117" s="286" t="s">
        <v>496</v>
      </c>
      <c r="C117" s="287">
        <f t="shared" si="16"/>
        <v>235</v>
      </c>
      <c r="D117" s="287">
        <f t="shared" si="16"/>
        <v>109</v>
      </c>
      <c r="E117" s="287">
        <f t="shared" si="17"/>
        <v>-126</v>
      </c>
      <c r="F117" s="264">
        <f t="shared" si="18"/>
        <v>-0.53617021276595744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3977</v>
      </c>
      <c r="D118" s="287">
        <f t="shared" si="16"/>
        <v>1248</v>
      </c>
      <c r="E118" s="287">
        <f t="shared" si="17"/>
        <v>-2729</v>
      </c>
      <c r="F118" s="264">
        <f t="shared" si="18"/>
        <v>-0.68619562484284635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1672</v>
      </c>
      <c r="D119" s="287">
        <f t="shared" si="16"/>
        <v>221</v>
      </c>
      <c r="E119" s="287">
        <f t="shared" si="17"/>
        <v>-1451</v>
      </c>
      <c r="F119" s="264">
        <f t="shared" si="18"/>
        <v>-0.86782296650717705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40</v>
      </c>
      <c r="D120" s="287">
        <f t="shared" si="16"/>
        <v>21</v>
      </c>
      <c r="E120" s="287">
        <f t="shared" si="17"/>
        <v>-19</v>
      </c>
      <c r="F120" s="264">
        <f t="shared" si="18"/>
        <v>-0.47499999999999998</v>
      </c>
    </row>
    <row r="121" spans="1:6" ht="20.25" customHeight="1" x14ac:dyDescent="0.3">
      <c r="A121" s="271"/>
      <c r="B121" s="284" t="s">
        <v>448</v>
      </c>
      <c r="C121" s="263">
        <f>+C112+C114</f>
        <v>4437693</v>
      </c>
      <c r="D121" s="263">
        <f>+D112+D114</f>
        <v>1566106</v>
      </c>
      <c r="E121" s="263">
        <f t="shared" si="17"/>
        <v>-2871587</v>
      </c>
      <c r="F121" s="264">
        <f t="shared" si="18"/>
        <v>-0.64709005332275127</v>
      </c>
    </row>
    <row r="122" spans="1:6" ht="20.25" customHeight="1" x14ac:dyDescent="0.3">
      <c r="A122" s="271"/>
      <c r="B122" s="284" t="s">
        <v>472</v>
      </c>
      <c r="C122" s="263">
        <f>+C113+C115</f>
        <v>2409646</v>
      </c>
      <c r="D122" s="263">
        <f>+D113+D115</f>
        <v>549215</v>
      </c>
      <c r="E122" s="263">
        <f t="shared" si="17"/>
        <v>-1860431</v>
      </c>
      <c r="F122" s="264">
        <f t="shared" si="18"/>
        <v>-0.77207647928367906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9871014</v>
      </c>
      <c r="D13" s="22">
        <v>8948706</v>
      </c>
      <c r="E13" s="22">
        <f t="shared" ref="E13:E22" si="0">D13-C13</f>
        <v>-922308</v>
      </c>
      <c r="F13" s="306">
        <f t="shared" ref="F13:F22" si="1">IF(C13=0,0,E13/C13)</f>
        <v>-9.3435993505834355E-2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13441101</v>
      </c>
      <c r="D15" s="22">
        <v>13504471</v>
      </c>
      <c r="E15" s="22">
        <f t="shared" si="0"/>
        <v>63370</v>
      </c>
      <c r="F15" s="306">
        <f t="shared" si="1"/>
        <v>4.7146435399897674E-3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971585</v>
      </c>
      <c r="D18" s="22">
        <v>840007</v>
      </c>
      <c r="E18" s="22">
        <f t="shared" si="0"/>
        <v>-131578</v>
      </c>
      <c r="F18" s="306">
        <f t="shared" si="1"/>
        <v>-0.13542613358584168</v>
      </c>
    </row>
    <row r="19" spans="1:11" ht="24" customHeight="1" x14ac:dyDescent="0.2">
      <c r="A19" s="304">
        <v>7</v>
      </c>
      <c r="B19" s="305" t="s">
        <v>22</v>
      </c>
      <c r="C19" s="22">
        <v>2025113</v>
      </c>
      <c r="D19" s="22">
        <v>2092246</v>
      </c>
      <c r="E19" s="22">
        <f t="shared" si="0"/>
        <v>67133</v>
      </c>
      <c r="F19" s="306">
        <f t="shared" si="1"/>
        <v>3.315024889969103E-2</v>
      </c>
    </row>
    <row r="20" spans="1:11" ht="24" customHeight="1" x14ac:dyDescent="0.2">
      <c r="A20" s="304">
        <v>8</v>
      </c>
      <c r="B20" s="305" t="s">
        <v>23</v>
      </c>
      <c r="C20" s="22">
        <v>0</v>
      </c>
      <c r="D20" s="22">
        <v>0</v>
      </c>
      <c r="E20" s="22">
        <f t="shared" si="0"/>
        <v>0</v>
      </c>
      <c r="F20" s="306">
        <f t="shared" si="1"/>
        <v>0</v>
      </c>
    </row>
    <row r="21" spans="1:11" ht="24" customHeight="1" x14ac:dyDescent="0.2">
      <c r="A21" s="304">
        <v>9</v>
      </c>
      <c r="B21" s="305" t="s">
        <v>24</v>
      </c>
      <c r="C21" s="22">
        <v>1717026</v>
      </c>
      <c r="D21" s="22">
        <v>2724846</v>
      </c>
      <c r="E21" s="22">
        <f t="shared" si="0"/>
        <v>1007820</v>
      </c>
      <c r="F21" s="306">
        <f t="shared" si="1"/>
        <v>0.58695674963570732</v>
      </c>
    </row>
    <row r="22" spans="1:11" ht="24" customHeight="1" x14ac:dyDescent="0.25">
      <c r="A22" s="307"/>
      <c r="B22" s="308" t="s">
        <v>25</v>
      </c>
      <c r="C22" s="309">
        <f>SUM(C13:C21)</f>
        <v>28025839</v>
      </c>
      <c r="D22" s="309">
        <f>SUM(D13:D21)</f>
        <v>28110276</v>
      </c>
      <c r="E22" s="309">
        <f t="shared" si="0"/>
        <v>84437</v>
      </c>
      <c r="F22" s="310">
        <f t="shared" si="1"/>
        <v>3.0128268416870587E-3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18116227</v>
      </c>
      <c r="D25" s="22">
        <v>20525079</v>
      </c>
      <c r="E25" s="22">
        <f>D25-C25</f>
        <v>2408852</v>
      </c>
      <c r="F25" s="306">
        <f>IF(C25=0,0,E25/C25)</f>
        <v>0.13296653878315834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400278</v>
      </c>
      <c r="D27" s="22">
        <v>0</v>
      </c>
      <c r="E27" s="22">
        <f>D27-C27</f>
        <v>-400278</v>
      </c>
      <c r="F27" s="306">
        <f>IF(C27=0,0,E27/C27)</f>
        <v>-1</v>
      </c>
    </row>
    <row r="28" spans="1:11" ht="35.1" customHeight="1" x14ac:dyDescent="0.2">
      <c r="A28" s="304">
        <v>4</v>
      </c>
      <c r="B28" s="305" t="s">
        <v>31</v>
      </c>
      <c r="C28" s="22">
        <v>6989321</v>
      </c>
      <c r="D28" s="22">
        <v>7067123</v>
      </c>
      <c r="E28" s="22">
        <f>D28-C28</f>
        <v>77802</v>
      </c>
      <c r="F28" s="306">
        <f>IF(C28=0,0,E28/C28)</f>
        <v>1.1131553408406911E-2</v>
      </c>
    </row>
    <row r="29" spans="1:11" ht="35.1" customHeight="1" x14ac:dyDescent="0.25">
      <c r="A29" s="307"/>
      <c r="B29" s="308" t="s">
        <v>32</v>
      </c>
      <c r="C29" s="309">
        <f>SUM(C25:C28)</f>
        <v>25505826</v>
      </c>
      <c r="D29" s="309">
        <f>SUM(D25:D28)</f>
        <v>27592202</v>
      </c>
      <c r="E29" s="309">
        <f>D29-C29</f>
        <v>2086376</v>
      </c>
      <c r="F29" s="310">
        <f>IF(C29=0,0,E29/C29)</f>
        <v>8.1799977777626182E-2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33807880</v>
      </c>
      <c r="D32" s="22">
        <v>38742293</v>
      </c>
      <c r="E32" s="22">
        <f>D32-C32</f>
        <v>4934413</v>
      </c>
      <c r="F32" s="306">
        <f>IF(C32=0,0,E32/C32)</f>
        <v>0.14595452302835907</v>
      </c>
    </row>
    <row r="33" spans="1:8" ht="24" customHeight="1" x14ac:dyDescent="0.2">
      <c r="A33" s="304">
        <v>7</v>
      </c>
      <c r="B33" s="305" t="s">
        <v>35</v>
      </c>
      <c r="C33" s="22">
        <v>1334720</v>
      </c>
      <c r="D33" s="22">
        <v>1135267</v>
      </c>
      <c r="E33" s="22">
        <f>D33-C33</f>
        <v>-199453</v>
      </c>
      <c r="F33" s="306">
        <f>IF(C33=0,0,E33/C33)</f>
        <v>-0.14943433828818029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143527470</v>
      </c>
      <c r="D36" s="22">
        <v>148532515</v>
      </c>
      <c r="E36" s="22">
        <f>D36-C36</f>
        <v>5005045</v>
      </c>
      <c r="F36" s="306">
        <f>IF(C36=0,0,E36/C36)</f>
        <v>3.4871686932125258E-2</v>
      </c>
    </row>
    <row r="37" spans="1:8" ht="24" customHeight="1" x14ac:dyDescent="0.2">
      <c r="A37" s="304">
        <v>2</v>
      </c>
      <c r="B37" s="305" t="s">
        <v>39</v>
      </c>
      <c r="C37" s="22">
        <v>106694984</v>
      </c>
      <c r="D37" s="22">
        <v>112631179</v>
      </c>
      <c r="E37" s="22">
        <f>D37-C37</f>
        <v>5936195</v>
      </c>
      <c r="F37" s="22">
        <f>IF(C37=0,0,E37/C37)</f>
        <v>5.5637057877060088E-2</v>
      </c>
    </row>
    <row r="38" spans="1:8" ht="24" customHeight="1" x14ac:dyDescent="0.25">
      <c r="A38" s="307"/>
      <c r="B38" s="308" t="s">
        <v>40</v>
      </c>
      <c r="C38" s="309">
        <f>C36-C37</f>
        <v>36832486</v>
      </c>
      <c r="D38" s="309">
        <f>D36-D37</f>
        <v>35901336</v>
      </c>
      <c r="E38" s="309">
        <f>D38-C38</f>
        <v>-931150</v>
      </c>
      <c r="F38" s="310">
        <f>IF(C38=0,0,E38/C38)</f>
        <v>-2.5280672067587294E-2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1020301</v>
      </c>
      <c r="D40" s="22">
        <v>968443</v>
      </c>
      <c r="E40" s="22">
        <f>D40-C40</f>
        <v>-51858</v>
      </c>
      <c r="F40" s="306">
        <f>IF(C40=0,0,E40/C40)</f>
        <v>-5.0826177765188899E-2</v>
      </c>
    </row>
    <row r="41" spans="1:8" ht="24" customHeight="1" x14ac:dyDescent="0.25">
      <c r="A41" s="307"/>
      <c r="B41" s="308" t="s">
        <v>42</v>
      </c>
      <c r="C41" s="309">
        <f>+C38+C40</f>
        <v>37852787</v>
      </c>
      <c r="D41" s="309">
        <f>+D38+D40</f>
        <v>36869779</v>
      </c>
      <c r="E41" s="309">
        <f>D41-C41</f>
        <v>-983008</v>
      </c>
      <c r="F41" s="310">
        <f>IF(C41=0,0,E41/C41)</f>
        <v>-2.5969237086822694E-2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126527052</v>
      </c>
      <c r="D43" s="309">
        <f>D22+D29+D31+D32+D33+D41</f>
        <v>132449817</v>
      </c>
      <c r="E43" s="309">
        <f>D43-C43</f>
        <v>5922765</v>
      </c>
      <c r="F43" s="310">
        <f>IF(C43=0,0,E43/C43)</f>
        <v>4.6810266313641768E-2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5029676</v>
      </c>
      <c r="D49" s="22">
        <v>7289342</v>
      </c>
      <c r="E49" s="22">
        <f t="shared" ref="E49:E56" si="2">D49-C49</f>
        <v>2259666</v>
      </c>
      <c r="F49" s="306">
        <f t="shared" ref="F49:F56" si="3">IF(C49=0,0,E49/C49)</f>
        <v>0.44926671220969305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4027215</v>
      </c>
      <c r="D50" s="22">
        <v>4177672</v>
      </c>
      <c r="E50" s="22">
        <f t="shared" si="2"/>
        <v>150457</v>
      </c>
      <c r="F50" s="306">
        <f t="shared" si="3"/>
        <v>3.7360061481693928E-2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1917192</v>
      </c>
      <c r="D51" s="22">
        <v>2468522</v>
      </c>
      <c r="E51" s="22">
        <f t="shared" si="2"/>
        <v>551330</v>
      </c>
      <c r="F51" s="306">
        <f t="shared" si="3"/>
        <v>0.28757161515382912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1200000</v>
      </c>
      <c r="D53" s="22">
        <v>0</v>
      </c>
      <c r="E53" s="22">
        <f t="shared" si="2"/>
        <v>-1200000</v>
      </c>
      <c r="F53" s="306">
        <f t="shared" si="3"/>
        <v>-1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198100</v>
      </c>
      <c r="D54" s="22">
        <v>3219468</v>
      </c>
      <c r="E54" s="22">
        <f t="shared" si="2"/>
        <v>3021368</v>
      </c>
      <c r="F54" s="306">
        <f t="shared" si="3"/>
        <v>15.25173144876325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7726163</v>
      </c>
      <c r="D55" s="22">
        <v>4078798</v>
      </c>
      <c r="E55" s="22">
        <f t="shared" si="2"/>
        <v>-3647365</v>
      </c>
      <c r="F55" s="306">
        <f t="shared" si="3"/>
        <v>-0.47207973738063769</v>
      </c>
    </row>
    <row r="56" spans="1:6" ht="24" customHeight="1" x14ac:dyDescent="0.25">
      <c r="A56" s="307"/>
      <c r="B56" s="308" t="s">
        <v>54</v>
      </c>
      <c r="C56" s="309">
        <f>SUM(C49:C55)</f>
        <v>20098346</v>
      </c>
      <c r="D56" s="309">
        <f>SUM(D49:D55)</f>
        <v>21233802</v>
      </c>
      <c r="E56" s="309">
        <f t="shared" si="2"/>
        <v>1135456</v>
      </c>
      <c r="F56" s="310">
        <f t="shared" si="3"/>
        <v>5.6494997150511789E-2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3223366</v>
      </c>
      <c r="D60" s="22">
        <v>0</v>
      </c>
      <c r="E60" s="22">
        <f>D60-C60</f>
        <v>-3223366</v>
      </c>
      <c r="F60" s="306">
        <f>IF(C60=0,0,E60/C60)</f>
        <v>-1</v>
      </c>
    </row>
    <row r="61" spans="1:6" ht="24" customHeight="1" x14ac:dyDescent="0.25">
      <c r="A61" s="307"/>
      <c r="B61" s="308" t="s">
        <v>58</v>
      </c>
      <c r="C61" s="309">
        <f>SUM(C59:C60)</f>
        <v>3223366</v>
      </c>
      <c r="D61" s="309">
        <f>SUM(D59:D60)</f>
        <v>0</v>
      </c>
      <c r="E61" s="309">
        <f>D61-C61</f>
        <v>-3223366</v>
      </c>
      <c r="F61" s="310">
        <f>IF(C61=0,0,E61/C61)</f>
        <v>-1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38287989</v>
      </c>
      <c r="D63" s="22">
        <v>23133018</v>
      </c>
      <c r="E63" s="22">
        <f>D63-C63</f>
        <v>-15154971</v>
      </c>
      <c r="F63" s="306">
        <f>IF(C63=0,0,E63/C63)</f>
        <v>-0.3958152777363157</v>
      </c>
    </row>
    <row r="64" spans="1:6" ht="24" customHeight="1" x14ac:dyDescent="0.2">
      <c r="A64" s="304">
        <v>4</v>
      </c>
      <c r="B64" s="305" t="s">
        <v>60</v>
      </c>
      <c r="C64" s="22">
        <v>3125672</v>
      </c>
      <c r="D64" s="22">
        <v>3527218</v>
      </c>
      <c r="E64" s="22">
        <f>D64-C64</f>
        <v>401546</v>
      </c>
      <c r="F64" s="306">
        <f>IF(C64=0,0,E64/C64)</f>
        <v>0.12846709443601248</v>
      </c>
    </row>
    <row r="65" spans="1:6" ht="24" customHeight="1" x14ac:dyDescent="0.25">
      <c r="A65" s="307"/>
      <c r="B65" s="308" t="s">
        <v>61</v>
      </c>
      <c r="C65" s="309">
        <f>SUM(C61:C64)</f>
        <v>44637027</v>
      </c>
      <c r="D65" s="309">
        <f>SUM(D61:D64)</f>
        <v>26660236</v>
      </c>
      <c r="E65" s="309">
        <f>D65-C65</f>
        <v>-17976791</v>
      </c>
      <c r="F65" s="310">
        <f>IF(C65=0,0,E65/C65)</f>
        <v>-0.40273271335924771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40934207</v>
      </c>
      <c r="D70" s="22">
        <v>61139349</v>
      </c>
      <c r="E70" s="22">
        <f>D70-C70</f>
        <v>20205142</v>
      </c>
      <c r="F70" s="306">
        <f>IF(C70=0,0,E70/C70)</f>
        <v>0.49360042567821089</v>
      </c>
    </row>
    <row r="71" spans="1:6" ht="24" customHeight="1" x14ac:dyDescent="0.2">
      <c r="A71" s="304">
        <v>2</v>
      </c>
      <c r="B71" s="305" t="s">
        <v>65</v>
      </c>
      <c r="C71" s="22">
        <v>3236940</v>
      </c>
      <c r="D71" s="22">
        <v>3314742</v>
      </c>
      <c r="E71" s="22">
        <f>D71-C71</f>
        <v>77802</v>
      </c>
      <c r="F71" s="306">
        <f>IF(C71=0,0,E71/C71)</f>
        <v>2.4035663311646183E-2</v>
      </c>
    </row>
    <row r="72" spans="1:6" ht="24" customHeight="1" x14ac:dyDescent="0.2">
      <c r="A72" s="304">
        <v>3</v>
      </c>
      <c r="B72" s="305" t="s">
        <v>66</v>
      </c>
      <c r="C72" s="22">
        <v>17620532</v>
      </c>
      <c r="D72" s="22">
        <v>20101688</v>
      </c>
      <c r="E72" s="22">
        <f>D72-C72</f>
        <v>2481156</v>
      </c>
      <c r="F72" s="306">
        <f>IF(C72=0,0,E72/C72)</f>
        <v>0.14081050447285021</v>
      </c>
    </row>
    <row r="73" spans="1:6" ht="24" customHeight="1" x14ac:dyDescent="0.25">
      <c r="A73" s="304"/>
      <c r="B73" s="308" t="s">
        <v>67</v>
      </c>
      <c r="C73" s="309">
        <f>SUM(C70:C72)</f>
        <v>61791679</v>
      </c>
      <c r="D73" s="309">
        <f>SUM(D70:D72)</f>
        <v>84555779</v>
      </c>
      <c r="E73" s="309">
        <f>D73-C73</f>
        <v>22764100</v>
      </c>
      <c r="F73" s="310">
        <f>IF(C73=0,0,E73/C73)</f>
        <v>0.36840073563950254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126527052</v>
      </c>
      <c r="D75" s="309">
        <f>D56+D65+D67+D73</f>
        <v>132449817</v>
      </c>
      <c r="E75" s="309">
        <f>D75-C75</f>
        <v>5922765</v>
      </c>
      <c r="F75" s="310">
        <f>IF(C75=0,0,E75/C75)</f>
        <v>4.6810266313641768E-2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237069420</v>
      </c>
      <c r="D11" s="76">
        <v>259938572</v>
      </c>
      <c r="E11" s="76">
        <f t="shared" ref="E11:E20" si="0">D11-C11</f>
        <v>22869152</v>
      </c>
      <c r="F11" s="77">
        <f t="shared" ref="F11:F20" si="1">IF(C11=0,0,E11/C11)</f>
        <v>9.6466056229436936E-2</v>
      </c>
    </row>
    <row r="12" spans="1:7" ht="23.1" customHeight="1" x14ac:dyDescent="0.2">
      <c r="A12" s="74">
        <v>2</v>
      </c>
      <c r="B12" s="75" t="s">
        <v>72</v>
      </c>
      <c r="C12" s="76">
        <v>118988604</v>
      </c>
      <c r="D12" s="76">
        <v>136668445</v>
      </c>
      <c r="E12" s="76">
        <f t="shared" si="0"/>
        <v>17679841</v>
      </c>
      <c r="F12" s="77">
        <f t="shared" si="1"/>
        <v>0.14858432157082874</v>
      </c>
    </row>
    <row r="13" spans="1:7" ht="23.1" customHeight="1" x14ac:dyDescent="0.2">
      <c r="A13" s="74">
        <v>3</v>
      </c>
      <c r="B13" s="75" t="s">
        <v>73</v>
      </c>
      <c r="C13" s="76">
        <v>1766984</v>
      </c>
      <c r="D13" s="76">
        <v>3214518</v>
      </c>
      <c r="E13" s="76">
        <f t="shared" si="0"/>
        <v>1447534</v>
      </c>
      <c r="F13" s="77">
        <f t="shared" si="1"/>
        <v>0.81921171895161471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116313832</v>
      </c>
      <c r="D15" s="79">
        <f>D11-D12-D13-D14</f>
        <v>120055609</v>
      </c>
      <c r="E15" s="79">
        <f t="shared" si="0"/>
        <v>3741777</v>
      </c>
      <c r="F15" s="80">
        <f t="shared" si="1"/>
        <v>3.2169664911392483E-2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3378061</v>
      </c>
      <c r="E16" s="76">
        <f t="shared" si="0"/>
        <v>3378061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116313832</v>
      </c>
      <c r="D17" s="79">
        <f>D15-D16</f>
        <v>116677548</v>
      </c>
      <c r="E17" s="79">
        <f t="shared" si="0"/>
        <v>363716</v>
      </c>
      <c r="F17" s="80">
        <f t="shared" si="1"/>
        <v>3.1270227602852945E-3</v>
      </c>
    </row>
    <row r="18" spans="1:7" ht="23.1" customHeight="1" x14ac:dyDescent="0.2">
      <c r="A18" s="74">
        <v>6</v>
      </c>
      <c r="B18" s="75" t="s">
        <v>78</v>
      </c>
      <c r="C18" s="76">
        <v>5735128</v>
      </c>
      <c r="D18" s="76">
        <v>8250545</v>
      </c>
      <c r="E18" s="76">
        <f t="shared" si="0"/>
        <v>2515417</v>
      </c>
      <c r="F18" s="77">
        <f t="shared" si="1"/>
        <v>0.43859823180929874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122048960</v>
      </c>
      <c r="D20" s="79">
        <f>SUM(D17:D19)</f>
        <v>124928093</v>
      </c>
      <c r="E20" s="79">
        <f t="shared" si="0"/>
        <v>2879133</v>
      </c>
      <c r="F20" s="80">
        <f t="shared" si="1"/>
        <v>2.3589983888432971E-2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54928730</v>
      </c>
      <c r="D23" s="76">
        <v>58472497</v>
      </c>
      <c r="E23" s="76">
        <f t="shared" ref="E23:E32" si="2">D23-C23</f>
        <v>3543767</v>
      </c>
      <c r="F23" s="77">
        <f t="shared" ref="F23:F32" si="3">IF(C23=0,0,E23/C23)</f>
        <v>6.4515727925987004E-2</v>
      </c>
    </row>
    <row r="24" spans="1:7" ht="23.1" customHeight="1" x14ac:dyDescent="0.2">
      <c r="A24" s="74">
        <v>2</v>
      </c>
      <c r="B24" s="75" t="s">
        <v>83</v>
      </c>
      <c r="C24" s="76">
        <v>16546435</v>
      </c>
      <c r="D24" s="76">
        <v>16209800</v>
      </c>
      <c r="E24" s="76">
        <f t="shared" si="2"/>
        <v>-336635</v>
      </c>
      <c r="F24" s="77">
        <f t="shared" si="3"/>
        <v>-2.0344865827593678E-2</v>
      </c>
    </row>
    <row r="25" spans="1:7" ht="23.1" customHeight="1" x14ac:dyDescent="0.2">
      <c r="A25" s="74">
        <v>3</v>
      </c>
      <c r="B25" s="75" t="s">
        <v>84</v>
      </c>
      <c r="C25" s="76">
        <v>3306463</v>
      </c>
      <c r="D25" s="76">
        <v>4669548</v>
      </c>
      <c r="E25" s="76">
        <f t="shared" si="2"/>
        <v>1363085</v>
      </c>
      <c r="F25" s="77">
        <f t="shared" si="3"/>
        <v>0.41224867781674857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12272846</v>
      </c>
      <c r="D26" s="76">
        <v>12510410</v>
      </c>
      <c r="E26" s="76">
        <f t="shared" si="2"/>
        <v>237564</v>
      </c>
      <c r="F26" s="77">
        <f t="shared" si="3"/>
        <v>1.9356879406781442E-2</v>
      </c>
    </row>
    <row r="27" spans="1:7" ht="23.1" customHeight="1" x14ac:dyDescent="0.2">
      <c r="A27" s="74">
        <v>5</v>
      </c>
      <c r="B27" s="75" t="s">
        <v>86</v>
      </c>
      <c r="C27" s="76">
        <v>6060455</v>
      </c>
      <c r="D27" s="76">
        <v>6050075</v>
      </c>
      <c r="E27" s="76">
        <f t="shared" si="2"/>
        <v>-10380</v>
      </c>
      <c r="F27" s="77">
        <f t="shared" si="3"/>
        <v>-1.712742690111551E-3</v>
      </c>
    </row>
    <row r="28" spans="1:7" ht="23.1" customHeight="1" x14ac:dyDescent="0.2">
      <c r="A28" s="74">
        <v>6</v>
      </c>
      <c r="B28" s="75" t="s">
        <v>87</v>
      </c>
      <c r="C28" s="76">
        <v>3125364</v>
      </c>
      <c r="D28" s="76">
        <v>0</v>
      </c>
      <c r="E28" s="76">
        <f t="shared" si="2"/>
        <v>-3125364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264153</v>
      </c>
      <c r="D29" s="76">
        <v>250825</v>
      </c>
      <c r="E29" s="76">
        <f t="shared" si="2"/>
        <v>-13328</v>
      </c>
      <c r="F29" s="77">
        <f t="shared" si="3"/>
        <v>-5.0455607167058485E-2</v>
      </c>
    </row>
    <row r="30" spans="1:7" ht="23.1" customHeight="1" x14ac:dyDescent="0.2">
      <c r="A30" s="74">
        <v>8</v>
      </c>
      <c r="B30" s="75" t="s">
        <v>89</v>
      </c>
      <c r="C30" s="76">
        <v>1748531</v>
      </c>
      <c r="D30" s="76">
        <v>1842449</v>
      </c>
      <c r="E30" s="76">
        <f t="shared" si="2"/>
        <v>93918</v>
      </c>
      <c r="F30" s="77">
        <f t="shared" si="3"/>
        <v>5.371251639233162E-2</v>
      </c>
    </row>
    <row r="31" spans="1:7" ht="23.1" customHeight="1" x14ac:dyDescent="0.2">
      <c r="A31" s="74">
        <v>9</v>
      </c>
      <c r="B31" s="75" t="s">
        <v>90</v>
      </c>
      <c r="C31" s="76">
        <v>23629704</v>
      </c>
      <c r="D31" s="76">
        <v>24894381</v>
      </c>
      <c r="E31" s="76">
        <f t="shared" si="2"/>
        <v>1264677</v>
      </c>
      <c r="F31" s="77">
        <f t="shared" si="3"/>
        <v>5.3520645032201844E-2</v>
      </c>
    </row>
    <row r="32" spans="1:7" ht="23.1" customHeight="1" x14ac:dyDescent="0.25">
      <c r="A32" s="71"/>
      <c r="B32" s="78" t="s">
        <v>91</v>
      </c>
      <c r="C32" s="79">
        <f>SUM(C23:C31)</f>
        <v>121882681</v>
      </c>
      <c r="D32" s="79">
        <f>SUM(D23:D31)</f>
        <v>124899985</v>
      </c>
      <c r="E32" s="79">
        <f t="shared" si="2"/>
        <v>3017304</v>
      </c>
      <c r="F32" s="80">
        <f t="shared" si="3"/>
        <v>2.4755805954087932E-2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166279</v>
      </c>
      <c r="D34" s="79">
        <f>+D20-D32</f>
        <v>28108</v>
      </c>
      <c r="E34" s="79">
        <f>D34-C34</f>
        <v>-138171</v>
      </c>
      <c r="F34" s="80">
        <f>IF(C34=0,0,E34/C34)</f>
        <v>-0.83095881019250772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2102513</v>
      </c>
      <c r="D37" s="76">
        <v>2298212</v>
      </c>
      <c r="E37" s="76">
        <f>D37-C37</f>
        <v>195699</v>
      </c>
      <c r="F37" s="77">
        <f>IF(C37=0,0,E37/C37)</f>
        <v>9.3078615922945543E-2</v>
      </c>
    </row>
    <row r="38" spans="1:6" ht="23.1" customHeight="1" x14ac:dyDescent="0.2">
      <c r="A38" s="85">
        <v>2</v>
      </c>
      <c r="B38" s="75" t="s">
        <v>95</v>
      </c>
      <c r="C38" s="76">
        <v>27952</v>
      </c>
      <c r="D38" s="76">
        <v>273527</v>
      </c>
      <c r="E38" s="76">
        <f>D38-C38</f>
        <v>245575</v>
      </c>
      <c r="F38" s="77">
        <f>IF(C38=0,0,E38/C38)</f>
        <v>8.7855967372638801</v>
      </c>
    </row>
    <row r="39" spans="1:6" ht="23.1" customHeight="1" x14ac:dyDescent="0.2">
      <c r="A39" s="85">
        <v>3</v>
      </c>
      <c r="B39" s="75" t="s">
        <v>96</v>
      </c>
      <c r="C39" s="76">
        <v>118880</v>
      </c>
      <c r="D39" s="76">
        <v>93073</v>
      </c>
      <c r="E39" s="76">
        <f>D39-C39</f>
        <v>-25807</v>
      </c>
      <c r="F39" s="77">
        <f>IF(C39=0,0,E39/C39)</f>
        <v>-0.21708445491251682</v>
      </c>
    </row>
    <row r="40" spans="1:6" ht="23.1" customHeight="1" x14ac:dyDescent="0.25">
      <c r="A40" s="83"/>
      <c r="B40" s="78" t="s">
        <v>97</v>
      </c>
      <c r="C40" s="79">
        <f>SUM(C37:C39)</f>
        <v>2249345</v>
      </c>
      <c r="D40" s="79">
        <f>SUM(D37:D39)</f>
        <v>2664812</v>
      </c>
      <c r="E40" s="79">
        <f>D40-C40</f>
        <v>415467</v>
      </c>
      <c r="F40" s="80">
        <f>IF(C40=0,0,E40/C40)</f>
        <v>0.18470576990190476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2415624</v>
      </c>
      <c r="D42" s="79">
        <f>D34+D40</f>
        <v>2692920</v>
      </c>
      <c r="E42" s="79">
        <f>D42-C42</f>
        <v>277296</v>
      </c>
      <c r="F42" s="80">
        <f>IF(C42=0,0,E42/C42)</f>
        <v>0.11479269952608519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2415624</v>
      </c>
      <c r="D49" s="79">
        <f>D42+D47</f>
        <v>2692920</v>
      </c>
      <c r="E49" s="79">
        <f>D49-C49</f>
        <v>277296</v>
      </c>
      <c r="F49" s="80">
        <f>IF(C49=0,0,E49/C49)</f>
        <v>0.11479269952608519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2014-10-07T12:20:08Z</cp:lastPrinted>
  <dcterms:created xsi:type="dcterms:W3CDTF">2014-10-06T18:10:42Z</dcterms:created>
  <dcterms:modified xsi:type="dcterms:W3CDTF">2014-10-09T18:06:27Z</dcterms:modified>
</cp:coreProperties>
</file>