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D102" i="22" l="1"/>
  <c r="E97" i="22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D83" i="22"/>
  <c r="D101" i="22"/>
  <c r="D103" i="22"/>
  <c r="C83" i="22"/>
  <c r="C101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D34" i="22"/>
  <c r="E28" i="22"/>
  <c r="D28" i="22"/>
  <c r="C28" i="22"/>
  <c r="E27" i="22"/>
  <c r="D27" i="22"/>
  <c r="C27" i="22"/>
  <c r="D23" i="22"/>
  <c r="D54" i="22"/>
  <c r="E21" i="22"/>
  <c r="D21" i="22"/>
  <c r="C21" i="22"/>
  <c r="E12" i="22"/>
  <c r="E33" i="22"/>
  <c r="D12" i="22"/>
  <c r="D33" i="22"/>
  <c r="C12" i="22"/>
  <c r="C33" i="22"/>
  <c r="D21" i="21"/>
  <c r="E21" i="21"/>
  <c r="F21" i="21"/>
  <c r="C21" i="21"/>
  <c r="D19" i="21"/>
  <c r="E19" i="21"/>
  <c r="F19" i="21"/>
  <c r="C19" i="21"/>
  <c r="F17" i="21"/>
  <c r="E17" i="21"/>
  <c r="F15" i="21"/>
  <c r="E15" i="21"/>
  <c r="D45" i="20"/>
  <c r="E45" i="20"/>
  <c r="F45" i="20"/>
  <c r="C45" i="20"/>
  <c r="D44" i="20"/>
  <c r="E44" i="20"/>
  <c r="F44" i="20"/>
  <c r="C44" i="20"/>
  <c r="D43" i="20"/>
  <c r="D46" i="20"/>
  <c r="C43" i="20"/>
  <c r="C46" i="20"/>
  <c r="D36" i="20"/>
  <c r="D40" i="20"/>
  <c r="E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D20" i="20"/>
  <c r="E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37" i="19"/>
  <c r="C139" i="19"/>
  <c r="C143" i="19"/>
  <c r="C115" i="19"/>
  <c r="C105" i="19"/>
  <c r="C96" i="19"/>
  <c r="C95" i="19"/>
  <c r="C89" i="19"/>
  <c r="C88" i="19"/>
  <c r="C83" i="19"/>
  <c r="C77" i="19"/>
  <c r="C78" i="19"/>
  <c r="C64" i="19"/>
  <c r="C63" i="19"/>
  <c r="C65" i="19"/>
  <c r="C114" i="19"/>
  <c r="C116" i="19"/>
  <c r="C119" i="19"/>
  <c r="C123" i="19"/>
  <c r="C60" i="19"/>
  <c r="C59" i="19"/>
  <c r="C49" i="19"/>
  <c r="C48" i="19"/>
  <c r="C36" i="19"/>
  <c r="C32" i="19"/>
  <c r="C33" i="19"/>
  <c r="C21" i="19"/>
  <c r="C37" i="19"/>
  <c r="E328" i="18"/>
  <c r="E325" i="18"/>
  <c r="D324" i="18"/>
  <c r="D326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D303" i="18"/>
  <c r="C301" i="18"/>
  <c r="D293" i="18"/>
  <c r="E293" i="18"/>
  <c r="C293" i="18"/>
  <c r="D292" i="18"/>
  <c r="C292" i="18"/>
  <c r="E292" i="18"/>
  <c r="D291" i="18"/>
  <c r="E291" i="18"/>
  <c r="C291" i="18"/>
  <c r="D290" i="18"/>
  <c r="C290" i="18"/>
  <c r="E290" i="18"/>
  <c r="D288" i="18"/>
  <c r="C288" i="18"/>
  <c r="E288" i="18"/>
  <c r="D287" i="18"/>
  <c r="E287" i="18"/>
  <c r="C287" i="18"/>
  <c r="D282" i="18"/>
  <c r="C282" i="18"/>
  <c r="E282" i="18"/>
  <c r="D281" i="18"/>
  <c r="E281" i="18"/>
  <c r="C281" i="18"/>
  <c r="D280" i="18"/>
  <c r="C280" i="18"/>
  <c r="E280" i="18"/>
  <c r="D279" i="18"/>
  <c r="E279" i="18"/>
  <c r="C279" i="18"/>
  <c r="D278" i="18"/>
  <c r="C278" i="18"/>
  <c r="E278" i="18"/>
  <c r="D277" i="18"/>
  <c r="E277" i="18"/>
  <c r="C277" i="18"/>
  <c r="D276" i="18"/>
  <c r="C276" i="18"/>
  <c r="E276" i="18"/>
  <c r="E270" i="18"/>
  <c r="D265" i="18"/>
  <c r="D302" i="18"/>
  <c r="C265" i="18"/>
  <c r="C302" i="18"/>
  <c r="D262" i="18"/>
  <c r="C262" i="18"/>
  <c r="E262" i="18"/>
  <c r="D251" i="18"/>
  <c r="C251" i="18"/>
  <c r="E251" i="18"/>
  <c r="D243" i="18"/>
  <c r="C242" i="18"/>
  <c r="D233" i="18"/>
  <c r="C233" i="18"/>
  <c r="D232" i="18"/>
  <c r="E232" i="18"/>
  <c r="C232" i="18"/>
  <c r="D231" i="18"/>
  <c r="C231" i="18"/>
  <c r="D230" i="18"/>
  <c r="E230" i="18"/>
  <c r="C230" i="18"/>
  <c r="D228" i="18"/>
  <c r="E228" i="18"/>
  <c r="C228" i="18"/>
  <c r="D227" i="18"/>
  <c r="C227" i="18"/>
  <c r="E227" i="18"/>
  <c r="D221" i="18"/>
  <c r="C221" i="18"/>
  <c r="C245" i="18"/>
  <c r="D220" i="18"/>
  <c r="D244" i="18"/>
  <c r="C220" i="18"/>
  <c r="E220" i="18"/>
  <c r="D219" i="18"/>
  <c r="E219" i="18"/>
  <c r="C219" i="18"/>
  <c r="C243" i="18"/>
  <c r="D218" i="18"/>
  <c r="D242" i="18"/>
  <c r="E242" i="18"/>
  <c r="C218" i="18"/>
  <c r="C217" i="18"/>
  <c r="D217" i="18"/>
  <c r="E217" i="18"/>
  <c r="D216" i="18"/>
  <c r="D240" i="18"/>
  <c r="E240" i="18"/>
  <c r="C216" i="18"/>
  <c r="C240" i="18"/>
  <c r="D215" i="18"/>
  <c r="E215" i="18"/>
  <c r="C215" i="18"/>
  <c r="C239" i="18"/>
  <c r="D210" i="18"/>
  <c r="D234" i="18"/>
  <c r="E209" i="18"/>
  <c r="E208" i="18"/>
  <c r="E207" i="18"/>
  <c r="E206" i="18"/>
  <c r="D205" i="18"/>
  <c r="D229" i="18"/>
  <c r="C205" i="18"/>
  <c r="C210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C179" i="18"/>
  <c r="E179" i="18"/>
  <c r="D178" i="18"/>
  <c r="E178" i="18"/>
  <c r="C178" i="18"/>
  <c r="D177" i="18"/>
  <c r="C177" i="18"/>
  <c r="E177" i="18"/>
  <c r="D176" i="18"/>
  <c r="E176" i="18"/>
  <c r="C176" i="18"/>
  <c r="C175" i="18"/>
  <c r="D174" i="18"/>
  <c r="E174" i="18"/>
  <c r="C174" i="18"/>
  <c r="D173" i="18"/>
  <c r="C173" i="18"/>
  <c r="E173" i="18"/>
  <c r="D167" i="18"/>
  <c r="E167" i="18"/>
  <c r="C167" i="18"/>
  <c r="D166" i="18"/>
  <c r="C166" i="18"/>
  <c r="E166" i="18"/>
  <c r="D165" i="18"/>
  <c r="E165" i="18"/>
  <c r="C165" i="18"/>
  <c r="D164" i="18"/>
  <c r="C164" i="18"/>
  <c r="E164" i="18"/>
  <c r="D162" i="18"/>
  <c r="C162" i="18"/>
  <c r="E162" i="18"/>
  <c r="D161" i="18"/>
  <c r="E161" i="18"/>
  <c r="C161" i="18"/>
  <c r="D156" i="18"/>
  <c r="D157" i="18"/>
  <c r="E155" i="18"/>
  <c r="E154" i="18"/>
  <c r="E153" i="18"/>
  <c r="E152" i="18"/>
  <c r="D151" i="18"/>
  <c r="C151" i="18"/>
  <c r="E151" i="18"/>
  <c r="E150" i="18"/>
  <c r="E149" i="18"/>
  <c r="C144" i="18"/>
  <c r="E143" i="18"/>
  <c r="E142" i="18"/>
  <c r="E141" i="18"/>
  <c r="E140" i="18"/>
  <c r="D139" i="18"/>
  <c r="D163" i="18"/>
  <c r="E163" i="18"/>
  <c r="C139" i="18"/>
  <c r="C163" i="18"/>
  <c r="E138" i="18"/>
  <c r="E137" i="18"/>
  <c r="D75" i="18"/>
  <c r="C75" i="18"/>
  <c r="E75" i="18"/>
  <c r="D74" i="18"/>
  <c r="E74" i="18"/>
  <c r="C74" i="18"/>
  <c r="D73" i="18"/>
  <c r="C73" i="18"/>
  <c r="E73" i="18"/>
  <c r="D72" i="18"/>
  <c r="E72" i="18"/>
  <c r="C72" i="18"/>
  <c r="C71" i="18"/>
  <c r="D70" i="18"/>
  <c r="E70" i="18"/>
  <c r="C70" i="18"/>
  <c r="C76" i="18"/>
  <c r="D69" i="18"/>
  <c r="C69" i="18"/>
  <c r="C77" i="18"/>
  <c r="C65" i="18"/>
  <c r="C66" i="18"/>
  <c r="E64" i="18"/>
  <c r="E63" i="18"/>
  <c r="E62" i="18"/>
  <c r="E61" i="18"/>
  <c r="D60" i="18"/>
  <c r="C60" i="18"/>
  <c r="C289" i="18"/>
  <c r="E59" i="18"/>
  <c r="E58" i="18"/>
  <c r="C55" i="18"/>
  <c r="D54" i="18"/>
  <c r="C54" i="18"/>
  <c r="E53" i="18"/>
  <c r="E52" i="18"/>
  <c r="E51" i="18"/>
  <c r="E50" i="18"/>
  <c r="E49" i="18"/>
  <c r="E48" i="18"/>
  <c r="E47" i="18"/>
  <c r="C43" i="18"/>
  <c r="C259" i="18"/>
  <c r="D42" i="18"/>
  <c r="E42" i="18"/>
  <c r="C42" i="18"/>
  <c r="D41" i="18"/>
  <c r="C41" i="18"/>
  <c r="E41" i="18"/>
  <c r="D40" i="18"/>
  <c r="E40" i="18"/>
  <c r="C40" i="18"/>
  <c r="D39" i="18"/>
  <c r="C39" i="18"/>
  <c r="E39" i="18"/>
  <c r="D38" i="18"/>
  <c r="E38" i="18"/>
  <c r="C38" i="18"/>
  <c r="D37" i="18"/>
  <c r="D43" i="18"/>
  <c r="E43" i="18"/>
  <c r="C37" i="18"/>
  <c r="E37" i="18"/>
  <c r="D36" i="18"/>
  <c r="E36" i="18"/>
  <c r="C36" i="18"/>
  <c r="C33" i="18"/>
  <c r="D32" i="18"/>
  <c r="C32" i="18"/>
  <c r="E31" i="18"/>
  <c r="E30" i="18"/>
  <c r="E29" i="18"/>
  <c r="E28" i="18"/>
  <c r="E27" i="18"/>
  <c r="E26" i="18"/>
  <c r="E25" i="18"/>
  <c r="D22" i="18"/>
  <c r="D21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F308" i="17"/>
  <c r="E308" i="17"/>
  <c r="D307" i="17"/>
  <c r="E307" i="17"/>
  <c r="F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E306" i="17"/>
  <c r="C250" i="17"/>
  <c r="C306" i="17"/>
  <c r="F249" i="17"/>
  <c r="E249" i="17"/>
  <c r="F248" i="17"/>
  <c r="E248" i="17"/>
  <c r="F245" i="17"/>
  <c r="E245" i="17"/>
  <c r="F244" i="17"/>
  <c r="E244" i="17"/>
  <c r="F243" i="17"/>
  <c r="E243" i="17"/>
  <c r="D238" i="17"/>
  <c r="E238" i="17"/>
  <c r="F238" i="17"/>
  <c r="C238" i="17"/>
  <c r="D237" i="17"/>
  <c r="D239" i="17"/>
  <c r="C237" i="17"/>
  <c r="C239" i="17"/>
  <c r="F234" i="17"/>
  <c r="E234" i="17"/>
  <c r="F233" i="17"/>
  <c r="E233" i="17"/>
  <c r="D230" i="17"/>
  <c r="E230" i="17"/>
  <c r="F230" i="17"/>
  <c r="C230" i="17"/>
  <c r="D229" i="17"/>
  <c r="E229" i="17"/>
  <c r="F229" i="17"/>
  <c r="C229" i="17"/>
  <c r="F228" i="17"/>
  <c r="E228" i="17"/>
  <c r="D226" i="17"/>
  <c r="D227" i="17"/>
  <c r="C226" i="17"/>
  <c r="C227" i="17"/>
  <c r="F225" i="17"/>
  <c r="E225" i="17"/>
  <c r="F224" i="17"/>
  <c r="E224" i="17"/>
  <c r="D223" i="17"/>
  <c r="E223" i="17"/>
  <c r="F223" i="17"/>
  <c r="C223" i="17"/>
  <c r="F222" i="17"/>
  <c r="E222" i="17"/>
  <c r="F221" i="17"/>
  <c r="E221" i="17"/>
  <c r="D204" i="17"/>
  <c r="E204" i="17"/>
  <c r="F204" i="17"/>
  <c r="C204" i="17"/>
  <c r="C285" i="17"/>
  <c r="D203" i="17"/>
  <c r="E203" i="17"/>
  <c r="F203" i="17"/>
  <c r="C203" i="17"/>
  <c r="C283" i="17"/>
  <c r="D198" i="17"/>
  <c r="E198" i="17"/>
  <c r="F198" i="17"/>
  <c r="C198" i="17"/>
  <c r="D191" i="17"/>
  <c r="D280" i="17"/>
  <c r="C191" i="17"/>
  <c r="C280" i="17"/>
  <c r="D189" i="17"/>
  <c r="D278" i="17"/>
  <c r="C189" i="17"/>
  <c r="C278" i="17"/>
  <c r="D188" i="17"/>
  <c r="D277" i="17"/>
  <c r="C188" i="17"/>
  <c r="C277" i="17"/>
  <c r="F180" i="17"/>
  <c r="D180" i="17"/>
  <c r="E180" i="17"/>
  <c r="C180" i="17"/>
  <c r="D179" i="17"/>
  <c r="E179" i="17"/>
  <c r="F179" i="17"/>
  <c r="C179" i="17"/>
  <c r="C181" i="17"/>
  <c r="D171" i="17"/>
  <c r="E171" i="17"/>
  <c r="F171" i="17"/>
  <c r="C171" i="17"/>
  <c r="C172" i="17"/>
  <c r="C173" i="17"/>
  <c r="D170" i="17"/>
  <c r="E170" i="17"/>
  <c r="F170" i="17"/>
  <c r="C170" i="17"/>
  <c r="E169" i="17"/>
  <c r="F169" i="17"/>
  <c r="E168" i="17"/>
  <c r="F168" i="17"/>
  <c r="D165" i="17"/>
  <c r="E165" i="17"/>
  <c r="F165" i="17"/>
  <c r="C165" i="17"/>
  <c r="D164" i="17"/>
  <c r="E164" i="17"/>
  <c r="F164" i="17"/>
  <c r="C164" i="17"/>
  <c r="E163" i="17"/>
  <c r="F163" i="17"/>
  <c r="D158" i="17"/>
  <c r="E158" i="17"/>
  <c r="F158" i="17"/>
  <c r="C158" i="17"/>
  <c r="C159" i="17"/>
  <c r="E157" i="17"/>
  <c r="F157" i="17"/>
  <c r="E156" i="17"/>
  <c r="F156" i="17"/>
  <c r="D155" i="17"/>
  <c r="E155" i="17"/>
  <c r="F155" i="17"/>
  <c r="C155" i="17"/>
  <c r="E154" i="17"/>
  <c r="F154" i="17"/>
  <c r="E153" i="17"/>
  <c r="F153" i="17"/>
  <c r="D145" i="17"/>
  <c r="E145" i="17"/>
  <c r="F145" i="17"/>
  <c r="C145" i="17"/>
  <c r="D144" i="17"/>
  <c r="E144" i="17"/>
  <c r="F144" i="17"/>
  <c r="C144" i="17"/>
  <c r="C146" i="17"/>
  <c r="D136" i="17"/>
  <c r="D137" i="17"/>
  <c r="C136" i="17"/>
  <c r="C137" i="17"/>
  <c r="D135" i="17"/>
  <c r="C135" i="17"/>
  <c r="E134" i="17"/>
  <c r="F134" i="17"/>
  <c r="E133" i="17"/>
  <c r="F133" i="17"/>
  <c r="D130" i="17"/>
  <c r="C130" i="17"/>
  <c r="D129" i="17"/>
  <c r="C129" i="17"/>
  <c r="E128" i="17"/>
  <c r="F128" i="17"/>
  <c r="D123" i="17"/>
  <c r="C123" i="17"/>
  <c r="E122" i="17"/>
  <c r="F122" i="17"/>
  <c r="E121" i="17"/>
  <c r="F121" i="17"/>
  <c r="D120" i="17"/>
  <c r="C120" i="17"/>
  <c r="E120" i="17"/>
  <c r="E119" i="17"/>
  <c r="F119" i="17"/>
  <c r="E118" i="17"/>
  <c r="F118" i="17"/>
  <c r="D110" i="17"/>
  <c r="C110" i="17"/>
  <c r="E110" i="17"/>
  <c r="D109" i="17"/>
  <c r="D111" i="17"/>
  <c r="C109" i="17"/>
  <c r="C111" i="17"/>
  <c r="D101" i="17"/>
  <c r="D102" i="17"/>
  <c r="C101" i="17"/>
  <c r="C102" i="17"/>
  <c r="D100" i="17"/>
  <c r="C100" i="17"/>
  <c r="E100" i="17"/>
  <c r="E99" i="17"/>
  <c r="F99" i="17"/>
  <c r="E98" i="17"/>
  <c r="F98" i="17"/>
  <c r="D95" i="17"/>
  <c r="C95" i="17"/>
  <c r="E95" i="17"/>
  <c r="D94" i="17"/>
  <c r="C94" i="17"/>
  <c r="E94" i="17"/>
  <c r="E93" i="17"/>
  <c r="F93" i="17"/>
  <c r="D88" i="17"/>
  <c r="D89" i="17"/>
  <c r="E89" i="17"/>
  <c r="C88" i="17"/>
  <c r="C89" i="17"/>
  <c r="E87" i="17"/>
  <c r="F87" i="17"/>
  <c r="E86" i="17"/>
  <c r="F86" i="17"/>
  <c r="D85" i="17"/>
  <c r="C85" i="17"/>
  <c r="E84" i="17"/>
  <c r="F84" i="17"/>
  <c r="E83" i="17"/>
  <c r="F83" i="17"/>
  <c r="D76" i="17"/>
  <c r="D77" i="17"/>
  <c r="E77" i="17"/>
  <c r="C76" i="17"/>
  <c r="C77" i="17"/>
  <c r="F74" i="17"/>
  <c r="E74" i="17"/>
  <c r="F73" i="17"/>
  <c r="E73" i="17"/>
  <c r="D67" i="17"/>
  <c r="E67" i="17"/>
  <c r="F67" i="17"/>
  <c r="C67" i="17"/>
  <c r="D66" i="17"/>
  <c r="D68" i="17"/>
  <c r="E68" i="17"/>
  <c r="C66" i="17"/>
  <c r="C68" i="17"/>
  <c r="D59" i="17"/>
  <c r="D60" i="17"/>
  <c r="C59" i="17"/>
  <c r="C60" i="17"/>
  <c r="D58" i="17"/>
  <c r="E58" i="17"/>
  <c r="F58" i="17"/>
  <c r="C58" i="17"/>
  <c r="F57" i="17"/>
  <c r="E57" i="17"/>
  <c r="F56" i="17"/>
  <c r="E56" i="17"/>
  <c r="D53" i="17"/>
  <c r="E53" i="17"/>
  <c r="F53" i="17"/>
  <c r="C53" i="17"/>
  <c r="D52" i="17"/>
  <c r="E52" i="17"/>
  <c r="F52" i="17"/>
  <c r="C52" i="17"/>
  <c r="F51" i="17"/>
  <c r="E51" i="17"/>
  <c r="D47" i="17"/>
  <c r="D48" i="17"/>
  <c r="C47" i="17"/>
  <c r="C48" i="17"/>
  <c r="F46" i="17"/>
  <c r="E46" i="17"/>
  <c r="F45" i="17"/>
  <c r="E45" i="17"/>
  <c r="D44" i="17"/>
  <c r="E44" i="17"/>
  <c r="F44" i="17"/>
  <c r="C44" i="17"/>
  <c r="F43" i="17"/>
  <c r="E43" i="17"/>
  <c r="F42" i="17"/>
  <c r="E42" i="17"/>
  <c r="D36" i="17"/>
  <c r="E36" i="17"/>
  <c r="F36" i="17"/>
  <c r="C36" i="17"/>
  <c r="D35" i="17"/>
  <c r="D37" i="17"/>
  <c r="C35" i="17"/>
  <c r="D30" i="17"/>
  <c r="D31" i="17"/>
  <c r="C30" i="17"/>
  <c r="C31" i="17"/>
  <c r="D29" i="17"/>
  <c r="E29" i="17"/>
  <c r="F29" i="17"/>
  <c r="C29" i="17"/>
  <c r="F28" i="17"/>
  <c r="E28" i="17"/>
  <c r="F27" i="17"/>
  <c r="E27" i="17"/>
  <c r="D24" i="17"/>
  <c r="E24" i="17"/>
  <c r="F24" i="17"/>
  <c r="C24" i="17"/>
  <c r="D23" i="17"/>
  <c r="E23" i="17"/>
  <c r="F23" i="17"/>
  <c r="C23" i="17"/>
  <c r="F22" i="17"/>
  <c r="E22" i="17"/>
  <c r="D20" i="17"/>
  <c r="E20" i="17"/>
  <c r="F20" i="17"/>
  <c r="C20" i="17"/>
  <c r="F19" i="17"/>
  <c r="E19" i="17"/>
  <c r="F18" i="17"/>
  <c r="E18" i="17"/>
  <c r="D17" i="17"/>
  <c r="E17" i="17"/>
  <c r="F17" i="17"/>
  <c r="C17" i="17"/>
  <c r="F16" i="17"/>
  <c r="E16" i="17"/>
  <c r="F15" i="17"/>
  <c r="E15" i="17"/>
  <c r="D23" i="16"/>
  <c r="E23" i="16"/>
  <c r="F23" i="16"/>
  <c r="C23" i="16"/>
  <c r="F22" i="16"/>
  <c r="E22" i="16"/>
  <c r="D19" i="16"/>
  <c r="E19" i="16"/>
  <c r="F19" i="16"/>
  <c r="C19" i="16"/>
  <c r="F18" i="16"/>
  <c r="E18" i="16"/>
  <c r="F17" i="16"/>
  <c r="E17" i="16"/>
  <c r="D14" i="16"/>
  <c r="E14" i="16"/>
  <c r="F14" i="16"/>
  <c r="C14" i="16"/>
  <c r="F13" i="16"/>
  <c r="E13" i="16"/>
  <c r="F12" i="16"/>
  <c r="E12" i="16"/>
  <c r="D107" i="15"/>
  <c r="E107" i="15"/>
  <c r="F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F68" i="15"/>
  <c r="E68" i="15"/>
  <c r="D65" i="15"/>
  <c r="E65" i="15"/>
  <c r="F65" i="15"/>
  <c r="C65" i="15"/>
  <c r="F64" i="15"/>
  <c r="E64" i="15"/>
  <c r="F63" i="15"/>
  <c r="E63" i="15"/>
  <c r="D60" i="15"/>
  <c r="C60" i="15"/>
  <c r="F59" i="15"/>
  <c r="E59" i="15"/>
  <c r="F58" i="15"/>
  <c r="E58" i="15"/>
  <c r="E60" i="15"/>
  <c r="F60" i="15"/>
  <c r="D55" i="15"/>
  <c r="E55" i="15"/>
  <c r="F55" i="15"/>
  <c r="C55" i="15"/>
  <c r="F54" i="15"/>
  <c r="E54" i="15"/>
  <c r="F53" i="15"/>
  <c r="E53" i="15"/>
  <c r="D50" i="15"/>
  <c r="E50" i="15"/>
  <c r="F50" i="15"/>
  <c r="C50" i="15"/>
  <c r="F49" i="15"/>
  <c r="E49" i="15"/>
  <c r="F48" i="15"/>
  <c r="E48" i="15"/>
  <c r="D45" i="15"/>
  <c r="E45" i="15"/>
  <c r="F45" i="15"/>
  <c r="C45" i="15"/>
  <c r="F44" i="15"/>
  <c r="E44" i="15"/>
  <c r="F43" i="15"/>
  <c r="E43" i="15"/>
  <c r="D37" i="15"/>
  <c r="E37" i="15"/>
  <c r="F37" i="15"/>
  <c r="C37" i="15"/>
  <c r="F36" i="15"/>
  <c r="E36" i="15"/>
  <c r="F35" i="15"/>
  <c r="E35" i="15"/>
  <c r="F34" i="15"/>
  <c r="E34" i="15"/>
  <c r="F33" i="15"/>
  <c r="E33" i="15"/>
  <c r="F30" i="15"/>
  <c r="D30" i="15"/>
  <c r="E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C75" i="13"/>
  <c r="E73" i="13"/>
  <c r="D73" i="13"/>
  <c r="D75" i="13"/>
  <c r="C73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E48" i="13"/>
  <c r="E42" i="13"/>
  <c r="C48" i="13"/>
  <c r="C42" i="13"/>
  <c r="E46" i="13"/>
  <c r="E59" i="13"/>
  <c r="E61" i="13"/>
  <c r="E57" i="13"/>
  <c r="D46" i="13"/>
  <c r="D59" i="13"/>
  <c r="D61" i="13"/>
  <c r="D57" i="13"/>
  <c r="C46" i="13"/>
  <c r="C59" i="13"/>
  <c r="C61" i="13"/>
  <c r="C57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15" i="13"/>
  <c r="E24" i="13"/>
  <c r="C15" i="13"/>
  <c r="C24" i="13"/>
  <c r="E13" i="13"/>
  <c r="E25" i="13"/>
  <c r="E27" i="13"/>
  <c r="D13" i="13"/>
  <c r="D25" i="13"/>
  <c r="D27" i="13"/>
  <c r="C13" i="13"/>
  <c r="C25" i="13"/>
  <c r="C27" i="13"/>
  <c r="D47" i="12"/>
  <c r="E47" i="12"/>
  <c r="C47" i="12"/>
  <c r="E46" i="12"/>
  <c r="F46" i="12"/>
  <c r="E45" i="12"/>
  <c r="F45" i="12"/>
  <c r="D40" i="12"/>
  <c r="E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F12" i="12"/>
  <c r="E12" i="12"/>
  <c r="F11" i="12"/>
  <c r="E11" i="12"/>
  <c r="D73" i="11"/>
  <c r="E73" i="11"/>
  <c r="F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E65" i="11"/>
  <c r="C61" i="11"/>
  <c r="C65" i="11"/>
  <c r="F60" i="11"/>
  <c r="E60" i="11"/>
  <c r="F59" i="11"/>
  <c r="E59" i="11"/>
  <c r="D56" i="11"/>
  <c r="D75" i="11"/>
  <c r="E75" i="11"/>
  <c r="C56" i="11"/>
  <c r="C75" i="11"/>
  <c r="F55" i="11"/>
  <c r="E55" i="11"/>
  <c r="F54" i="11"/>
  <c r="E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D43" i="11"/>
  <c r="C22" i="11"/>
  <c r="C43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D120" i="10"/>
  <c r="E120" i="10"/>
  <c r="C120" i="10"/>
  <c r="F120" i="10"/>
  <c r="D119" i="10"/>
  <c r="E119" i="10"/>
  <c r="C119" i="10"/>
  <c r="F119" i="10"/>
  <c r="D118" i="10"/>
  <c r="E118" i="10"/>
  <c r="C118" i="10"/>
  <c r="F118" i="10"/>
  <c r="D117" i="10"/>
  <c r="E117" i="10"/>
  <c r="C117" i="10"/>
  <c r="F117" i="10"/>
  <c r="D116" i="10"/>
  <c r="E116" i="10"/>
  <c r="C116" i="10"/>
  <c r="F116" i="10"/>
  <c r="D115" i="10"/>
  <c r="E115" i="10"/>
  <c r="C115" i="10"/>
  <c r="F115" i="10"/>
  <c r="D114" i="10"/>
  <c r="E114" i="10"/>
  <c r="C114" i="10"/>
  <c r="F114" i="10"/>
  <c r="D113" i="10"/>
  <c r="D122" i="10"/>
  <c r="C113" i="10"/>
  <c r="F113" i="10"/>
  <c r="D112" i="10"/>
  <c r="D121" i="10"/>
  <c r="C112" i="10"/>
  <c r="F112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F206" i="9"/>
  <c r="D205" i="9"/>
  <c r="E205" i="9"/>
  <c r="C205" i="9"/>
  <c r="F205" i="9"/>
  <c r="D204" i="9"/>
  <c r="E204" i="9"/>
  <c r="C204" i="9"/>
  <c r="F204" i="9"/>
  <c r="D203" i="9"/>
  <c r="E203" i="9"/>
  <c r="C203" i="9"/>
  <c r="F203" i="9"/>
  <c r="D202" i="9"/>
  <c r="E202" i="9"/>
  <c r="C202" i="9"/>
  <c r="F202" i="9"/>
  <c r="D201" i="9"/>
  <c r="E201" i="9"/>
  <c r="C201" i="9"/>
  <c r="F201" i="9"/>
  <c r="D200" i="9"/>
  <c r="E200" i="9"/>
  <c r="C200" i="9"/>
  <c r="F200" i="9"/>
  <c r="D199" i="9"/>
  <c r="D208" i="9"/>
  <c r="C199" i="9"/>
  <c r="D198" i="9"/>
  <c r="D207" i="9"/>
  <c r="C198" i="9"/>
  <c r="D193" i="9"/>
  <c r="E193" i="9"/>
  <c r="C193" i="9"/>
  <c r="F193" i="9"/>
  <c r="D192" i="9"/>
  <c r="C192" i="9"/>
  <c r="F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F141" i="9"/>
  <c r="C141" i="9"/>
  <c r="D140" i="9"/>
  <c r="E140" i="9"/>
  <c r="F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D115" i="9"/>
  <c r="E115" i="9"/>
  <c r="F115" i="9"/>
  <c r="C115" i="9"/>
  <c r="D114" i="9"/>
  <c r="E114" i="9"/>
  <c r="F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/>
  <c r="F102" i="9"/>
  <c r="C102" i="9"/>
  <c r="D101" i="9"/>
  <c r="E101" i="9"/>
  <c r="F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/>
  <c r="C76" i="9"/>
  <c r="D75" i="9"/>
  <c r="E75" i="9"/>
  <c r="F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D37" i="9"/>
  <c r="E37" i="9"/>
  <c r="F37" i="9"/>
  <c r="C37" i="9"/>
  <c r="D36" i="9"/>
  <c r="E36" i="9"/>
  <c r="F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F24" i="9"/>
  <c r="D24" i="9"/>
  <c r="E24" i="9"/>
  <c r="C24" i="9"/>
  <c r="F23" i="9"/>
  <c r="D23" i="9"/>
  <c r="E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C164" i="8"/>
  <c r="E162" i="8"/>
  <c r="D162" i="8"/>
  <c r="C162" i="8"/>
  <c r="E161" i="8"/>
  <c r="D161" i="8"/>
  <c r="C161" i="8"/>
  <c r="E160" i="8"/>
  <c r="E166" i="8"/>
  <c r="D160" i="8"/>
  <c r="D166" i="8"/>
  <c r="C160" i="8"/>
  <c r="C166" i="8"/>
  <c r="E147" i="8"/>
  <c r="D147" i="8"/>
  <c r="C147" i="8"/>
  <c r="E145" i="8"/>
  <c r="D145" i="8"/>
  <c r="C145" i="8"/>
  <c r="E144" i="8"/>
  <c r="D144" i="8"/>
  <c r="C144" i="8"/>
  <c r="E143" i="8"/>
  <c r="E149" i="8"/>
  <c r="D143" i="8"/>
  <c r="D149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2" i="8"/>
  <c r="E104" i="8"/>
  <c r="D102" i="8"/>
  <c r="D104" i="8"/>
  <c r="C102" i="8"/>
  <c r="C104" i="8"/>
  <c r="E100" i="8"/>
  <c r="D100" i="8"/>
  <c r="C100" i="8"/>
  <c r="E95" i="8"/>
  <c r="D95" i="8"/>
  <c r="C95" i="8"/>
  <c r="E94" i="8"/>
  <c r="D94" i="8"/>
  <c r="C94" i="8"/>
  <c r="E89" i="8"/>
  <c r="D89" i="8"/>
  <c r="C89" i="8"/>
  <c r="E87" i="8"/>
  <c r="D87" i="8"/>
  <c r="C87" i="8"/>
  <c r="E84" i="8"/>
  <c r="D84" i="8"/>
  <c r="C84" i="8"/>
  <c r="E83" i="8"/>
  <c r="D83" i="8"/>
  <c r="C83" i="8"/>
  <c r="E79" i="8"/>
  <c r="D79" i="8"/>
  <c r="C79" i="8"/>
  <c r="E75" i="8"/>
  <c r="E88" i="8"/>
  <c r="E90" i="8"/>
  <c r="E86" i="8"/>
  <c r="D75" i="8"/>
  <c r="D88" i="8"/>
  <c r="D90" i="8"/>
  <c r="D86" i="8"/>
  <c r="C75" i="8"/>
  <c r="C88" i="8"/>
  <c r="C90" i="8"/>
  <c r="C86" i="8"/>
  <c r="E74" i="8"/>
  <c r="D74" i="8"/>
  <c r="C74" i="8"/>
  <c r="E67" i="8"/>
  <c r="D67" i="8"/>
  <c r="C67" i="8"/>
  <c r="E38" i="8"/>
  <c r="E57" i="8"/>
  <c r="E62" i="8"/>
  <c r="D38" i="8"/>
  <c r="D53" i="8"/>
  <c r="C38" i="8"/>
  <c r="C57" i="8"/>
  <c r="C62" i="8"/>
  <c r="E33" i="8"/>
  <c r="E34" i="8"/>
  <c r="D33" i="8"/>
  <c r="D34" i="8"/>
  <c r="E26" i="8"/>
  <c r="D26" i="8"/>
  <c r="C26" i="8"/>
  <c r="E13" i="8"/>
  <c r="E25" i="8"/>
  <c r="E27" i="8"/>
  <c r="D13" i="8"/>
  <c r="D25" i="8"/>
  <c r="D27" i="8"/>
  <c r="C13" i="8"/>
  <c r="C25" i="8"/>
  <c r="C27" i="8"/>
  <c r="F186" i="7"/>
  <c r="E186" i="7"/>
  <c r="D183" i="7"/>
  <c r="D188" i="7"/>
  <c r="E188" i="7"/>
  <c r="C183" i="7"/>
  <c r="C188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E167" i="7"/>
  <c r="F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D130" i="7"/>
  <c r="E130" i="7"/>
  <c r="F130" i="7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/>
  <c r="F121" i="7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D95" i="7"/>
  <c r="E95" i="7"/>
  <c r="C90" i="7"/>
  <c r="C95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F39" i="7"/>
  <c r="E39" i="7"/>
  <c r="F38" i="7"/>
  <c r="E38" i="7"/>
  <c r="D35" i="7"/>
  <c r="E35" i="7"/>
  <c r="F35" i="7"/>
  <c r="C35" i="7"/>
  <c r="F34" i="7"/>
  <c r="E34" i="7"/>
  <c r="F33" i="7"/>
  <c r="E33" i="7"/>
  <c r="D30" i="7"/>
  <c r="E30" i="7"/>
  <c r="F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F15" i="7"/>
  <c r="E15" i="7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D94" i="6"/>
  <c r="E94" i="6"/>
  <c r="F94" i="6"/>
  <c r="C94" i="6"/>
  <c r="F93" i="6"/>
  <c r="D93" i="6"/>
  <c r="E93" i="6"/>
  <c r="C93" i="6"/>
  <c r="D92" i="6"/>
  <c r="E92" i="6"/>
  <c r="F92" i="6"/>
  <c r="C92" i="6"/>
  <c r="D91" i="6"/>
  <c r="E91" i="6"/>
  <c r="F91" i="6"/>
  <c r="C91" i="6"/>
  <c r="D90" i="6"/>
  <c r="E90" i="6"/>
  <c r="F90" i="6"/>
  <c r="C90" i="6"/>
  <c r="D89" i="6"/>
  <c r="E89" i="6"/>
  <c r="F89" i="6"/>
  <c r="C89" i="6"/>
  <c r="D88" i="6"/>
  <c r="E88" i="6"/>
  <c r="F88" i="6"/>
  <c r="C88" i="6"/>
  <c r="F87" i="6"/>
  <c r="D87" i="6"/>
  <c r="E87" i="6"/>
  <c r="C87" i="6"/>
  <c r="D86" i="6"/>
  <c r="E86" i="6"/>
  <c r="F86" i="6"/>
  <c r="C86" i="6"/>
  <c r="D85" i="6"/>
  <c r="E85" i="6"/>
  <c r="F85" i="6"/>
  <c r="C85" i="6"/>
  <c r="D84" i="6"/>
  <c r="D95" i="6"/>
  <c r="E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D51" i="6"/>
  <c r="E51" i="6"/>
  <c r="F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D52" i="6"/>
  <c r="E52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D48" i="5"/>
  <c r="E48" i="5"/>
  <c r="F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/>
  <c r="C16" i="5"/>
  <c r="C18" i="5"/>
  <c r="F15" i="5"/>
  <c r="E15" i="5"/>
  <c r="F14" i="5"/>
  <c r="E14" i="5"/>
  <c r="F13" i="5"/>
  <c r="E13" i="5"/>
  <c r="F12" i="5"/>
  <c r="E12" i="5"/>
  <c r="D73" i="4"/>
  <c r="E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/>
  <c r="E65" i="4"/>
  <c r="C61" i="4"/>
  <c r="C65" i="4"/>
  <c r="F60" i="4"/>
  <c r="E60" i="4"/>
  <c r="F59" i="4"/>
  <c r="E59" i="4"/>
  <c r="D56" i="4"/>
  <c r="D75" i="4"/>
  <c r="E75" i="4"/>
  <c r="C56" i="4"/>
  <c r="C75" i="4"/>
  <c r="F55" i="4"/>
  <c r="E55" i="4"/>
  <c r="F54" i="4"/>
  <c r="E54" i="4"/>
  <c r="F53" i="4"/>
  <c r="E53" i="4"/>
  <c r="F52" i="4"/>
  <c r="E52" i="4"/>
  <c r="F51" i="4"/>
  <c r="E51" i="4"/>
  <c r="A51" i="4"/>
  <c r="A52" i="4"/>
  <c r="A53" i="4"/>
  <c r="A54" i="4"/>
  <c r="A55" i="4"/>
  <c r="E50" i="4"/>
  <c r="F50" i="4"/>
  <c r="A50" i="4"/>
  <c r="F49" i="4"/>
  <c r="E49" i="4"/>
  <c r="F40" i="4"/>
  <c r="E40" i="4"/>
  <c r="D38" i="4"/>
  <c r="D41" i="4"/>
  <c r="C38" i="4"/>
  <c r="C41" i="4"/>
  <c r="F37" i="4"/>
  <c r="E37" i="4"/>
  <c r="F36" i="4"/>
  <c r="E36" i="4"/>
  <c r="F33" i="4"/>
  <c r="E33" i="4"/>
  <c r="F32" i="4"/>
  <c r="E32" i="4"/>
  <c r="F31" i="4"/>
  <c r="E31" i="4"/>
  <c r="D29" i="4"/>
  <c r="E29" i="4"/>
  <c r="F29" i="4"/>
  <c r="C29" i="4"/>
  <c r="F28" i="4"/>
  <c r="E28" i="4"/>
  <c r="F27" i="4"/>
  <c r="E27" i="4"/>
  <c r="F26" i="4"/>
  <c r="E26" i="4"/>
  <c r="F25" i="4"/>
  <c r="E25" i="4"/>
  <c r="D22" i="4"/>
  <c r="D43" i="4"/>
  <c r="C22" i="4"/>
  <c r="C43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C109" i="22"/>
  <c r="C108" i="22"/>
  <c r="E109" i="22"/>
  <c r="E108" i="22"/>
  <c r="C103" i="22"/>
  <c r="D108" i="22"/>
  <c r="D109" i="22"/>
  <c r="D22" i="22"/>
  <c r="C23" i="22"/>
  <c r="E23" i="22"/>
  <c r="C34" i="22"/>
  <c r="E34" i="22"/>
  <c r="C102" i="22"/>
  <c r="E102" i="22"/>
  <c r="E103" i="22"/>
  <c r="D111" i="22"/>
  <c r="C22" i="22"/>
  <c r="E22" i="22"/>
  <c r="D30" i="22"/>
  <c r="D36" i="22"/>
  <c r="D40" i="22"/>
  <c r="D46" i="22"/>
  <c r="F20" i="20"/>
  <c r="C41" i="20"/>
  <c r="F40" i="20"/>
  <c r="D41" i="20"/>
  <c r="E39" i="20"/>
  <c r="E41" i="20"/>
  <c r="D192" i="17"/>
  <c r="E19" i="20"/>
  <c r="F19" i="20"/>
  <c r="E43" i="20"/>
  <c r="C38" i="19"/>
  <c r="C127" i="19"/>
  <c r="C129" i="19"/>
  <c r="C133" i="19"/>
  <c r="C22" i="19"/>
  <c r="C126" i="18"/>
  <c r="C124" i="18"/>
  <c r="C122" i="18"/>
  <c r="C128" i="18"/>
  <c r="C115" i="18"/>
  <c r="C113" i="18"/>
  <c r="C111" i="18"/>
  <c r="C109" i="18"/>
  <c r="C117" i="18"/>
  <c r="C127" i="18"/>
  <c r="C125" i="18"/>
  <c r="C123" i="18"/>
  <c r="C121" i="18"/>
  <c r="C129" i="18"/>
  <c r="C114" i="18"/>
  <c r="C112" i="18"/>
  <c r="C110" i="18"/>
  <c r="C116" i="18"/>
  <c r="E85" i="17"/>
  <c r="F85" i="17"/>
  <c r="E129" i="17"/>
  <c r="E130" i="17"/>
  <c r="E135" i="17"/>
  <c r="C295" i="18"/>
  <c r="C44" i="18"/>
  <c r="D55" i="18"/>
  <c r="E55" i="18"/>
  <c r="E54" i="18"/>
  <c r="D289" i="18"/>
  <c r="E289" i="18"/>
  <c r="D71" i="18"/>
  <c r="D65" i="18"/>
  <c r="E60" i="18"/>
  <c r="E69" i="18"/>
  <c r="C283" i="18"/>
  <c r="C22" i="18"/>
  <c r="C284" i="18"/>
  <c r="E21" i="18"/>
  <c r="D294" i="18"/>
  <c r="D33" i="18"/>
  <c r="E32" i="18"/>
  <c r="D44" i="18"/>
  <c r="E234" i="18"/>
  <c r="E294" i="17"/>
  <c r="E295" i="17"/>
  <c r="F295" i="17"/>
  <c r="E296" i="17"/>
  <c r="E297" i="17"/>
  <c r="F297" i="17"/>
  <c r="E298" i="17"/>
  <c r="E299" i="17"/>
  <c r="F299" i="17"/>
  <c r="D283" i="18"/>
  <c r="E283" i="18"/>
  <c r="C294" i="18"/>
  <c r="E139" i="18"/>
  <c r="D144" i="18"/>
  <c r="C145" i="18"/>
  <c r="C156" i="18"/>
  <c r="C157" i="18"/>
  <c r="E157" i="18"/>
  <c r="D175" i="18"/>
  <c r="E175" i="18"/>
  <c r="C180" i="18"/>
  <c r="C234" i="18"/>
  <c r="E205" i="18"/>
  <c r="C211" i="18"/>
  <c r="C235" i="18"/>
  <c r="E216" i="18"/>
  <c r="C241" i="18"/>
  <c r="E218" i="18"/>
  <c r="C222" i="18"/>
  <c r="C246" i="18"/>
  <c r="C229" i="18"/>
  <c r="E229" i="18"/>
  <c r="C252" i="18"/>
  <c r="E231" i="18"/>
  <c r="D241" i="18"/>
  <c r="E241" i="18"/>
  <c r="C244" i="18"/>
  <c r="E244" i="18"/>
  <c r="E302" i="18"/>
  <c r="C303" i="18"/>
  <c r="C306" i="18"/>
  <c r="C310" i="18"/>
  <c r="C261" i="18"/>
  <c r="C263" i="18"/>
  <c r="C189" i="18"/>
  <c r="E189" i="18"/>
  <c r="E188" i="18"/>
  <c r="D260" i="18"/>
  <c r="E195" i="18"/>
  <c r="D211" i="18"/>
  <c r="E210" i="18"/>
  <c r="D245" i="18"/>
  <c r="E245" i="18"/>
  <c r="E221" i="18"/>
  <c r="C253" i="18"/>
  <c r="E233" i="18"/>
  <c r="D239" i="18"/>
  <c r="E239" i="18"/>
  <c r="D252" i="18"/>
  <c r="E243" i="18"/>
  <c r="E303" i="18"/>
  <c r="D306" i="18"/>
  <c r="D320" i="18"/>
  <c r="E320" i="18"/>
  <c r="E316" i="18"/>
  <c r="E326" i="18"/>
  <c r="D330" i="18"/>
  <c r="E330" i="18"/>
  <c r="D222" i="18"/>
  <c r="D223" i="18"/>
  <c r="C254" i="18"/>
  <c r="E265" i="18"/>
  <c r="E314" i="18"/>
  <c r="E301" i="18"/>
  <c r="E324" i="18"/>
  <c r="C32" i="17"/>
  <c r="C160" i="17"/>
  <c r="C90" i="17"/>
  <c r="C61" i="17"/>
  <c r="F68" i="17"/>
  <c r="F89" i="17"/>
  <c r="E102" i="17"/>
  <c r="D103" i="17"/>
  <c r="E103" i="17"/>
  <c r="E111" i="17"/>
  <c r="C207" i="17"/>
  <c r="C138" i="17"/>
  <c r="D32" i="17"/>
  <c r="E31" i="17"/>
  <c r="F31" i="17"/>
  <c r="D90" i="17"/>
  <c r="E90" i="17"/>
  <c r="E48" i="17"/>
  <c r="F48" i="17"/>
  <c r="D61" i="17"/>
  <c r="E60" i="17"/>
  <c r="F60" i="17"/>
  <c r="C103" i="17"/>
  <c r="F102" i="17"/>
  <c r="F111" i="17"/>
  <c r="E137" i="17"/>
  <c r="F137" i="17"/>
  <c r="D138" i="17"/>
  <c r="E138" i="17"/>
  <c r="C21" i="17"/>
  <c r="E30" i="17"/>
  <c r="F30" i="17"/>
  <c r="E35" i="17"/>
  <c r="F35" i="17"/>
  <c r="C37" i="17"/>
  <c r="E37" i="17"/>
  <c r="E47" i="17"/>
  <c r="F47" i="17"/>
  <c r="E59" i="17"/>
  <c r="F59" i="17"/>
  <c r="E66" i="17"/>
  <c r="F66" i="17"/>
  <c r="E76" i="17"/>
  <c r="F76" i="17"/>
  <c r="F94" i="17"/>
  <c r="F95" i="17"/>
  <c r="F100" i="17"/>
  <c r="F110" i="17"/>
  <c r="F120" i="17"/>
  <c r="D124" i="17"/>
  <c r="F129" i="17"/>
  <c r="F130" i="17"/>
  <c r="F135" i="17"/>
  <c r="D146" i="17"/>
  <c r="E146" i="17"/>
  <c r="F146" i="17"/>
  <c r="D159" i="17"/>
  <c r="E159" i="17"/>
  <c r="F159" i="17"/>
  <c r="D172" i="17"/>
  <c r="D207" i="17"/>
  <c r="D181" i="17"/>
  <c r="E181" i="17"/>
  <c r="F181" i="17"/>
  <c r="E227" i="17"/>
  <c r="F227" i="17"/>
  <c r="E239" i="17"/>
  <c r="D21" i="17"/>
  <c r="E88" i="17"/>
  <c r="F88" i="17"/>
  <c r="E101" i="17"/>
  <c r="F101" i="17"/>
  <c r="E109" i="17"/>
  <c r="F109" i="17"/>
  <c r="C193" i="17"/>
  <c r="C192" i="17"/>
  <c r="E123" i="17"/>
  <c r="F123" i="17"/>
  <c r="C124" i="17"/>
  <c r="E136" i="17"/>
  <c r="F136" i="17"/>
  <c r="F239" i="17"/>
  <c r="C287" i="17"/>
  <c r="C284" i="17"/>
  <c r="C279" i="17"/>
  <c r="E188" i="17"/>
  <c r="F188" i="17"/>
  <c r="C288" i="17"/>
  <c r="E189" i="17"/>
  <c r="F189" i="17"/>
  <c r="C190" i="17"/>
  <c r="E191" i="17"/>
  <c r="F191" i="17"/>
  <c r="C290" i="17"/>
  <c r="C274" i="17"/>
  <c r="C199" i="17"/>
  <c r="C200" i="17"/>
  <c r="C286" i="17"/>
  <c r="C205" i="17"/>
  <c r="C206" i="17"/>
  <c r="C214" i="17"/>
  <c r="C215" i="17"/>
  <c r="E226" i="17"/>
  <c r="F226" i="17"/>
  <c r="E237" i="17"/>
  <c r="F237" i="17"/>
  <c r="E250" i="17"/>
  <c r="F250" i="17"/>
  <c r="C254" i="17"/>
  <c r="C255" i="17"/>
  <c r="C261" i="17"/>
  <c r="C262" i="17"/>
  <c r="C264" i="17"/>
  <c r="C267" i="17"/>
  <c r="C269" i="17"/>
  <c r="E277" i="17"/>
  <c r="F277" i="17"/>
  <c r="D279" i="17"/>
  <c r="E279" i="17"/>
  <c r="E278" i="17"/>
  <c r="F278" i="17"/>
  <c r="D190" i="17"/>
  <c r="E190" i="17"/>
  <c r="E280" i="17"/>
  <c r="F280" i="17"/>
  <c r="D193" i="17"/>
  <c r="D290" i="17"/>
  <c r="E290" i="17"/>
  <c r="D274" i="17"/>
  <c r="E274" i="17"/>
  <c r="D199" i="17"/>
  <c r="E199" i="17"/>
  <c r="D200" i="17"/>
  <c r="E200" i="17"/>
  <c r="D283" i="17"/>
  <c r="D287" i="17"/>
  <c r="D267" i="17"/>
  <c r="D285" i="17"/>
  <c r="E285" i="17"/>
  <c r="F285" i="17"/>
  <c r="D269" i="17"/>
  <c r="E269" i="17"/>
  <c r="D205" i="17"/>
  <c r="E205" i="17"/>
  <c r="D206" i="17"/>
  <c r="E206" i="17"/>
  <c r="D214" i="17"/>
  <c r="D215" i="17"/>
  <c r="D261" i="17"/>
  <c r="D262" i="17"/>
  <c r="D264" i="17"/>
  <c r="F294" i="17"/>
  <c r="F296" i="17"/>
  <c r="F298" i="17"/>
  <c r="F36" i="14"/>
  <c r="F38" i="14"/>
  <c r="F40" i="14"/>
  <c r="I31" i="14"/>
  <c r="I17" i="14"/>
  <c r="D31" i="14"/>
  <c r="F31" i="14"/>
  <c r="H31" i="14"/>
  <c r="C33" i="14"/>
  <c r="C36" i="14"/>
  <c r="C38" i="14"/>
  <c r="C40" i="14"/>
  <c r="E33" i="14"/>
  <c r="E36" i="14"/>
  <c r="E38" i="14"/>
  <c r="E40" i="14"/>
  <c r="G33" i="14"/>
  <c r="H17" i="14"/>
  <c r="C22" i="13"/>
  <c r="C20" i="13"/>
  <c r="C21" i="13"/>
  <c r="E20" i="13"/>
  <c r="E21" i="13"/>
  <c r="D21" i="13"/>
  <c r="D15" i="13"/>
  <c r="C17" i="13"/>
  <c r="C28" i="13"/>
  <c r="C70" i="13"/>
  <c r="C72" i="13"/>
  <c r="C69" i="13"/>
  <c r="E17" i="13"/>
  <c r="E28" i="13"/>
  <c r="E70" i="13"/>
  <c r="E72" i="13"/>
  <c r="E69" i="13"/>
  <c r="D48" i="13"/>
  <c r="D42" i="13"/>
  <c r="F17" i="12"/>
  <c r="C20" i="12"/>
  <c r="F40" i="12"/>
  <c r="F47" i="12"/>
  <c r="D20" i="12"/>
  <c r="E17" i="12"/>
  <c r="E15" i="12"/>
  <c r="F15" i="12"/>
  <c r="E43" i="11"/>
  <c r="E41" i="11"/>
  <c r="F75" i="11"/>
  <c r="F65" i="11"/>
  <c r="F43" i="11"/>
  <c r="F41" i="11"/>
  <c r="E22" i="11"/>
  <c r="F22" i="11"/>
  <c r="E38" i="11"/>
  <c r="F38" i="11"/>
  <c r="E56" i="11"/>
  <c r="F56" i="11"/>
  <c r="E61" i="11"/>
  <c r="F61" i="11"/>
  <c r="E112" i="10"/>
  <c r="E113" i="10"/>
  <c r="C121" i="10"/>
  <c r="F121" i="10"/>
  <c r="C122" i="10"/>
  <c r="F122" i="10"/>
  <c r="F199" i="9"/>
  <c r="E208" i="9"/>
  <c r="E192" i="9"/>
  <c r="E198" i="9"/>
  <c r="F198" i="9"/>
  <c r="E199" i="9"/>
  <c r="C207" i="9"/>
  <c r="C208" i="9"/>
  <c r="D21" i="8"/>
  <c r="C140" i="8"/>
  <c r="C138" i="8"/>
  <c r="C136" i="8"/>
  <c r="C139" i="8"/>
  <c r="C137" i="8"/>
  <c r="C135" i="8"/>
  <c r="E140" i="8"/>
  <c r="E138" i="8"/>
  <c r="E136" i="8"/>
  <c r="E139" i="8"/>
  <c r="E137" i="8"/>
  <c r="E135" i="8"/>
  <c r="C157" i="8"/>
  <c r="C155" i="8"/>
  <c r="C153" i="8"/>
  <c r="C156" i="8"/>
  <c r="C154" i="8"/>
  <c r="C152" i="8"/>
  <c r="E157" i="8"/>
  <c r="E155" i="8"/>
  <c r="E153" i="8"/>
  <c r="E156" i="8"/>
  <c r="E154" i="8"/>
  <c r="E152" i="8"/>
  <c r="C21" i="8"/>
  <c r="E21" i="8"/>
  <c r="D139" i="8"/>
  <c r="D137" i="8"/>
  <c r="D135" i="8"/>
  <c r="D140" i="8"/>
  <c r="D138" i="8"/>
  <c r="D136" i="8"/>
  <c r="D156" i="8"/>
  <c r="D154" i="8"/>
  <c r="D152" i="8"/>
  <c r="D157" i="8"/>
  <c r="D155" i="8"/>
  <c r="D153" i="8"/>
  <c r="D15" i="8"/>
  <c r="C43" i="8"/>
  <c r="E43" i="8"/>
  <c r="D49" i="8"/>
  <c r="C53" i="8"/>
  <c r="E53" i="8"/>
  <c r="D57" i="8"/>
  <c r="D62" i="8"/>
  <c r="D77" i="8"/>
  <c r="D71" i="8"/>
  <c r="C15" i="8"/>
  <c r="E15" i="8"/>
  <c r="D43" i="8"/>
  <c r="C49" i="8"/>
  <c r="E49" i="8"/>
  <c r="C77" i="8"/>
  <c r="C71" i="8"/>
  <c r="E77" i="8"/>
  <c r="E71" i="8"/>
  <c r="F95" i="7"/>
  <c r="F188" i="7"/>
  <c r="E90" i="7"/>
  <c r="F90" i="7"/>
  <c r="E183" i="7"/>
  <c r="F183" i="7"/>
  <c r="F52" i="6"/>
  <c r="F95" i="6"/>
  <c r="F179" i="6"/>
  <c r="E41" i="6"/>
  <c r="F41" i="6"/>
  <c r="E84" i="6"/>
  <c r="F84" i="6"/>
  <c r="F18" i="5"/>
  <c r="C21" i="5"/>
  <c r="D21" i="5"/>
  <c r="E18" i="5"/>
  <c r="E16" i="5"/>
  <c r="F16" i="5"/>
  <c r="F43" i="4"/>
  <c r="E43" i="4"/>
  <c r="E41" i="4"/>
  <c r="F75" i="4"/>
  <c r="F65" i="4"/>
  <c r="F73" i="4"/>
  <c r="F41" i="4"/>
  <c r="E22" i="4"/>
  <c r="F22" i="4"/>
  <c r="E38" i="4"/>
  <c r="F38" i="4"/>
  <c r="E56" i="4"/>
  <c r="F56" i="4"/>
  <c r="E61" i="4"/>
  <c r="F61" i="4"/>
  <c r="D56" i="22"/>
  <c r="D48" i="22"/>
  <c r="D38" i="22"/>
  <c r="D113" i="22"/>
  <c r="C53" i="22"/>
  <c r="C45" i="22"/>
  <c r="C39" i="22"/>
  <c r="C35" i="22"/>
  <c r="C29" i="22"/>
  <c r="C110" i="22"/>
  <c r="E111" i="22"/>
  <c r="E54" i="22"/>
  <c r="E46" i="22"/>
  <c r="E40" i="22"/>
  <c r="E36" i="22"/>
  <c r="E30" i="22"/>
  <c r="D110" i="22"/>
  <c r="D53" i="22"/>
  <c r="D45" i="22"/>
  <c r="D39" i="22"/>
  <c r="D35" i="22"/>
  <c r="D29" i="22"/>
  <c r="E53" i="22"/>
  <c r="E45" i="22"/>
  <c r="E39" i="22"/>
  <c r="E35" i="22"/>
  <c r="E29" i="22"/>
  <c r="E110" i="22"/>
  <c r="C111" i="22"/>
  <c r="C54" i="22"/>
  <c r="C46" i="22"/>
  <c r="C40" i="22"/>
  <c r="C36" i="22"/>
  <c r="C30" i="22"/>
  <c r="F43" i="20"/>
  <c r="E46" i="20"/>
  <c r="F46" i="20"/>
  <c r="F39" i="20"/>
  <c r="F41" i="20"/>
  <c r="C223" i="18"/>
  <c r="C247" i="18"/>
  <c r="E306" i="18"/>
  <c r="D310" i="18"/>
  <c r="E310" i="18"/>
  <c r="D235" i="18"/>
  <c r="E235" i="18"/>
  <c r="E211" i="18"/>
  <c r="E260" i="18"/>
  <c r="D253" i="18"/>
  <c r="E253" i="18"/>
  <c r="E156" i="18"/>
  <c r="C181" i="18"/>
  <c r="C169" i="18"/>
  <c r="D258" i="18"/>
  <c r="D100" i="18"/>
  <c r="E100" i="18"/>
  <c r="D98" i="18"/>
  <c r="D96" i="18"/>
  <c r="D89" i="18"/>
  <c r="D87" i="18"/>
  <c r="E87" i="18"/>
  <c r="D101" i="18"/>
  <c r="D99" i="18"/>
  <c r="D97" i="18"/>
  <c r="D95" i="18"/>
  <c r="D88" i="18"/>
  <c r="D86" i="18"/>
  <c r="D84" i="18"/>
  <c r="E44" i="18"/>
  <c r="D85" i="18"/>
  <c r="D83" i="18"/>
  <c r="E33" i="18"/>
  <c r="C168" i="18"/>
  <c r="D76" i="18"/>
  <c r="E71" i="18"/>
  <c r="C258" i="18"/>
  <c r="C101" i="18"/>
  <c r="C99" i="18"/>
  <c r="C97" i="18"/>
  <c r="C95" i="18"/>
  <c r="C103" i="18"/>
  <c r="C88" i="18"/>
  <c r="C86" i="18"/>
  <c r="C100" i="18"/>
  <c r="C98" i="18"/>
  <c r="C96" i="18"/>
  <c r="C102" i="18"/>
  <c r="C89" i="18"/>
  <c r="C87" i="18"/>
  <c r="C85" i="18"/>
  <c r="C83" i="18"/>
  <c r="C84" i="18"/>
  <c r="C90" i="18"/>
  <c r="E22" i="18"/>
  <c r="D246" i="18"/>
  <c r="E246" i="18"/>
  <c r="E222" i="18"/>
  <c r="D254" i="18"/>
  <c r="E254" i="18"/>
  <c r="E252" i="18"/>
  <c r="E261" i="18"/>
  <c r="D180" i="18"/>
  <c r="E180" i="18"/>
  <c r="D145" i="18"/>
  <c r="E144" i="18"/>
  <c r="D168" i="18"/>
  <c r="E168" i="18"/>
  <c r="E294" i="18"/>
  <c r="D66" i="18"/>
  <c r="E66" i="18"/>
  <c r="E65" i="18"/>
  <c r="D284" i="18"/>
  <c r="E284" i="18"/>
  <c r="C131" i="18"/>
  <c r="E287" i="17"/>
  <c r="D208" i="17"/>
  <c r="E207" i="17"/>
  <c r="D300" i="17"/>
  <c r="E264" i="17"/>
  <c r="D271" i="17"/>
  <c r="D268" i="17"/>
  <c r="D263" i="17"/>
  <c r="E261" i="17"/>
  <c r="D255" i="17"/>
  <c r="E255" i="17"/>
  <c r="E215" i="17"/>
  <c r="D270" i="17"/>
  <c r="E267" i="17"/>
  <c r="F267" i="17"/>
  <c r="D194" i="17"/>
  <c r="D196" i="17"/>
  <c r="E193" i="17"/>
  <c r="F193" i="17"/>
  <c r="D288" i="17"/>
  <c r="E288" i="17"/>
  <c r="F269" i="17"/>
  <c r="C300" i="17"/>
  <c r="F264" i="17"/>
  <c r="C265" i="17"/>
  <c r="F261" i="17"/>
  <c r="C271" i="17"/>
  <c r="C268" i="17"/>
  <c r="C263" i="17"/>
  <c r="F215" i="17"/>
  <c r="F206" i="17"/>
  <c r="F199" i="17"/>
  <c r="F290" i="17"/>
  <c r="F190" i="17"/>
  <c r="F279" i="17"/>
  <c r="C291" i="17"/>
  <c r="C289" i="17"/>
  <c r="F287" i="17"/>
  <c r="C194" i="17"/>
  <c r="D49" i="17"/>
  <c r="D161" i="17"/>
  <c r="D126" i="17"/>
  <c r="D91" i="17"/>
  <c r="E21" i="17"/>
  <c r="F21" i="17"/>
  <c r="D282" i="17"/>
  <c r="E124" i="17"/>
  <c r="F124" i="17"/>
  <c r="C266" i="17"/>
  <c r="F103" i="17"/>
  <c r="D209" i="17"/>
  <c r="D139" i="17"/>
  <c r="D104" i="17"/>
  <c r="E61" i="17"/>
  <c r="D160" i="17"/>
  <c r="E160" i="17"/>
  <c r="F160" i="17"/>
  <c r="D210" i="17"/>
  <c r="D62" i="17"/>
  <c r="D140" i="17"/>
  <c r="D105" i="17"/>
  <c r="E32" i="17"/>
  <c r="F138" i="17"/>
  <c r="F90" i="17"/>
  <c r="C175" i="17"/>
  <c r="C140" i="17"/>
  <c r="C105" i="17"/>
  <c r="F32" i="17"/>
  <c r="C62" i="17"/>
  <c r="D272" i="17"/>
  <c r="E262" i="17"/>
  <c r="D254" i="17"/>
  <c r="D216" i="17"/>
  <c r="E214" i="17"/>
  <c r="E283" i="17"/>
  <c r="F283" i="17"/>
  <c r="D286" i="17"/>
  <c r="E286" i="17"/>
  <c r="F286" i="17"/>
  <c r="D284" i="17"/>
  <c r="E284" i="17"/>
  <c r="C270" i="17"/>
  <c r="C272" i="17"/>
  <c r="F262" i="17"/>
  <c r="F255" i="17"/>
  <c r="F214" i="17"/>
  <c r="C216" i="17"/>
  <c r="F205" i="17"/>
  <c r="F200" i="17"/>
  <c r="F274" i="17"/>
  <c r="F288" i="17"/>
  <c r="F284" i="17"/>
  <c r="D266" i="17"/>
  <c r="E266" i="17"/>
  <c r="E172" i="17"/>
  <c r="F172" i="17"/>
  <c r="D173" i="17"/>
  <c r="E173" i="17"/>
  <c r="F173" i="17"/>
  <c r="E192" i="17"/>
  <c r="F192" i="17"/>
  <c r="F37" i="17"/>
  <c r="C304" i="17"/>
  <c r="C196" i="17"/>
  <c r="C161" i="17"/>
  <c r="C126" i="17"/>
  <c r="C91" i="17"/>
  <c r="C49" i="17"/>
  <c r="C282" i="17"/>
  <c r="D125" i="17"/>
  <c r="F207" i="17"/>
  <c r="C208" i="17"/>
  <c r="C174" i="17"/>
  <c r="C139" i="17"/>
  <c r="C104" i="17"/>
  <c r="F61" i="17"/>
  <c r="C125" i="17"/>
  <c r="G36" i="14"/>
  <c r="G38" i="14"/>
  <c r="G40" i="14"/>
  <c r="I33" i="14"/>
  <c r="I36" i="14"/>
  <c r="I38" i="14"/>
  <c r="I40" i="14"/>
  <c r="H33" i="14"/>
  <c r="H36" i="14"/>
  <c r="H38" i="14"/>
  <c r="H40" i="14"/>
  <c r="E22" i="13"/>
  <c r="D24" i="13"/>
  <c r="D20" i="13"/>
  <c r="D17" i="13"/>
  <c r="D28" i="13"/>
  <c r="D34" i="12"/>
  <c r="E20" i="12"/>
  <c r="F20" i="12"/>
  <c r="C34" i="12"/>
  <c r="E121" i="10"/>
  <c r="E122" i="10"/>
  <c r="F208" i="9"/>
  <c r="E207" i="9"/>
  <c r="F207" i="9"/>
  <c r="E24" i="8"/>
  <c r="E20" i="8"/>
  <c r="E17" i="8"/>
  <c r="E158" i="8"/>
  <c r="C158" i="8"/>
  <c r="E141" i="8"/>
  <c r="C141" i="8"/>
  <c r="C24" i="8"/>
  <c r="C20" i="8"/>
  <c r="C17" i="8"/>
  <c r="D24" i="8"/>
  <c r="D20" i="8"/>
  <c r="D17" i="8"/>
  <c r="D158" i="8"/>
  <c r="D141" i="8"/>
  <c r="D35" i="5"/>
  <c r="E21" i="5"/>
  <c r="F21" i="5"/>
  <c r="C35" i="5"/>
  <c r="C113" i="22"/>
  <c r="C56" i="22"/>
  <c r="C48" i="22"/>
  <c r="C38" i="22"/>
  <c r="D112" i="22"/>
  <c r="D55" i="22"/>
  <c r="D47" i="22"/>
  <c r="D37" i="22"/>
  <c r="E113" i="22"/>
  <c r="E56" i="22"/>
  <c r="E48" i="22"/>
  <c r="E38" i="22"/>
  <c r="E55" i="22"/>
  <c r="E47" i="22"/>
  <c r="E37" i="22"/>
  <c r="E112" i="22"/>
  <c r="C55" i="22"/>
  <c r="C47" i="22"/>
  <c r="C37" i="22"/>
  <c r="C112" i="22"/>
  <c r="C91" i="18"/>
  <c r="C105" i="18"/>
  <c r="D295" i="18"/>
  <c r="E295" i="18"/>
  <c r="E85" i="18"/>
  <c r="D90" i="18"/>
  <c r="E90" i="18"/>
  <c r="E84" i="18"/>
  <c r="E88" i="18"/>
  <c r="E97" i="18"/>
  <c r="E101" i="18"/>
  <c r="E89" i="18"/>
  <c r="E98" i="18"/>
  <c r="E258" i="18"/>
  <c r="E223" i="18"/>
  <c r="D169" i="18"/>
  <c r="E169" i="18"/>
  <c r="D181" i="18"/>
  <c r="E181" i="18"/>
  <c r="E145" i="18"/>
  <c r="C264" i="18"/>
  <c r="C266" i="18"/>
  <c r="C267" i="18"/>
  <c r="E76" i="18"/>
  <c r="D77" i="18"/>
  <c r="D259" i="18"/>
  <c r="D91" i="18"/>
  <c r="E83" i="18"/>
  <c r="E86" i="18"/>
  <c r="E95" i="18"/>
  <c r="E99" i="18"/>
  <c r="D102" i="18"/>
  <c r="E102" i="18"/>
  <c r="E96" i="18"/>
  <c r="D247" i="18"/>
  <c r="E247" i="18"/>
  <c r="D197" i="17"/>
  <c r="E196" i="17"/>
  <c r="F196" i="17"/>
  <c r="C50" i="17"/>
  <c r="C92" i="17"/>
  <c r="C162" i="17"/>
  <c r="C209" i="17"/>
  <c r="E209" i="17"/>
  <c r="C281" i="17"/>
  <c r="C127" i="17"/>
  <c r="E216" i="17"/>
  <c r="F216" i="17"/>
  <c r="C63" i="17"/>
  <c r="C106" i="17"/>
  <c r="C176" i="17"/>
  <c r="E105" i="17"/>
  <c r="F105" i="17"/>
  <c r="D106" i="17"/>
  <c r="E106" i="17"/>
  <c r="D175" i="17"/>
  <c r="D211" i="17"/>
  <c r="E139" i="17"/>
  <c r="F139" i="17"/>
  <c r="F266" i="17"/>
  <c r="E282" i="17"/>
  <c r="F282" i="17"/>
  <c r="D281" i="17"/>
  <c r="E281" i="17"/>
  <c r="E91" i="17"/>
  <c r="F91" i="17"/>
  <c r="D92" i="17"/>
  <c r="E161" i="17"/>
  <c r="F161" i="17"/>
  <c r="D162" i="17"/>
  <c r="E268" i="17"/>
  <c r="F268" i="17"/>
  <c r="E300" i="17"/>
  <c r="F300" i="17"/>
  <c r="E208" i="17"/>
  <c r="F208" i="17"/>
  <c r="D291" i="17"/>
  <c r="E125" i="17"/>
  <c r="F125" i="17"/>
  <c r="E254" i="17"/>
  <c r="F254" i="17"/>
  <c r="E272" i="17"/>
  <c r="F272" i="17"/>
  <c r="C141" i="17"/>
  <c r="C210" i="17"/>
  <c r="E140" i="17"/>
  <c r="F140" i="17"/>
  <c r="D141" i="17"/>
  <c r="D63" i="17"/>
  <c r="E62" i="17"/>
  <c r="F62" i="17"/>
  <c r="E104" i="17"/>
  <c r="F104" i="17"/>
  <c r="D174" i="17"/>
  <c r="E174" i="17"/>
  <c r="F174" i="17"/>
  <c r="E126" i="17"/>
  <c r="F126" i="17"/>
  <c r="D127" i="17"/>
  <c r="D50" i="17"/>
  <c r="E49" i="17"/>
  <c r="F49" i="17"/>
  <c r="C195" i="17"/>
  <c r="C305" i="17"/>
  <c r="C273" i="17"/>
  <c r="E194" i="17"/>
  <c r="F194" i="17"/>
  <c r="D195" i="17"/>
  <c r="E270" i="17"/>
  <c r="F270" i="17"/>
  <c r="E263" i="17"/>
  <c r="F263" i="17"/>
  <c r="E271" i="17"/>
  <c r="F271" i="17"/>
  <c r="D304" i="17"/>
  <c r="D273" i="17"/>
  <c r="E273" i="17"/>
  <c r="D265" i="17"/>
  <c r="E265" i="17"/>
  <c r="F265" i="17"/>
  <c r="D289" i="17"/>
  <c r="E289" i="17"/>
  <c r="F289" i="17"/>
  <c r="D70" i="13"/>
  <c r="D72" i="13"/>
  <c r="D69" i="13"/>
  <c r="D22" i="13"/>
  <c r="D42" i="12"/>
  <c r="E34" i="12"/>
  <c r="F34" i="12"/>
  <c r="C42" i="12"/>
  <c r="D28" i="8"/>
  <c r="D112" i="8"/>
  <c r="D111" i="8"/>
  <c r="C112" i="8"/>
  <c r="C111" i="8"/>
  <c r="C28" i="8"/>
  <c r="E112" i="8"/>
  <c r="E111" i="8"/>
  <c r="E28" i="8"/>
  <c r="D43" i="5"/>
  <c r="E35" i="5"/>
  <c r="F35" i="5"/>
  <c r="C43" i="5"/>
  <c r="D263" i="18"/>
  <c r="E259" i="18"/>
  <c r="D103" i="18"/>
  <c r="E103" i="18"/>
  <c r="E91" i="18"/>
  <c r="D127" i="18"/>
  <c r="E127" i="18"/>
  <c r="D125" i="18"/>
  <c r="E125" i="18"/>
  <c r="D123" i="18"/>
  <c r="E123" i="18"/>
  <c r="D121" i="18"/>
  <c r="D114" i="18"/>
  <c r="E114" i="18"/>
  <c r="D112" i="18"/>
  <c r="E112" i="18"/>
  <c r="D110" i="18"/>
  <c r="D126" i="18"/>
  <c r="E126" i="18"/>
  <c r="D124" i="18"/>
  <c r="E124" i="18"/>
  <c r="D122" i="18"/>
  <c r="D115" i="18"/>
  <c r="E115" i="18"/>
  <c r="D113" i="18"/>
  <c r="E113" i="18"/>
  <c r="D111" i="18"/>
  <c r="E111" i="18"/>
  <c r="D109" i="18"/>
  <c r="E77" i="18"/>
  <c r="C269" i="18"/>
  <c r="C268" i="18"/>
  <c r="F273" i="17"/>
  <c r="E127" i="17"/>
  <c r="F127" i="17"/>
  <c r="D148" i="17"/>
  <c r="C322" i="17"/>
  <c r="C211" i="17"/>
  <c r="E291" i="17"/>
  <c r="F291" i="17"/>
  <c r="D305" i="17"/>
  <c r="D324" i="17"/>
  <c r="E92" i="17"/>
  <c r="D113" i="17"/>
  <c r="E304" i="17"/>
  <c r="F304" i="17"/>
  <c r="E195" i="17"/>
  <c r="F195" i="17"/>
  <c r="C309" i="17"/>
  <c r="D70" i="17"/>
  <c r="E50" i="17"/>
  <c r="F50" i="17"/>
  <c r="E63" i="17"/>
  <c r="F63" i="17"/>
  <c r="E210" i="17"/>
  <c r="F210" i="17"/>
  <c r="E175" i="17"/>
  <c r="F175" i="17"/>
  <c r="D176" i="17"/>
  <c r="E176" i="17"/>
  <c r="F176" i="17"/>
  <c r="F106" i="17"/>
  <c r="C197" i="17"/>
  <c r="C148" i="17"/>
  <c r="C323" i="17"/>
  <c r="C183" i="17"/>
  <c r="C324" i="17"/>
  <c r="C113" i="17"/>
  <c r="F92" i="17"/>
  <c r="D322" i="17"/>
  <c r="E322" i="17"/>
  <c r="E141" i="17"/>
  <c r="F141" i="17"/>
  <c r="E162" i="17"/>
  <c r="F162" i="17"/>
  <c r="E211" i="17"/>
  <c r="F281" i="17"/>
  <c r="F209" i="17"/>
  <c r="C70" i="17"/>
  <c r="D49" i="12"/>
  <c r="E49" i="12"/>
  <c r="E42" i="12"/>
  <c r="F42" i="12"/>
  <c r="C49" i="12"/>
  <c r="D99" i="8"/>
  <c r="D101" i="8"/>
  <c r="D98" i="8"/>
  <c r="D22" i="8"/>
  <c r="E99" i="8"/>
  <c r="E101" i="8"/>
  <c r="E98" i="8"/>
  <c r="E22" i="8"/>
  <c r="C99" i="8"/>
  <c r="C101" i="8"/>
  <c r="C98" i="8"/>
  <c r="C22" i="8"/>
  <c r="D50" i="5"/>
  <c r="E50" i="5"/>
  <c r="E43" i="5"/>
  <c r="F43" i="5"/>
  <c r="C50" i="5"/>
  <c r="D323" i="17"/>
  <c r="E323" i="17"/>
  <c r="D183" i="17"/>
  <c r="E183" i="17"/>
  <c r="F183" i="17"/>
  <c r="C271" i="18"/>
  <c r="D116" i="18"/>
  <c r="E116" i="18"/>
  <c r="E110" i="18"/>
  <c r="D105" i="18"/>
  <c r="E105" i="18"/>
  <c r="E109" i="18"/>
  <c r="D117" i="18"/>
  <c r="E122" i="18"/>
  <c r="D128" i="18"/>
  <c r="E128" i="18"/>
  <c r="E121" i="18"/>
  <c r="E263" i="18"/>
  <c r="D264" i="18"/>
  <c r="C325" i="17"/>
  <c r="E197" i="17"/>
  <c r="F197" i="17"/>
  <c r="F323" i="17"/>
  <c r="E113" i="17"/>
  <c r="F113" i="17"/>
  <c r="D325" i="17"/>
  <c r="E325" i="17"/>
  <c r="E324" i="17"/>
  <c r="F324" i="17"/>
  <c r="F211" i="17"/>
  <c r="E70" i="17"/>
  <c r="F70" i="17"/>
  <c r="C310" i="17"/>
  <c r="D309" i="17"/>
  <c r="E305" i="17"/>
  <c r="F305" i="17"/>
  <c r="F322" i="17"/>
  <c r="E148" i="17"/>
  <c r="F148" i="17"/>
  <c r="F49" i="12"/>
  <c r="F50" i="5"/>
  <c r="D129" i="18"/>
  <c r="E129" i="18"/>
  <c r="E264" i="18"/>
  <c r="D266" i="18"/>
  <c r="E117" i="18"/>
  <c r="D131" i="18"/>
  <c r="E131" i="18"/>
  <c r="C312" i="17"/>
  <c r="E309" i="17"/>
  <c r="F309" i="17"/>
  <c r="D310" i="17"/>
  <c r="F325" i="17"/>
  <c r="E266" i="18"/>
  <c r="D267" i="18"/>
  <c r="D312" i="17"/>
  <c r="E310" i="17"/>
  <c r="F310" i="17"/>
  <c r="C313" i="17"/>
  <c r="D269" i="18"/>
  <c r="E269" i="18"/>
  <c r="E267" i="18"/>
  <c r="D268" i="18"/>
  <c r="E312" i="17"/>
  <c r="F312" i="17"/>
  <c r="D313" i="17"/>
  <c r="C314" i="17"/>
  <c r="C251" i="17"/>
  <c r="C256" i="17"/>
  <c r="C315" i="17"/>
  <c r="D271" i="18"/>
  <c r="E271" i="18"/>
  <c r="E268" i="18"/>
  <c r="C257" i="17"/>
  <c r="C318" i="17"/>
  <c r="D315" i="17"/>
  <c r="E315" i="17"/>
  <c r="F315" i="17"/>
  <c r="D314" i="17"/>
  <c r="E313" i="17"/>
  <c r="F313" i="17"/>
  <c r="D251" i="17"/>
  <c r="E251" i="17"/>
  <c r="F251" i="17"/>
  <c r="D256" i="17"/>
  <c r="D257" i="17"/>
  <c r="E257" i="17"/>
  <c r="F257" i="17"/>
  <c r="E256" i="17"/>
  <c r="F256" i="17"/>
  <c r="D318" i="17"/>
  <c r="E318" i="17"/>
  <c r="E314" i="17"/>
  <c r="F314" i="17"/>
  <c r="F318" i="17"/>
</calcChain>
</file>

<file path=xl/sharedStrings.xml><?xml version="1.0" encoding="utf-8"?>
<sst xmlns="http://schemas.openxmlformats.org/spreadsheetml/2006/main" count="2335" uniqueCount="1011">
  <si>
    <t>GREENWICH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</si>
  <si>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</si>
  <si>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</si>
  <si>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</si>
  <si>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</si>
  <si>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</si>
  <si>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</si>
  <si>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</si>
  <si>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</si>
  <si>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</si>
  <si>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</si>
  <si>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</si>
  <si>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</si>
  <si>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</si>
  <si>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</si>
  <si>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</si>
  <si>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</si>
  <si>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</si>
  <si>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</si>
  <si>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</si>
  <si>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</si>
  <si>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</si>
  <si>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</si>
  <si>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</si>
  <si>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</si>
  <si>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</si>
  <si>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</si>
  <si>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</si>
  <si>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</si>
  <si>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</si>
  <si>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</si>
  <si>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</si>
  <si>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</si>
  <si>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</si>
  <si>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</si>
  <si>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</si>
  <si>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</si>
  <si>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</si>
  <si>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</si>
  <si>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</si>
  <si>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</si>
  <si>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</si>
  <si>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</si>
  <si>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</si>
  <si>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</si>
  <si>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</si>
  <si>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</si>
  <si>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</si>
  <si>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</si>
  <si>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</si>
  <si>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</si>
  <si>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</si>
  <si>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</si>
  <si>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</si>
  <si>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</si>
  <si>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</si>
  <si>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</si>
  <si>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</si>
  <si>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</si>
  <si>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</si>
  <si>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</si>
  <si>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</si>
  <si>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</si>
  <si>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</si>
  <si>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</si>
  <si>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</si>
  <si>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</si>
  <si>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</si>
  <si>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</si>
  <si>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</si>
  <si>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</si>
  <si>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</si>
  <si>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</si>
  <si>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</si>
  <si>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</si>
  <si>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</si>
  <si>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</si>
  <si>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</si>
  <si>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</si>
  <si>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</si>
  <si>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</si>
  <si>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</si>
  <si>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</si>
  <si>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</si>
  <si>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</si>
  <si>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</si>
  <si>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</si>
  <si>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</si>
  <si>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</si>
  <si>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</si>
  <si>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</si>
  <si>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</si>
  <si>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</si>
  <si>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</si>
  <si>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</si>
  <si>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</si>
  <si>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</si>
  <si>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</si>
  <si>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</si>
  <si>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</si>
  <si>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</si>
  <si>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</si>
  <si>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</si>
  <si>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</si>
  <si>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</si>
  <si>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</si>
  <si>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</si>
  <si>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</si>
  <si>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</si>
  <si>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</si>
  <si>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</si>
  <si>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</si>
  <si>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</si>
  <si>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</si>
  <si>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</si>
  <si>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</si>
  <si>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</si>
  <si>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</si>
  <si>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</si>
  <si>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</si>
  <si>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</si>
  <si>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</si>
  <si>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</si>
  <si>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</si>
  <si>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</si>
  <si>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</si>
  <si>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</si>
  <si>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</si>
  <si>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</si>
  <si>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</si>
  <si>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</si>
  <si>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</si>
  <si>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</si>
  <si>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</si>
  <si>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</si>
  <si>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</si>
  <si>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</si>
  <si>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</si>
  <si>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</si>
  <si>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</si>
  <si>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</si>
  <si>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</si>
  <si>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</si>
  <si>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</si>
  <si>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</si>
  <si>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</si>
  <si>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</si>
  <si>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</si>
  <si>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</si>
  <si>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</si>
  <si>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</si>
  <si>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</si>
  <si>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</si>
  <si>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</si>
  <si>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</si>
  <si>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</si>
  <si>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</si>
  <si>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</si>
  <si>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</si>
  <si>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</si>
  <si>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</si>
  <si>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</si>
  <si>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</si>
  <si>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</si>
  <si>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</si>
  <si>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</si>
  <si>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</si>
  <si>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</si>
  <si>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</si>
  <si>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</si>
  <si>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</si>
  <si>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</si>
  <si>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</si>
  <si>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</si>
  <si>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</si>
  <si>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</si>
  <si>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</si>
  <si>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</si>
  <si>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</si>
  <si>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</si>
  <si>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</si>
  <si>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</si>
  <si>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</si>
  <si>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</si>
  <si>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</si>
  <si>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</si>
  <si>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</si>
  <si>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</si>
  <si>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</si>
  <si>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</si>
  <si>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</si>
  <si>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</si>
  <si>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</si>
  <si>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</si>
  <si>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</si>
  <si>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</si>
  <si>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</si>
  <si>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</si>
  <si>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</si>
  <si>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</si>
  <si>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</si>
  <si>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</si>
  <si>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</si>
  <si>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</si>
  <si>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</si>
  <si>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</si>
  <si>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</si>
  <si>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</si>
  <si>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</si>
  <si>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</si>
  <si>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</si>
  <si>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</si>
  <si>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</si>
  <si>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</si>
  <si>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</si>
  <si>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</si>
  <si>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</si>
  <si>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</si>
  <si>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</si>
  <si>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</si>
  <si>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</si>
  <si>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</si>
  <si>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</si>
  <si>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</si>
  <si>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</si>
  <si>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</si>
  <si>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</si>
  <si>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</si>
  <si>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</si>
  <si>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</si>
  <si>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</si>
  <si>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</si>
  <si>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</si>
  <si>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</si>
  <si>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</si>
  <si>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</si>
  <si>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</si>
  <si>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</si>
  <si>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</si>
  <si>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</si>
  <si>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</si>
  <si>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</si>
  <si>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</si>
  <si>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</si>
  <si>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</si>
  <si>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</si>
  <si>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</si>
  <si>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</si>
  <si>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</si>
  <si>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</si>
  <si>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</si>
  <si>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</si>
  <si>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</si>
  <si>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</si>
  <si>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</si>
  <si>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</si>
  <si>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</si>
  <si>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</si>
  <si>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</si>
  <si>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</si>
  <si>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</si>
  <si>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</si>
  <si>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</si>
  <si>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</si>
  <si>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</si>
  <si>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</si>
  <si>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</si>
  <si>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</si>
  <si>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</si>
  <si>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</si>
  <si>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</si>
  <si>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</si>
  <si>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</si>
  <si>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</si>
  <si>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</si>
  <si>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</si>
  <si>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</si>
  <si>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</si>
  <si>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</si>
  <si>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</si>
  <si>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</si>
  <si>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</si>
  <si>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</si>
  <si>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</si>
  <si>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</si>
  <si>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</si>
  <si>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</si>
  <si>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</si>
  <si>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</si>
  <si>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</si>
  <si>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</si>
  <si>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</si>
  <si>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</si>
  <si>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</si>
  <si>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</si>
  <si>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</si>
  <si>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</si>
  <si>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</si>
  <si>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</si>
  <si>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</si>
  <si>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</si>
  <si>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</si>
  <si>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</si>
  <si>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</si>
  <si>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</si>
  <si>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</si>
  <si>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</si>
  <si>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</si>
  <si>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</si>
  <si>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</si>
  <si>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</si>
  <si>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</si>
  <si>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</si>
  <si>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</si>
  <si>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</si>
  <si>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</si>
  <si>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</si>
  <si>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</si>
  <si>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</si>
  <si>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</si>
  <si>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</si>
  <si>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</si>
  <si>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</si>
  <si>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</si>
  <si>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</si>
  <si>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</si>
  <si>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</si>
  <si>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</si>
  <si>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</si>
  <si>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</si>
  <si>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</si>
  <si>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</si>
  <si>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</si>
  <si>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</si>
  <si>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</si>
  <si>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</si>
  <si>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</si>
  <si>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</si>
  <si>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</si>
  <si>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</si>
  <si>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</si>
  <si>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</si>
  <si>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</si>
  <si>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</si>
  <si>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</si>
  <si>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</si>
  <si>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</si>
  <si>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</si>
  <si>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</si>
  <si>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</si>
  <si>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</si>
  <si>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</si>
  <si>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</si>
  <si>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</si>
  <si>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</si>
  <si>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</si>
  <si>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</si>
  <si>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</si>
  <si>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</si>
  <si>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</si>
  <si>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</si>
  <si>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</si>
  <si>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</si>
  <si>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</si>
  <si>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</si>
  <si>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</si>
  <si>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</si>
  <si>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</si>
  <si>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</si>
  <si>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</si>
  <si>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</si>
  <si>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</si>
  <si>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</si>
  <si>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</si>
  <si>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</si>
  <si>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</si>
  <si>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</si>
  <si>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</si>
  <si>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</si>
  <si>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</si>
  <si>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</si>
  <si>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</si>
  <si>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</si>
  <si>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</si>
  <si>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</si>
  <si>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</si>
  <si>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</si>
  <si>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</si>
  <si>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</si>
  <si>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</si>
  <si>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</si>
  <si>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</si>
  <si>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</si>
  <si>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</si>
  <si>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</si>
  <si>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</si>
  <si>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</si>
  <si>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</si>
  <si>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</si>
  <si>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</si>
  <si>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</si>
  <si>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</si>
  <si>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</si>
  <si>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</si>
  <si>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</si>
  <si>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</si>
  <si>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</si>
  <si>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</si>
  <si>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</si>
  <si>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</si>
  <si>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</si>
  <si>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</si>
  <si>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</si>
  <si>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</si>
  <si>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</si>
  <si>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</si>
  <si>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</si>
  <si>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</si>
  <si>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</si>
  <si>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</si>
  <si>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</si>
  <si>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</si>
  <si>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</si>
  <si>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</si>
  <si>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</si>
  <si>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</si>
  <si>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</si>
  <si>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</si>
  <si>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</si>
  <si>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</si>
  <si>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</si>
  <si>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</si>
  <si>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</si>
  <si>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</si>
  <si>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</si>
  <si>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</si>
  <si>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</si>
  <si>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</si>
  <si>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</si>
  <si>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</si>
  <si>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</si>
  <si>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</si>
  <si>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</si>
  <si>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</si>
  <si>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</si>
  <si>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</si>
  <si>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</si>
  <si>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</si>
  <si>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</si>
  <si>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</si>
  <si>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</si>
  <si>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</si>
  <si>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</si>
  <si>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</si>
  <si>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</si>
  <si>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</si>
  <si>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</si>
  <si>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</si>
  <si>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</si>
  <si>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</si>
  <si>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</si>
  <si>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</si>
  <si>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</si>
  <si>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</si>
  <si>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</si>
  <si>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</si>
  <si>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</si>
  <si>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</si>
  <si>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</si>
  <si>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</si>
  <si>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</si>
  <si>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</si>
  <si>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</si>
  <si>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</si>
  <si>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</si>
  <si>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</si>
  <si>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</si>
  <si>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</si>
  <si>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</si>
  <si>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</si>
  <si>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</si>
  <si>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</si>
  <si>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</si>
  <si>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</si>
  <si>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</si>
  <si>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</si>
  <si>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</si>
  <si>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</si>
  <si>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</si>
  <si>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</si>
  <si>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</si>
  <si>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</si>
  <si>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</si>
  <si>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</si>
  <si>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</si>
  <si>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</si>
  <si>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</si>
  <si>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</si>
  <si>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</si>
  <si>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</si>
  <si>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GREENWICH HEALTH CARE SERVICES,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</si>
  <si>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</si>
  <si>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</si>
  <si>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</si>
  <si>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</si>
  <si>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</si>
  <si>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</si>
  <si>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</si>
  <si>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</si>
  <si>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</si>
  <si>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</si>
  <si>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</si>
  <si>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</si>
  <si>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</si>
  <si>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</si>
  <si>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</si>
  <si>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</si>
  <si>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</si>
  <si>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</si>
  <si>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</si>
  <si>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</si>
  <si>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</si>
  <si>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</si>
  <si>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</si>
  <si>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</si>
  <si>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</si>
  <si>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</si>
  <si>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</si>
  <si>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</si>
  <si>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</si>
  <si>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</si>
  <si>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</si>
  <si>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</si>
  <si>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</si>
  <si>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</si>
  <si>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</si>
  <si>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</si>
  <si>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</si>
  <si>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</si>
  <si>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</si>
  <si>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</si>
  <si>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</si>
  <si>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</si>
  <si>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</si>
  <si>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</si>
  <si>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</si>
  <si>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</si>
  <si>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</si>
  <si>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</si>
  <si>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</si>
  <si>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</si>
  <si>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</si>
  <si>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</si>
  <si>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</si>
  <si>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</si>
  <si>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</si>
  <si>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</si>
  <si>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</si>
  <si>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</si>
  <si>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</si>
  <si>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</si>
  <si>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</si>
  <si>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</si>
  <si>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</si>
  <si>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</si>
  <si>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</si>
  <si>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</si>
  <si>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</si>
  <si>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</si>
  <si>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</si>
  <si>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</si>
  <si>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</si>
  <si>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</si>
  <si>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</si>
  <si>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</si>
  <si>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</si>
  <si>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</si>
  <si>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</si>
  <si>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</si>
  <si>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</si>
  <si>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</si>
  <si>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</si>
  <si>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</si>
  <si>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</si>
  <si>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</si>
  <si>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</si>
  <si>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</si>
  <si>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</si>
  <si>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</si>
  <si>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</si>
  <si>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</si>
  <si>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</si>
  <si>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</si>
  <si>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</si>
  <si>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</si>
  <si>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</si>
  <si>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</si>
  <si>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</si>
  <si>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</si>
  <si>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</si>
  <si>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</si>
  <si>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</si>
  <si>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</si>
  <si>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</si>
  <si>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</si>
  <si>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</si>
  <si>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</si>
  <si>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</si>
  <si>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</si>
  <si>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</si>
  <si>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</si>
  <si>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</si>
  <si>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</si>
  <si>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</si>
  <si>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</si>
  <si>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</si>
  <si>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</si>
  <si>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</si>
  <si>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</si>
  <si>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</si>
  <si>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</si>
  <si>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at Greenwich Hospital Campus</t>
  </si>
  <si>
    <t>Helmsley Surgical Center</t>
  </si>
  <si>
    <t>Total Outpatient Surgical Procedures(A)</t>
  </si>
  <si>
    <t>G Hosp @500 W Putnam St.</t>
  </si>
  <si>
    <t>Total Outpatient Endoscopy Procedures(B)</t>
  </si>
  <si>
    <t>Outpatient Hospital Emergency Room Visits</t>
  </si>
  <si>
    <t>At Greenwich Hospital Campus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</si>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</sst>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25344000</v>
      </c>
      <c r="D13" s="22">
        <v>43811000</v>
      </c>
      <c r="E13" s="22">
        <f t="shared" ref="E13:E22" si="0">D13-C13</f>
        <v>18467000</v>
      </c>
      <c r="F13" s="23">
        <f t="shared" ref="F13:F22" si="1">IF(C13=0,0,E13/C13)</f>
        <v>0.7286537247474747</v>
      </c>
    </row>
    <row r="14" spans="1:8" ht="24" customHeight="1" x14ac:dyDescent="0.2">
      <c r="A14" s="20">
        <v>2</v>
      </c>
      <c r="B14" s="21" t="s">
        <v>17</v>
      </c>
      <c r="C14" s="22">
        <v>36063000</v>
      </c>
      <c r="D14" s="22">
        <v>31934000</v>
      </c>
      <c r="E14" s="22">
        <f t="shared" si="0"/>
        <v>-4129000</v>
      </c>
      <c r="F14" s="23">
        <f t="shared" si="1"/>
        <v>-0.11449407980478607</v>
      </c>
    </row>
    <row r="15" spans="1:8" ht="24" customHeight="1" x14ac:dyDescent="0.2">
      <c r="A15" s="20">
        <v>3</v>
      </c>
      <c r="B15" s="21" t="s">
        <v>18</v>
      </c>
      <c r="C15" s="22">
        <v>34799000</v>
      </c>
      <c r="D15" s="22">
        <v>37984000</v>
      </c>
      <c r="E15" s="22">
        <f t="shared" si="0"/>
        <v>3185000</v>
      </c>
      <c r="F15" s="23">
        <f t="shared" si="1"/>
        <v>9.1525618552257243E-2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1646074</v>
      </c>
      <c r="D19" s="22">
        <v>2041000</v>
      </c>
      <c r="E19" s="22">
        <f t="shared" si="0"/>
        <v>394926</v>
      </c>
      <c r="F19" s="23">
        <f t="shared" si="1"/>
        <v>0.23991995499594793</v>
      </c>
    </row>
    <row r="20" spans="1:11" ht="24" customHeight="1" x14ac:dyDescent="0.2">
      <c r="A20" s="20">
        <v>8</v>
      </c>
      <c r="B20" s="21" t="s">
        <v>23</v>
      </c>
      <c r="C20" s="22">
        <v>8132926</v>
      </c>
      <c r="D20" s="22">
        <v>7227000</v>
      </c>
      <c r="E20" s="22">
        <f t="shared" si="0"/>
        <v>-905926</v>
      </c>
      <c r="F20" s="23">
        <f t="shared" si="1"/>
        <v>-0.11138992288876107</v>
      </c>
    </row>
    <row r="21" spans="1:11" ht="24" customHeight="1" x14ac:dyDescent="0.2">
      <c r="A21" s="20">
        <v>9</v>
      </c>
      <c r="B21" s="21" t="s">
        <v>24</v>
      </c>
      <c r="C21" s="22">
        <v>28514000</v>
      </c>
      <c r="D21" s="22">
        <v>36343000</v>
      </c>
      <c r="E21" s="22">
        <f t="shared" si="0"/>
        <v>7829000</v>
      </c>
      <c r="F21" s="23">
        <f t="shared" si="1"/>
        <v>0.27456687942764957</v>
      </c>
    </row>
    <row r="22" spans="1:11" ht="24" customHeight="1" x14ac:dyDescent="0.25">
      <c r="A22" s="24"/>
      <c r="B22" s="25" t="s">
        <v>25</v>
      </c>
      <c r="C22" s="26">
        <f>SUM(C13:C21)</f>
        <v>134499000</v>
      </c>
      <c r="D22" s="26">
        <f>SUM(D13:D21)</f>
        <v>159340000</v>
      </c>
      <c r="E22" s="26">
        <f t="shared" si="0"/>
        <v>24841000</v>
      </c>
      <c r="F22" s="27">
        <f t="shared" si="1"/>
        <v>0.1846928229949665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796000</v>
      </c>
      <c r="D25" s="22">
        <v>794000</v>
      </c>
      <c r="E25" s="22">
        <f>D25-C25</f>
        <v>-2000</v>
      </c>
      <c r="F25" s="23">
        <f>IF(C25=0,0,E25/C25)</f>
        <v>-2.5125628140703518E-3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32677000</v>
      </c>
      <c r="D26" s="22">
        <v>38008600</v>
      </c>
      <c r="E26" s="22">
        <f>D26-C26</f>
        <v>5331600</v>
      </c>
      <c r="F26" s="23">
        <f>IF(C26=0,0,E26/C26)</f>
        <v>0.16316063286103374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2000</v>
      </c>
      <c r="D27" s="22">
        <v>1400</v>
      </c>
      <c r="E27" s="22">
        <f>D27-C27</f>
        <v>-600</v>
      </c>
      <c r="F27" s="23">
        <f>IF(C27=0,0,E27/C27)</f>
        <v>-0.3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33475000</v>
      </c>
      <c r="D29" s="26">
        <f>SUM(D25:D28)</f>
        <v>38804000</v>
      </c>
      <c r="E29" s="26">
        <f>D29-C29</f>
        <v>5329000</v>
      </c>
      <c r="F29" s="27">
        <f>IF(C29=0,0,E29/C29)</f>
        <v>0.15919342793129201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56389000</v>
      </c>
      <c r="D31" s="22">
        <v>60140000</v>
      </c>
      <c r="E31" s="22">
        <f>D31-C31</f>
        <v>3751000</v>
      </c>
      <c r="F31" s="23">
        <f>IF(C31=0,0,E31/C31)</f>
        <v>6.6520065970313361E-2</v>
      </c>
    </row>
    <row r="32" spans="1:11" ht="24" customHeight="1" x14ac:dyDescent="0.2">
      <c r="A32" s="20">
        <v>6</v>
      </c>
      <c r="B32" s="21" t="s">
        <v>34</v>
      </c>
      <c r="C32" s="22">
        <v>45989000</v>
      </c>
      <c r="D32" s="22">
        <v>51525000</v>
      </c>
      <c r="E32" s="22">
        <f>D32-C32</f>
        <v>5536000</v>
      </c>
      <c r="F32" s="23">
        <f>IF(C32=0,0,E32/C32)</f>
        <v>0.12037661179847355</v>
      </c>
    </row>
    <row r="33" spans="1:8" ht="24" customHeight="1" x14ac:dyDescent="0.2">
      <c r="A33" s="20">
        <v>7</v>
      </c>
      <c r="B33" s="21" t="s">
        <v>35</v>
      </c>
      <c r="C33" s="22">
        <v>30236000</v>
      </c>
      <c r="D33" s="22">
        <v>33653000</v>
      </c>
      <c r="E33" s="22">
        <f>D33-C33</f>
        <v>3417000</v>
      </c>
      <c r="F33" s="23">
        <f>IF(C33=0,0,E33/C33)</f>
        <v>0.11301098028839794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422595000</v>
      </c>
      <c r="D36" s="22">
        <v>435733000</v>
      </c>
      <c r="E36" s="22">
        <f>D36-C36</f>
        <v>13138000</v>
      </c>
      <c r="F36" s="23">
        <f>IF(C36=0,0,E36/C36)</f>
        <v>3.1088867591902412E-2</v>
      </c>
    </row>
    <row r="37" spans="1:8" ht="24" customHeight="1" x14ac:dyDescent="0.2">
      <c r="A37" s="20">
        <v>2</v>
      </c>
      <c r="B37" s="21" t="s">
        <v>39</v>
      </c>
      <c r="C37" s="22">
        <v>194596000</v>
      </c>
      <c r="D37" s="22">
        <v>212977000</v>
      </c>
      <c r="E37" s="22">
        <f>D37-C37</f>
        <v>18381000</v>
      </c>
      <c r="F37" s="23">
        <f>IF(C37=0,0,E37/C37)</f>
        <v>9.4457234475528784E-2</v>
      </c>
    </row>
    <row r="38" spans="1:8" ht="24" customHeight="1" x14ac:dyDescent="0.25">
      <c r="A38" s="24"/>
      <c r="B38" s="25" t="s">
        <v>40</v>
      </c>
      <c r="C38" s="26">
        <f>C36-C37</f>
        <v>227999000</v>
      </c>
      <c r="D38" s="26">
        <f>D36-D37</f>
        <v>222756000</v>
      </c>
      <c r="E38" s="26">
        <f>D38-C38</f>
        <v>-5243000</v>
      </c>
      <c r="F38" s="27">
        <f>IF(C38=0,0,E38/C38)</f>
        <v>-2.2995714893486376E-2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138000</v>
      </c>
      <c r="D40" s="22">
        <v>461000</v>
      </c>
      <c r="E40" s="22">
        <f>D40-C40</f>
        <v>323000</v>
      </c>
      <c r="F40" s="23">
        <f>IF(C40=0,0,E40/C40)</f>
        <v>2.3405797101449277</v>
      </c>
    </row>
    <row r="41" spans="1:8" ht="24" customHeight="1" x14ac:dyDescent="0.25">
      <c r="A41" s="24"/>
      <c r="B41" s="25" t="s">
        <v>42</v>
      </c>
      <c r="C41" s="26">
        <f>+C38+C40</f>
        <v>228137000</v>
      </c>
      <c r="D41" s="26">
        <f>+D38+D40</f>
        <v>223217000</v>
      </c>
      <c r="E41" s="26">
        <f>D41-C41</f>
        <v>-4920000</v>
      </c>
      <c r="F41" s="27">
        <f>IF(C41=0,0,E41/C41)</f>
        <v>-2.1565988857572424E-2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528725000</v>
      </c>
      <c r="D43" s="26">
        <f>D22+D29+D31+D32+D33+D41</f>
        <v>566679000</v>
      </c>
      <c r="E43" s="26">
        <f>D43-C43</f>
        <v>37954000</v>
      </c>
      <c r="F43" s="27">
        <f>IF(C43=0,0,E43/C43)</f>
        <v>7.1784008700174956E-2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16539000</v>
      </c>
      <c r="D49" s="22">
        <v>17461080</v>
      </c>
      <c r="E49" s="22">
        <f t="shared" ref="E49:E56" si="2">D49-C49</f>
        <v>922080</v>
      </c>
      <c r="F49" s="23">
        <f t="shared" ref="F49:F56" si="3">IF(C49=0,0,E49/C49)</f>
        <v>5.5751859241792129E-2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11995000</v>
      </c>
      <c r="D50" s="22">
        <v>12547920</v>
      </c>
      <c r="E50" s="22">
        <f t="shared" si="2"/>
        <v>552920</v>
      </c>
      <c r="F50" s="23">
        <f t="shared" si="3"/>
        <v>4.6095873280533557E-2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1208000</v>
      </c>
      <c r="D51" s="22">
        <v>930766</v>
      </c>
      <c r="E51" s="22">
        <f t="shared" si="2"/>
        <v>-277234</v>
      </c>
      <c r="F51" s="23">
        <f t="shared" si="3"/>
        <v>-0.22949834437086092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2505000</v>
      </c>
      <c r="D53" s="22">
        <v>2605000</v>
      </c>
      <c r="E53" s="22">
        <f t="shared" si="2"/>
        <v>100000</v>
      </c>
      <c r="F53" s="23">
        <f t="shared" si="3"/>
        <v>3.9920159680638723E-2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17577000</v>
      </c>
      <c r="D55" s="22">
        <v>21986234</v>
      </c>
      <c r="E55" s="22">
        <f t="shared" si="2"/>
        <v>4409234</v>
      </c>
      <c r="F55" s="23">
        <f t="shared" si="3"/>
        <v>0.25085247766968199</v>
      </c>
    </row>
    <row r="56" spans="1:6" ht="24" customHeight="1" x14ac:dyDescent="0.25">
      <c r="A56" s="24"/>
      <c r="B56" s="25" t="s">
        <v>54</v>
      </c>
      <c r="C56" s="26">
        <f>SUM(C49:C55)</f>
        <v>49824000</v>
      </c>
      <c r="D56" s="26">
        <f>SUM(D49:D55)</f>
        <v>55531000</v>
      </c>
      <c r="E56" s="26">
        <f t="shared" si="2"/>
        <v>5707000</v>
      </c>
      <c r="F56" s="27">
        <f t="shared" si="3"/>
        <v>0.11454319203596661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37710000</v>
      </c>
      <c r="D59" s="22">
        <v>35105000</v>
      </c>
      <c r="E59" s="22">
        <f>D59-C59</f>
        <v>-2605000</v>
      </c>
      <c r="F59" s="23">
        <f>IF(C59=0,0,E59/C59)</f>
        <v>-6.9079819676478388E-2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37710000</v>
      </c>
      <c r="D61" s="26">
        <f>SUM(D59:D60)</f>
        <v>35105000</v>
      </c>
      <c r="E61" s="26">
        <f>D61-C61</f>
        <v>-2605000</v>
      </c>
      <c r="F61" s="27">
        <f>IF(C61=0,0,E61/C61)</f>
        <v>-6.9079819676478388E-2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23880000</v>
      </c>
      <c r="D63" s="22">
        <v>31684000</v>
      </c>
      <c r="E63" s="22">
        <f>D63-C63</f>
        <v>7804000</v>
      </c>
      <c r="F63" s="23">
        <f>IF(C63=0,0,E63/C63)</f>
        <v>0.32680067001675039</v>
      </c>
    </row>
    <row r="64" spans="1:6" ht="24" customHeight="1" x14ac:dyDescent="0.2">
      <c r="A64" s="20">
        <v>4</v>
      </c>
      <c r="B64" s="21" t="s">
        <v>60</v>
      </c>
      <c r="C64" s="22">
        <v>39687000</v>
      </c>
      <c r="D64" s="22">
        <v>42997000</v>
      </c>
      <c r="E64" s="22">
        <f>D64-C64</f>
        <v>3310000</v>
      </c>
      <c r="F64" s="23">
        <f>IF(C64=0,0,E64/C64)</f>
        <v>8.3402625544888753E-2</v>
      </c>
    </row>
    <row r="65" spans="1:6" ht="24" customHeight="1" x14ac:dyDescent="0.25">
      <c r="A65" s="24"/>
      <c r="B65" s="25" t="s">
        <v>61</v>
      </c>
      <c r="C65" s="26">
        <f>SUM(C61:C64)</f>
        <v>101277000</v>
      </c>
      <c r="D65" s="26">
        <f>SUM(D61:D64)</f>
        <v>109786000</v>
      </c>
      <c r="E65" s="26">
        <f>D65-C65</f>
        <v>8509000</v>
      </c>
      <c r="F65" s="27">
        <f>IF(C65=0,0,E65/C65)</f>
        <v>8.4017101612409537E-2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318845000</v>
      </c>
      <c r="D70" s="22">
        <v>334040000</v>
      </c>
      <c r="E70" s="22">
        <f>D70-C70</f>
        <v>15195000</v>
      </c>
      <c r="F70" s="23">
        <f>IF(C70=0,0,E70/C70)</f>
        <v>4.7656384763756686E-2</v>
      </c>
    </row>
    <row r="71" spans="1:6" ht="24" customHeight="1" x14ac:dyDescent="0.2">
      <c r="A71" s="20">
        <v>2</v>
      </c>
      <c r="B71" s="21" t="s">
        <v>65</v>
      </c>
      <c r="C71" s="22">
        <v>36543000</v>
      </c>
      <c r="D71" s="22">
        <v>44115000</v>
      </c>
      <c r="E71" s="22">
        <f>D71-C71</f>
        <v>7572000</v>
      </c>
      <c r="F71" s="23">
        <f>IF(C71=0,0,E71/C71)</f>
        <v>0.20720794680239718</v>
      </c>
    </row>
    <row r="72" spans="1:6" ht="24" customHeight="1" x14ac:dyDescent="0.2">
      <c r="A72" s="20">
        <v>3</v>
      </c>
      <c r="B72" s="21" t="s">
        <v>66</v>
      </c>
      <c r="C72" s="22">
        <v>22236000</v>
      </c>
      <c r="D72" s="22">
        <v>23207000</v>
      </c>
      <c r="E72" s="22">
        <f>D72-C72</f>
        <v>971000</v>
      </c>
      <c r="F72" s="23">
        <f>IF(C72=0,0,E72/C72)</f>
        <v>4.3667925885950712E-2</v>
      </c>
    </row>
    <row r="73" spans="1:6" ht="24" customHeight="1" x14ac:dyDescent="0.25">
      <c r="A73" s="20"/>
      <c r="B73" s="25" t="s">
        <v>67</v>
      </c>
      <c r="C73" s="26">
        <f>SUM(C70:C72)</f>
        <v>377624000</v>
      </c>
      <c r="D73" s="26">
        <f>SUM(D70:D72)</f>
        <v>401362000</v>
      </c>
      <c r="E73" s="26">
        <f>D73-C73</f>
        <v>23738000</v>
      </c>
      <c r="F73" s="27">
        <f>IF(C73=0,0,E73/C73)</f>
        <v>6.2861470669237127E-2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528725000</v>
      </c>
      <c r="D75" s="26">
        <f>D56+D65+D67+D73</f>
        <v>566679000</v>
      </c>
      <c r="E75" s="26">
        <f>D75-C75</f>
        <v>37954000</v>
      </c>
      <c r="F75" s="27">
        <f>IF(C75=0,0,E75/C75)</f>
        <v>7.1784008700174956E-2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327382000</v>
      </c>
      <c r="D11" s="76">
        <v>328796000</v>
      </c>
      <c r="E11" s="76">
        <v>349008000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13249000</v>
      </c>
      <c r="D12" s="185">
        <v>13960000</v>
      </c>
      <c r="E12" s="185">
        <v>12533000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340631000</v>
      </c>
      <c r="D13" s="76">
        <f>+D11+D12</f>
        <v>342756000</v>
      </c>
      <c r="E13" s="76">
        <f>+E11+E12</f>
        <v>361541000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327936000</v>
      </c>
      <c r="D14" s="185">
        <v>327050000</v>
      </c>
      <c r="E14" s="185">
        <v>336407000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12695000</v>
      </c>
      <c r="D15" s="76">
        <f>+D13-D14</f>
        <v>15706000</v>
      </c>
      <c r="E15" s="76">
        <f>+E13-E14</f>
        <v>25134000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-2618000</v>
      </c>
      <c r="D16" s="185">
        <v>3270000</v>
      </c>
      <c r="E16" s="185">
        <v>534000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10077000</v>
      </c>
      <c r="D17" s="76">
        <f>D15+D16</f>
        <v>18976000</v>
      </c>
      <c r="E17" s="76">
        <f>E15+E16</f>
        <v>25668000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3.7557727069668916E-2</v>
      </c>
      <c r="D20" s="189">
        <f>IF(+D27=0,0,+D24/+D27)</f>
        <v>4.5389652800656599E-2</v>
      </c>
      <c r="E20" s="189">
        <f>IF(+E27=0,0,+E24/+E27)</f>
        <v>6.9416557343091906E-2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-7.7452642353992305E-3</v>
      </c>
      <c r="D21" s="189">
        <f>IF(+D27=0,0,+D26/+D27)</f>
        <v>9.4501569246241614E-3</v>
      </c>
      <c r="E21" s="189">
        <f>IF(+E27=0,0,+E26/+E27)</f>
        <v>1.4748325623144376E-3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2.9812462834269689E-2</v>
      </c>
      <c r="D22" s="189">
        <f>IF(+D27=0,0,+D28/+D27)</f>
        <v>5.4839809725280762E-2</v>
      </c>
      <c r="E22" s="189">
        <f>IF(+E27=0,0,+E28/+E27)</f>
        <v>7.0891389905406332E-2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12695000</v>
      </c>
      <c r="D24" s="76">
        <f>+D15</f>
        <v>15706000</v>
      </c>
      <c r="E24" s="76">
        <f>+E15</f>
        <v>25134000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340631000</v>
      </c>
      <c r="D25" s="76">
        <f>+D13</f>
        <v>342756000</v>
      </c>
      <c r="E25" s="76">
        <f>+E13</f>
        <v>361541000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-2618000</v>
      </c>
      <c r="D26" s="76">
        <f>+D16</f>
        <v>3270000</v>
      </c>
      <c r="E26" s="76">
        <f>+E16</f>
        <v>534000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338013000</v>
      </c>
      <c r="D27" s="76">
        <f>SUM(D25:D26)</f>
        <v>346026000</v>
      </c>
      <c r="E27" s="76">
        <f>SUM(E25:E26)</f>
        <v>362075000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10077000</v>
      </c>
      <c r="D28" s="76">
        <f>+D17</f>
        <v>18976000</v>
      </c>
      <c r="E28" s="76">
        <f>+E17</f>
        <v>25668000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299329000</v>
      </c>
      <c r="D31" s="76">
        <v>351359000</v>
      </c>
      <c r="E31" s="76">
        <v>367460000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351117000</v>
      </c>
      <c r="D32" s="76">
        <v>410138000</v>
      </c>
      <c r="E32" s="76">
        <v>434782000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9134000</v>
      </c>
      <c r="D33" s="76">
        <f>+D32-C32</f>
        <v>59021000</v>
      </c>
      <c r="E33" s="76">
        <f>+E32-D32</f>
        <v>24644000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1.0266999999999999</v>
      </c>
      <c r="D34" s="193">
        <f>IF(C32=0,0,+D33/C32)</f>
        <v>0.16809496549583186</v>
      </c>
      <c r="E34" s="193">
        <f>IF(D32=0,0,+E33/D32)</f>
        <v>6.0087092637112385E-2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1.851033589406833</v>
      </c>
      <c r="D38" s="338">
        <f>IF(+D40=0,0,+D39/+D40)</f>
        <v>2.3418157196862834</v>
      </c>
      <c r="E38" s="338">
        <f>IF(+E40=0,0,+E39/+E40)</f>
        <v>2.4851209554978237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102886000</v>
      </c>
      <c r="D39" s="341">
        <v>124512000</v>
      </c>
      <c r="E39" s="341">
        <v>147313000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55583000</v>
      </c>
      <c r="D40" s="341">
        <v>53169000</v>
      </c>
      <c r="E40" s="341">
        <v>59278000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56.351151427848393</v>
      </c>
      <c r="D42" s="343">
        <f>IF((D48/365)=0,0,+D45/(D48/365))</f>
        <v>78.667791945934056</v>
      </c>
      <c r="E42" s="343">
        <f>IF((E48/365)=0,0,+E45/(E48/365))</f>
        <v>93.993774763128286</v>
      </c>
    </row>
    <row r="43" spans="1:14" ht="24" customHeight="1" x14ac:dyDescent="0.2">
      <c r="A43" s="339">
        <v>5</v>
      </c>
      <c r="B43" s="344" t="s">
        <v>16</v>
      </c>
      <c r="C43" s="345">
        <v>37343000</v>
      </c>
      <c r="D43" s="345">
        <v>29569000</v>
      </c>
      <c r="E43" s="345">
        <v>47945000</v>
      </c>
    </row>
    <row r="44" spans="1:14" ht="24" customHeight="1" x14ac:dyDescent="0.2">
      <c r="A44" s="339">
        <v>6</v>
      </c>
      <c r="B44" s="346" t="s">
        <v>17</v>
      </c>
      <c r="C44" s="345">
        <v>10243000</v>
      </c>
      <c r="D44" s="345">
        <v>36063000</v>
      </c>
      <c r="E44" s="345">
        <v>31934000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47586000</v>
      </c>
      <c r="D45" s="341">
        <f>+D43+D44</f>
        <v>65632000</v>
      </c>
      <c r="E45" s="341">
        <f>+E43+E44</f>
        <v>79879000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327936000</v>
      </c>
      <c r="D46" s="341">
        <f>+D14</f>
        <v>327050000</v>
      </c>
      <c r="E46" s="341">
        <f>+E14</f>
        <v>336407000</v>
      </c>
    </row>
    <row r="47" spans="1:14" ht="24" customHeight="1" x14ac:dyDescent="0.2">
      <c r="A47" s="339">
        <v>9</v>
      </c>
      <c r="B47" s="340" t="s">
        <v>356</v>
      </c>
      <c r="C47" s="341">
        <v>19710000</v>
      </c>
      <c r="D47" s="341">
        <v>22533000</v>
      </c>
      <c r="E47" s="341">
        <v>26218000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308226000</v>
      </c>
      <c r="D48" s="341">
        <f>+D46-D47</f>
        <v>304517000</v>
      </c>
      <c r="E48" s="341">
        <f>+E46-E47</f>
        <v>310189000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43.780110085465907</v>
      </c>
      <c r="D50" s="350">
        <f>IF((D55/365)=0,0,+D54/(D55/365))</f>
        <v>40.045146701906354</v>
      </c>
      <c r="E50" s="350">
        <f>IF((E55/365)=0,0,+E54/(E55/365))</f>
        <v>41.502617160638152</v>
      </c>
    </row>
    <row r="51" spans="1:5" ht="24" customHeight="1" x14ac:dyDescent="0.2">
      <c r="A51" s="339">
        <v>12</v>
      </c>
      <c r="B51" s="344" t="s">
        <v>359</v>
      </c>
      <c r="C51" s="351">
        <v>39760000</v>
      </c>
      <c r="D51" s="351">
        <v>37281000</v>
      </c>
      <c r="E51" s="351">
        <v>40615000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492000</v>
      </c>
      <c r="D53" s="341">
        <v>1207893</v>
      </c>
      <c r="E53" s="341">
        <v>930766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39268000</v>
      </c>
      <c r="D54" s="352">
        <f>+D51+D52-D53</f>
        <v>36073107</v>
      </c>
      <c r="E54" s="352">
        <f>+E51+E52-E53</f>
        <v>39684234</v>
      </c>
    </row>
    <row r="55" spans="1:5" ht="24" customHeight="1" x14ac:dyDescent="0.2">
      <c r="A55" s="339">
        <v>16</v>
      </c>
      <c r="B55" s="340" t="s">
        <v>75</v>
      </c>
      <c r="C55" s="341">
        <f>+C11</f>
        <v>327382000</v>
      </c>
      <c r="D55" s="341">
        <f>+D11</f>
        <v>328796000</v>
      </c>
      <c r="E55" s="341">
        <f>+E11</f>
        <v>349008000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65.821166935949591</v>
      </c>
      <c r="D57" s="355">
        <f>IF((D61/365)=0,0,+D58/(D61/365))</f>
        <v>63.729397701934538</v>
      </c>
      <c r="E57" s="355">
        <f>IF((E61/365)=0,0,+E58/(E61/365))</f>
        <v>69.752537968786768</v>
      </c>
    </row>
    <row r="58" spans="1:5" ht="24" customHeight="1" x14ac:dyDescent="0.2">
      <c r="A58" s="339">
        <v>18</v>
      </c>
      <c r="B58" s="340" t="s">
        <v>54</v>
      </c>
      <c r="C58" s="353">
        <f>+C40</f>
        <v>55583000</v>
      </c>
      <c r="D58" s="353">
        <f>+D40</f>
        <v>53169000</v>
      </c>
      <c r="E58" s="353">
        <f>+E40</f>
        <v>59278000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327936000</v>
      </c>
      <c r="D59" s="353">
        <f t="shared" si="0"/>
        <v>327050000</v>
      </c>
      <c r="E59" s="353">
        <f t="shared" si="0"/>
        <v>336407000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19710000</v>
      </c>
      <c r="D60" s="356">
        <f t="shared" si="0"/>
        <v>22533000</v>
      </c>
      <c r="E60" s="356">
        <f t="shared" si="0"/>
        <v>26218000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308226000</v>
      </c>
      <c r="D61" s="353">
        <f>+D59-D60</f>
        <v>304517000</v>
      </c>
      <c r="E61" s="353">
        <f>+E59-E60</f>
        <v>310189000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65.051903755264021</v>
      </c>
      <c r="D65" s="357">
        <f>IF(D67=0,0,(D66/D67)*100)</f>
        <v>72.530589652129478</v>
      </c>
      <c r="E65" s="357">
        <f>IF(E67=0,0,(E66/E67)*100)</f>
        <v>71.858854640112384</v>
      </c>
    </row>
    <row r="66" spans="1:5" ht="24" customHeight="1" x14ac:dyDescent="0.2">
      <c r="A66" s="339">
        <v>2</v>
      </c>
      <c r="B66" s="340" t="s">
        <v>67</v>
      </c>
      <c r="C66" s="353">
        <f>+C32</f>
        <v>351117000</v>
      </c>
      <c r="D66" s="353">
        <f>+D32</f>
        <v>410138000</v>
      </c>
      <c r="E66" s="353">
        <f>+E32</f>
        <v>434782000</v>
      </c>
    </row>
    <row r="67" spans="1:5" ht="24" customHeight="1" x14ac:dyDescent="0.2">
      <c r="A67" s="339">
        <v>3</v>
      </c>
      <c r="B67" s="340" t="s">
        <v>43</v>
      </c>
      <c r="C67" s="353">
        <v>539749000</v>
      </c>
      <c r="D67" s="353">
        <v>565469000</v>
      </c>
      <c r="E67" s="353">
        <v>605050000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31.093551013591096</v>
      </c>
      <c r="D69" s="357">
        <f>IF(D75=0,0,(D72/D75)*100)</f>
        <v>45.675018431100696</v>
      </c>
      <c r="E69" s="357">
        <f>IF(E75=0,0,(E72/E75)*100)</f>
        <v>54.973883008592651</v>
      </c>
    </row>
    <row r="70" spans="1:5" ht="24" customHeight="1" x14ac:dyDescent="0.2">
      <c r="A70" s="339">
        <v>5</v>
      </c>
      <c r="B70" s="340" t="s">
        <v>366</v>
      </c>
      <c r="C70" s="353">
        <f>+C28</f>
        <v>10077000</v>
      </c>
      <c r="D70" s="353">
        <f>+D28</f>
        <v>18976000</v>
      </c>
      <c r="E70" s="353">
        <f>+E28</f>
        <v>25668000</v>
      </c>
    </row>
    <row r="71" spans="1:5" ht="24" customHeight="1" x14ac:dyDescent="0.2">
      <c r="A71" s="339">
        <v>6</v>
      </c>
      <c r="B71" s="340" t="s">
        <v>356</v>
      </c>
      <c r="C71" s="356">
        <f>+C47</f>
        <v>19710000</v>
      </c>
      <c r="D71" s="356">
        <f>+D47</f>
        <v>22533000</v>
      </c>
      <c r="E71" s="356">
        <f>+E47</f>
        <v>26218000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29787000</v>
      </c>
      <c r="D72" s="353">
        <f>+D70+D71</f>
        <v>41509000</v>
      </c>
      <c r="E72" s="353">
        <f>+E70+E71</f>
        <v>51886000</v>
      </c>
    </row>
    <row r="73" spans="1:5" ht="24" customHeight="1" x14ac:dyDescent="0.2">
      <c r="A73" s="339">
        <v>8</v>
      </c>
      <c r="B73" s="340" t="s">
        <v>54</v>
      </c>
      <c r="C73" s="341">
        <f>+C40</f>
        <v>55583000</v>
      </c>
      <c r="D73" s="341">
        <f>+D40</f>
        <v>53169000</v>
      </c>
      <c r="E73" s="341">
        <f>+E40</f>
        <v>59278000</v>
      </c>
    </row>
    <row r="74" spans="1:5" ht="24" customHeight="1" x14ac:dyDescent="0.2">
      <c r="A74" s="339">
        <v>9</v>
      </c>
      <c r="B74" s="340" t="s">
        <v>58</v>
      </c>
      <c r="C74" s="353">
        <v>40215000</v>
      </c>
      <c r="D74" s="353">
        <v>37710000</v>
      </c>
      <c r="E74" s="353">
        <v>35105000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95798000</v>
      </c>
      <c r="D75" s="341">
        <f>+D73+D74</f>
        <v>90879000</v>
      </c>
      <c r="E75" s="341">
        <f>+E73+E74</f>
        <v>94383000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10.276440464873815</v>
      </c>
      <c r="D77" s="359">
        <f>IF(D80=0,0,(D78/D80)*100)</f>
        <v>8.4202675907897309</v>
      </c>
      <c r="E77" s="359">
        <f>IF(E80=0,0,(E78/E80)*100)</f>
        <v>7.4709451421299162</v>
      </c>
    </row>
    <row r="78" spans="1:5" ht="24" customHeight="1" x14ac:dyDescent="0.2">
      <c r="A78" s="339">
        <v>12</v>
      </c>
      <c r="B78" s="340" t="s">
        <v>58</v>
      </c>
      <c r="C78" s="341">
        <f>+C74</f>
        <v>40215000</v>
      </c>
      <c r="D78" s="341">
        <f>+D74</f>
        <v>37710000</v>
      </c>
      <c r="E78" s="341">
        <f>+E74</f>
        <v>35105000</v>
      </c>
    </row>
    <row r="79" spans="1:5" ht="24" customHeight="1" x14ac:dyDescent="0.2">
      <c r="A79" s="339">
        <v>13</v>
      </c>
      <c r="B79" s="340" t="s">
        <v>67</v>
      </c>
      <c r="C79" s="341">
        <f>+C32</f>
        <v>351117000</v>
      </c>
      <c r="D79" s="341">
        <f>+D32</f>
        <v>410138000</v>
      </c>
      <c r="E79" s="341">
        <f>+E32</f>
        <v>434782000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391332000</v>
      </c>
      <c r="D80" s="341">
        <f>+D78+D79</f>
        <v>447848000</v>
      </c>
      <c r="E80" s="341">
        <f>+E78+E79</f>
        <v>469887000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FILING&amp;R&amp;8GREENWICH HEALTH CARE SERVICES,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36713</v>
      </c>
      <c r="D11" s="376">
        <v>7310</v>
      </c>
      <c r="E11" s="376">
        <v>7224</v>
      </c>
      <c r="F11" s="377">
        <v>129</v>
      </c>
      <c r="G11" s="377">
        <v>129</v>
      </c>
      <c r="H11" s="378">
        <f>IF(F11=0,0,$C11/(F11*365))</f>
        <v>0.77971753212275674</v>
      </c>
      <c r="I11" s="378">
        <f>IF(G11=0,0,$C11/(G11*365))</f>
        <v>0.77971753212275674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1983</v>
      </c>
      <c r="D13" s="376">
        <v>156</v>
      </c>
      <c r="E13" s="376">
        <v>0</v>
      </c>
      <c r="F13" s="377">
        <v>10</v>
      </c>
      <c r="G13" s="377">
        <v>10</v>
      </c>
      <c r="H13" s="378">
        <f>IF(F13=0,0,$C13/(F13*365))</f>
        <v>0.54328767123287669</v>
      </c>
      <c r="I13" s="378">
        <f>IF(G13=0,0,$C13/(G13*365))</f>
        <v>0.54328767123287669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0</v>
      </c>
      <c r="D16" s="376">
        <v>0</v>
      </c>
      <c r="E16" s="376">
        <v>0</v>
      </c>
      <c r="F16" s="377">
        <v>0</v>
      </c>
      <c r="G16" s="377">
        <v>0</v>
      </c>
      <c r="H16" s="378">
        <f t="shared" si="0"/>
        <v>0</v>
      </c>
      <c r="I16" s="378">
        <f t="shared" si="0"/>
        <v>0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0</v>
      </c>
      <c r="D17" s="381">
        <f>SUM(D15:D16)</f>
        <v>0</v>
      </c>
      <c r="E17" s="381">
        <f>SUM(E15:E16)</f>
        <v>0</v>
      </c>
      <c r="F17" s="381">
        <f>SUM(F15:F16)</f>
        <v>0</v>
      </c>
      <c r="G17" s="381">
        <f>SUM(G15:G16)</f>
        <v>0</v>
      </c>
      <c r="H17" s="382">
        <f t="shared" si="0"/>
        <v>0</v>
      </c>
      <c r="I17" s="382">
        <f t="shared" si="0"/>
        <v>0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6208</v>
      </c>
      <c r="D21" s="376">
        <v>2415</v>
      </c>
      <c r="E21" s="376">
        <v>2547</v>
      </c>
      <c r="F21" s="377">
        <v>25</v>
      </c>
      <c r="G21" s="377">
        <v>25</v>
      </c>
      <c r="H21" s="378">
        <f>IF(F21=0,0,$C21/(F21*365))</f>
        <v>0.68032876712328771</v>
      </c>
      <c r="I21" s="378">
        <f>IF(G21=0,0,$C21/(G21*365))</f>
        <v>0.68032876712328771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6006</v>
      </c>
      <c r="D23" s="376">
        <v>2263</v>
      </c>
      <c r="E23" s="376">
        <v>2247</v>
      </c>
      <c r="F23" s="377">
        <v>22</v>
      </c>
      <c r="G23" s="377">
        <v>22</v>
      </c>
      <c r="H23" s="378">
        <f>IF(F23=0,0,$C23/(F23*365))</f>
        <v>0.74794520547945209</v>
      </c>
      <c r="I23" s="378">
        <f>IF(G23=0,0,$C23/(G23*365))</f>
        <v>0.74794520547945209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2944</v>
      </c>
      <c r="D25" s="376">
        <v>246</v>
      </c>
      <c r="E25" s="376">
        <v>0</v>
      </c>
      <c r="F25" s="377">
        <v>10</v>
      </c>
      <c r="G25" s="377">
        <v>10</v>
      </c>
      <c r="H25" s="378">
        <f>IF(F25=0,0,$C25/(F25*365))</f>
        <v>0.80657534246575346</v>
      </c>
      <c r="I25" s="378">
        <f>IF(G25=0,0,$C25/(G25*365))</f>
        <v>0.80657534246575346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655</v>
      </c>
      <c r="D27" s="376">
        <v>304</v>
      </c>
      <c r="E27" s="376">
        <v>259</v>
      </c>
      <c r="F27" s="377">
        <v>10</v>
      </c>
      <c r="G27" s="377">
        <v>10</v>
      </c>
      <c r="H27" s="378">
        <f>IF(F27=0,0,$C27/(F27*365))</f>
        <v>0.17945205479452056</v>
      </c>
      <c r="I27" s="378">
        <f>IF(G27=0,0,$C27/(G27*365))</f>
        <v>0.17945205479452056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48503</v>
      </c>
      <c r="D31" s="384">
        <f>SUM(D10:D29)-D13-D17-D23</f>
        <v>10275</v>
      </c>
      <c r="E31" s="384">
        <f>SUM(E10:E29)-E17-E23</f>
        <v>10030</v>
      </c>
      <c r="F31" s="384">
        <f>SUM(F10:F29)-F17-F23</f>
        <v>184</v>
      </c>
      <c r="G31" s="384">
        <f>SUM(G10:G29)-G17-G23</f>
        <v>184</v>
      </c>
      <c r="H31" s="385">
        <f>IF(F31=0,0,$C31/(F31*365))</f>
        <v>0.72220071471113756</v>
      </c>
      <c r="I31" s="385">
        <f>IF(G31=0,0,$C31/(G31*365))</f>
        <v>0.72220071471113756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54509</v>
      </c>
      <c r="D33" s="384">
        <f>SUM(D10:D29)-D13-D17</f>
        <v>12538</v>
      </c>
      <c r="E33" s="384">
        <f>SUM(E10:E29)-E17</f>
        <v>12277</v>
      </c>
      <c r="F33" s="384">
        <f>SUM(F10:F29)-F17</f>
        <v>206</v>
      </c>
      <c r="G33" s="384">
        <f>SUM(G10:G29)-G17</f>
        <v>206</v>
      </c>
      <c r="H33" s="385">
        <f>IF(F33=0,0,$C33/(F33*365))</f>
        <v>0.72495012634658862</v>
      </c>
      <c r="I33" s="385">
        <f>IF(G33=0,0,$C33/(G33*365))</f>
        <v>0.72495012634658862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54509</v>
      </c>
      <c r="D36" s="384">
        <f t="shared" si="1"/>
        <v>12538</v>
      </c>
      <c r="E36" s="384">
        <f t="shared" si="1"/>
        <v>12277</v>
      </c>
      <c r="F36" s="384">
        <f t="shared" si="1"/>
        <v>206</v>
      </c>
      <c r="G36" s="384">
        <f t="shared" si="1"/>
        <v>206</v>
      </c>
      <c r="H36" s="387">
        <f t="shared" si="1"/>
        <v>0.72495012634658862</v>
      </c>
      <c r="I36" s="387">
        <f t="shared" si="1"/>
        <v>0.72495012634658862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51964</v>
      </c>
      <c r="D37" s="384">
        <v>12439</v>
      </c>
      <c r="E37" s="384">
        <v>12192</v>
      </c>
      <c r="F37" s="386">
        <v>206</v>
      </c>
      <c r="G37" s="386">
        <v>206</v>
      </c>
      <c r="H37" s="385">
        <f>IF(F37=0,0,$C37/(F37*365))</f>
        <v>0.69110254023141371</v>
      </c>
      <c r="I37" s="385">
        <f>IF(G37=0,0,$C37/(G37*365))</f>
        <v>0.69110254023141371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2545</v>
      </c>
      <c r="D38" s="384">
        <f t="shared" si="2"/>
        <v>99</v>
      </c>
      <c r="E38" s="384">
        <f t="shared" si="2"/>
        <v>85</v>
      </c>
      <c r="F38" s="384">
        <f t="shared" si="2"/>
        <v>0</v>
      </c>
      <c r="G38" s="384">
        <f t="shared" si="2"/>
        <v>0</v>
      </c>
      <c r="H38" s="387">
        <f t="shared" si="2"/>
        <v>3.384758611517491E-2</v>
      </c>
      <c r="I38" s="387">
        <f t="shared" si="2"/>
        <v>3.384758611517491E-2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4.897621430220922E-2</v>
      </c>
      <c r="D40" s="389">
        <f t="shared" si="3"/>
        <v>7.9588391349786954E-3</v>
      </c>
      <c r="E40" s="389">
        <f t="shared" si="3"/>
        <v>6.9717847769028875E-3</v>
      </c>
      <c r="F40" s="389">
        <f t="shared" si="3"/>
        <v>0</v>
      </c>
      <c r="G40" s="389">
        <f t="shared" si="3"/>
        <v>0</v>
      </c>
      <c r="H40" s="389">
        <f t="shared" si="3"/>
        <v>4.8976214302209255E-2</v>
      </c>
      <c r="I40" s="389">
        <f t="shared" si="3"/>
        <v>4.8976214302209255E-2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206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FILING&amp;RGREENWICH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5691</v>
      </c>
      <c r="D12" s="409">
        <v>5915</v>
      </c>
      <c r="E12" s="409">
        <f>+D12-C12</f>
        <v>224</v>
      </c>
      <c r="F12" s="410">
        <f>IF(C12=0,0,+E12/C12)</f>
        <v>3.9360393603936041E-2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5856</v>
      </c>
      <c r="D13" s="409">
        <v>6409</v>
      </c>
      <c r="E13" s="409">
        <f>+D13-C13</f>
        <v>553</v>
      </c>
      <c r="F13" s="410">
        <f>IF(C13=0,0,+E13/C13)</f>
        <v>9.4433060109289618E-2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6180</v>
      </c>
      <c r="D14" s="409">
        <v>7118</v>
      </c>
      <c r="E14" s="409">
        <f>+D14-C14</f>
        <v>938</v>
      </c>
      <c r="F14" s="410">
        <f>IF(C14=0,0,+E14/C14)</f>
        <v>0.15177993527508091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624</v>
      </c>
      <c r="D15" s="409">
        <v>520</v>
      </c>
      <c r="E15" s="409">
        <f>+D15-C15</f>
        <v>-104</v>
      </c>
      <c r="F15" s="410">
        <f>IF(C15=0,0,+E15/C15)</f>
        <v>-0.16666666666666666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18351</v>
      </c>
      <c r="D16" s="401">
        <f>SUM(D12:D15)</f>
        <v>19962</v>
      </c>
      <c r="E16" s="401">
        <f>+D16-C16</f>
        <v>1611</v>
      </c>
      <c r="F16" s="402">
        <f>IF(C16=0,0,+E16/C16)</f>
        <v>8.7788131436978917E-2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1167</v>
      </c>
      <c r="D19" s="409">
        <v>1146</v>
      </c>
      <c r="E19" s="409">
        <f>+D19-C19</f>
        <v>-21</v>
      </c>
      <c r="F19" s="410">
        <f>IF(C19=0,0,+E19/C19)</f>
        <v>-1.7994858611825194E-2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6218</v>
      </c>
      <c r="D20" s="409">
        <v>5565</v>
      </c>
      <c r="E20" s="409">
        <f>+D20-C20</f>
        <v>-653</v>
      </c>
      <c r="F20" s="410">
        <f>IF(C20=0,0,+E20/C20)</f>
        <v>-0.10501769057574784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119</v>
      </c>
      <c r="D21" s="409">
        <v>136</v>
      </c>
      <c r="E21" s="409">
        <f>+D21-C21</f>
        <v>17</v>
      </c>
      <c r="F21" s="410">
        <f>IF(C21=0,0,+E21/C21)</f>
        <v>0.14285714285714285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1364</v>
      </c>
      <c r="D22" s="409">
        <v>1794</v>
      </c>
      <c r="E22" s="409">
        <f>+D22-C22</f>
        <v>430</v>
      </c>
      <c r="F22" s="410">
        <f>IF(C22=0,0,+E22/C22)</f>
        <v>0.31524926686217009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8868</v>
      </c>
      <c r="D23" s="401">
        <f>SUM(D19:D22)</f>
        <v>8641</v>
      </c>
      <c r="E23" s="401">
        <f>+D23-C23</f>
        <v>-227</v>
      </c>
      <c r="F23" s="402">
        <f>IF(C23=0,0,+E23/C23)</f>
        <v>-2.5597654488046909E-2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18</v>
      </c>
      <c r="D33" s="409">
        <v>11</v>
      </c>
      <c r="E33" s="409">
        <f>+D33-C33</f>
        <v>-7</v>
      </c>
      <c r="F33" s="410">
        <f>IF(C33=0,0,+E33/C33)</f>
        <v>-0.3888888888888889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686</v>
      </c>
      <c r="D34" s="409">
        <v>627</v>
      </c>
      <c r="E34" s="409">
        <f>+D34-C34</f>
        <v>-59</v>
      </c>
      <c r="F34" s="410">
        <f>IF(C34=0,0,+E34/C34)</f>
        <v>-8.600583090379009E-2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1</v>
      </c>
      <c r="D35" s="409">
        <v>2</v>
      </c>
      <c r="E35" s="409">
        <f>+D35-C35</f>
        <v>1</v>
      </c>
      <c r="F35" s="410">
        <f>IF(C35=0,0,+E35/C35)</f>
        <v>1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705</v>
      </c>
      <c r="D37" s="401">
        <f>SUM(D33:D36)</f>
        <v>640</v>
      </c>
      <c r="E37" s="401">
        <f>+D37-C37</f>
        <v>-65</v>
      </c>
      <c r="F37" s="402">
        <f>IF(C37=0,0,+E37/C37)</f>
        <v>-9.2198581560283682E-2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48</v>
      </c>
      <c r="D43" s="409">
        <v>46</v>
      </c>
      <c r="E43" s="409">
        <f>+D43-C43</f>
        <v>-2</v>
      </c>
      <c r="F43" s="410">
        <f>IF(C43=0,0,+E43/C43)</f>
        <v>-4.1666666666666664E-2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5083</v>
      </c>
      <c r="D44" s="409">
        <v>5329</v>
      </c>
      <c r="E44" s="409">
        <f>+D44-C44</f>
        <v>246</v>
      </c>
      <c r="F44" s="410">
        <f>IF(C44=0,0,+E44/C44)</f>
        <v>4.8396616171552234E-2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5131</v>
      </c>
      <c r="D45" s="401">
        <f>SUM(D43:D44)</f>
        <v>5375</v>
      </c>
      <c r="E45" s="401">
        <f>+D45-C45</f>
        <v>244</v>
      </c>
      <c r="F45" s="402">
        <f>IF(C45=0,0,+E45/C45)</f>
        <v>4.755408302475151E-2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144</v>
      </c>
      <c r="D48" s="409">
        <v>132</v>
      </c>
      <c r="E48" s="409">
        <f>+D48-C48</f>
        <v>-12</v>
      </c>
      <c r="F48" s="410">
        <f>IF(C48=0,0,+E48/C48)</f>
        <v>-8.3333333333333329E-2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62</v>
      </c>
      <c r="D49" s="409">
        <v>56</v>
      </c>
      <c r="E49" s="409">
        <f>+D49-C49</f>
        <v>-6</v>
      </c>
      <c r="F49" s="410">
        <f>IF(C49=0,0,+E49/C49)</f>
        <v>-9.6774193548387094E-2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206</v>
      </c>
      <c r="D50" s="401">
        <f>SUM(D48:D49)</f>
        <v>188</v>
      </c>
      <c r="E50" s="401">
        <f>+D50-C50</f>
        <v>-18</v>
      </c>
      <c r="F50" s="402">
        <f>IF(C50=0,0,+E50/C50)</f>
        <v>-8.7378640776699032E-2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45</v>
      </c>
      <c r="D53" s="409">
        <v>42</v>
      </c>
      <c r="E53" s="409">
        <f>+D53-C53</f>
        <v>-3</v>
      </c>
      <c r="F53" s="410">
        <f>IF(C53=0,0,+E53/C53)</f>
        <v>-6.6666666666666666E-2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45</v>
      </c>
      <c r="D55" s="401">
        <f>SUM(D53:D54)</f>
        <v>42</v>
      </c>
      <c r="E55" s="401">
        <f>+D55-C55</f>
        <v>-3</v>
      </c>
      <c r="F55" s="402">
        <f>IF(C55=0,0,+E55/C55)</f>
        <v>-6.6666666666666666E-2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4</v>
      </c>
      <c r="D58" s="409">
        <v>1</v>
      </c>
      <c r="E58" s="409">
        <f>+D58-C58</f>
        <v>-3</v>
      </c>
      <c r="F58" s="410">
        <f>IF(C58=0,0,+E58/C58)</f>
        <v>-0.75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395</v>
      </c>
      <c r="D59" s="409">
        <v>340</v>
      </c>
      <c r="E59" s="409">
        <f>+D59-C59</f>
        <v>-55</v>
      </c>
      <c r="F59" s="410">
        <f>IF(C59=0,0,+E59/C59)</f>
        <v>-0.13924050632911392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399</v>
      </c>
      <c r="D60" s="401">
        <f>SUM(D58:D59)</f>
        <v>341</v>
      </c>
      <c r="E60" s="401">
        <f>SUM(E58:E59)</f>
        <v>-58</v>
      </c>
      <c r="F60" s="402">
        <f>IF(C60=0,0,+E60/C60)</f>
        <v>-0.14536340852130325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2282</v>
      </c>
      <c r="D63" s="409">
        <v>2420</v>
      </c>
      <c r="E63" s="409">
        <f>+D63-C63</f>
        <v>138</v>
      </c>
      <c r="F63" s="410">
        <f>IF(C63=0,0,+E63/C63)</f>
        <v>6.0473269062226116E-2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4567</v>
      </c>
      <c r="D64" s="409">
        <v>4212</v>
      </c>
      <c r="E64" s="409">
        <f>+D64-C64</f>
        <v>-355</v>
      </c>
      <c r="F64" s="410">
        <f>IF(C64=0,0,+E64/C64)</f>
        <v>-7.773155244142764E-2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6849</v>
      </c>
      <c r="D65" s="401">
        <f>SUM(D63:D64)</f>
        <v>6632</v>
      </c>
      <c r="E65" s="401">
        <f>+D65-C65</f>
        <v>-217</v>
      </c>
      <c r="F65" s="402">
        <f>IF(C65=0,0,+E65/C65)</f>
        <v>-3.1683457439042197E-2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383</v>
      </c>
      <c r="D68" s="409">
        <v>418</v>
      </c>
      <c r="E68" s="409">
        <f>+D68-C68</f>
        <v>35</v>
      </c>
      <c r="F68" s="410">
        <f>IF(C68=0,0,+E68/C68)</f>
        <v>9.1383812010443863E-2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2934</v>
      </c>
      <c r="D69" s="409">
        <v>2641</v>
      </c>
      <c r="E69" s="409">
        <f>+D69-C69</f>
        <v>-293</v>
      </c>
      <c r="F69" s="412">
        <f>IF(C69=0,0,+E69/C69)</f>
        <v>-9.9863667348329924E-2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3317</v>
      </c>
      <c r="D70" s="401">
        <f>SUM(D68:D69)</f>
        <v>3059</v>
      </c>
      <c r="E70" s="401">
        <f>+D70-C70</f>
        <v>-258</v>
      </c>
      <c r="F70" s="402">
        <f>IF(C70=0,0,+E70/C70)</f>
        <v>-7.7781127524871874E-2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7527</v>
      </c>
      <c r="D73" s="376">
        <v>6790</v>
      </c>
      <c r="E73" s="409">
        <f>+D73-C73</f>
        <v>-737</v>
      </c>
      <c r="F73" s="410">
        <f>IF(C73=0,0,+E73/C73)</f>
        <v>-9.7914175634382886E-2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34925</v>
      </c>
      <c r="D74" s="376">
        <v>32604</v>
      </c>
      <c r="E74" s="409">
        <f>+D74-C74</f>
        <v>-2321</v>
      </c>
      <c r="F74" s="410">
        <f>IF(C74=0,0,+E74/C74)</f>
        <v>-6.6456692913385823E-2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42452</v>
      </c>
      <c r="D75" s="401">
        <f>SUM(D73:D74)</f>
        <v>39394</v>
      </c>
      <c r="E75" s="401">
        <f>SUM(E73:E74)</f>
        <v>-3058</v>
      </c>
      <c r="F75" s="402">
        <f>IF(C75=0,0,+E75/C75)</f>
        <v>-7.2034297559596727E-2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7447</v>
      </c>
      <c r="D79" s="376">
        <v>7776</v>
      </c>
      <c r="E79" s="409">
        <f t="shared" ref="E79:E92" si="0">+D79-C79</f>
        <v>329</v>
      </c>
      <c r="F79" s="410">
        <f t="shared" ref="F79:F92" si="1">IF(C79=0,0,+E79/C79)</f>
        <v>4.4178863972069292E-2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7792</v>
      </c>
      <c r="D81" s="376">
        <v>7899</v>
      </c>
      <c r="E81" s="409">
        <f t="shared" si="0"/>
        <v>107</v>
      </c>
      <c r="F81" s="410">
        <f t="shared" si="1"/>
        <v>1.3732032854209446E-2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9772</v>
      </c>
      <c r="D85" s="376">
        <v>9606</v>
      </c>
      <c r="E85" s="409">
        <f t="shared" si="0"/>
        <v>-166</v>
      </c>
      <c r="F85" s="410">
        <f t="shared" si="1"/>
        <v>-1.6987310683585756E-2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2853</v>
      </c>
      <c r="D91" s="376">
        <v>2780</v>
      </c>
      <c r="E91" s="409">
        <f t="shared" si="0"/>
        <v>-73</v>
      </c>
      <c r="F91" s="410">
        <f t="shared" si="1"/>
        <v>-2.5587101296880476E-2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27864</v>
      </c>
      <c r="D92" s="381">
        <f>SUM(D79:D91)</f>
        <v>28061</v>
      </c>
      <c r="E92" s="401">
        <f t="shared" si="0"/>
        <v>197</v>
      </c>
      <c r="F92" s="402">
        <f t="shared" si="1"/>
        <v>7.0700545506747056E-3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32762</v>
      </c>
      <c r="D95" s="414">
        <v>38213</v>
      </c>
      <c r="E95" s="415">
        <f t="shared" ref="E95:E100" si="2">+D95-C95</f>
        <v>5451</v>
      </c>
      <c r="F95" s="412">
        <f t="shared" ref="F95:F100" si="3">IF(C95=0,0,+E95/C95)</f>
        <v>0.16638178377388438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1820</v>
      </c>
      <c r="D96" s="414">
        <v>1645</v>
      </c>
      <c r="E96" s="409">
        <f t="shared" si="2"/>
        <v>-175</v>
      </c>
      <c r="F96" s="410">
        <f t="shared" si="3"/>
        <v>-9.6153846153846159E-2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18591</v>
      </c>
      <c r="D97" s="414">
        <v>18561</v>
      </c>
      <c r="E97" s="409">
        <f t="shared" si="2"/>
        <v>-30</v>
      </c>
      <c r="F97" s="410">
        <f t="shared" si="3"/>
        <v>-1.6136840406648378E-3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2239</v>
      </c>
      <c r="D98" s="414">
        <v>2542</v>
      </c>
      <c r="E98" s="409">
        <f t="shared" si="2"/>
        <v>303</v>
      </c>
      <c r="F98" s="410">
        <f t="shared" si="3"/>
        <v>0.13532827154979901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178472</v>
      </c>
      <c r="D99" s="414">
        <v>168234</v>
      </c>
      <c r="E99" s="409">
        <f t="shared" si="2"/>
        <v>-10238</v>
      </c>
      <c r="F99" s="410">
        <f t="shared" si="3"/>
        <v>-5.7364740687614865E-2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233884</v>
      </c>
      <c r="D100" s="381">
        <f>SUM(D95:D99)</f>
        <v>229195</v>
      </c>
      <c r="E100" s="401">
        <f t="shared" si="2"/>
        <v>-4689</v>
      </c>
      <c r="F100" s="402">
        <f t="shared" si="3"/>
        <v>-2.0048400061568983E-2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361.4</v>
      </c>
      <c r="D104" s="416">
        <v>359.3</v>
      </c>
      <c r="E104" s="417">
        <f>+D104-C104</f>
        <v>-2.0999999999999659</v>
      </c>
      <c r="F104" s="410">
        <f>IF(C104=0,0,+E104/C104)</f>
        <v>-5.8107360265632711E-3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33.5</v>
      </c>
      <c r="D105" s="416">
        <v>43.5</v>
      </c>
      <c r="E105" s="417">
        <f>+D105-C105</f>
        <v>10</v>
      </c>
      <c r="F105" s="410">
        <f>IF(C105=0,0,+E105/C105)</f>
        <v>0.29850746268656714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1070.2</v>
      </c>
      <c r="D106" s="416">
        <v>1072.5</v>
      </c>
      <c r="E106" s="417">
        <f>+D106-C106</f>
        <v>2.2999999999999545</v>
      </c>
      <c r="F106" s="410">
        <f>IF(C106=0,0,+E106/C106)</f>
        <v>2.1491310035506956E-3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1465.1</v>
      </c>
      <c r="D107" s="418">
        <f>SUM(D104:D106)</f>
        <v>1475.3</v>
      </c>
      <c r="E107" s="418">
        <f>+D107-C107</f>
        <v>10.200000000000045</v>
      </c>
      <c r="F107" s="402">
        <f>IF(C107=0,0,+E107/C107)</f>
        <v>6.961982117261652E-3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FILING&amp;RGREENWICH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opLeftCell="A4" zoomScale="75" zoomScaleSheetLayoutView="90" workbookViewId="0">
      <selection activeCell="B29" sqref="B29:F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3377</v>
      </c>
      <c r="D12" s="409">
        <v>2994</v>
      </c>
      <c r="E12" s="409">
        <f>+D12-C12</f>
        <v>-383</v>
      </c>
      <c r="F12" s="410">
        <f>IF(C12=0,0,+E12/C12)</f>
        <v>-0.11341427302339355</v>
      </c>
    </row>
    <row r="13" spans="1:6" ht="15.75" customHeight="1" x14ac:dyDescent="0.2">
      <c r="A13" s="374">
        <v>2</v>
      </c>
      <c r="B13" s="408" t="s">
        <v>622</v>
      </c>
      <c r="C13" s="409">
        <v>1190</v>
      </c>
      <c r="D13" s="409">
        <v>1218</v>
      </c>
      <c r="E13" s="409">
        <f>+D13-C13</f>
        <v>28</v>
      </c>
      <c r="F13" s="410">
        <f>IF(C13=0,0,+E13/C13)</f>
        <v>2.3529411764705882E-2</v>
      </c>
    </row>
    <row r="14" spans="1:6" ht="15.75" customHeight="1" x14ac:dyDescent="0.25">
      <c r="A14" s="374"/>
      <c r="B14" s="399" t="s">
        <v>623</v>
      </c>
      <c r="C14" s="401">
        <f>SUM(C11:C13)</f>
        <v>4567</v>
      </c>
      <c r="D14" s="401">
        <f>SUM(D11:D13)</f>
        <v>4212</v>
      </c>
      <c r="E14" s="401">
        <f>+D14-C14</f>
        <v>-355</v>
      </c>
      <c r="F14" s="402">
        <f>IF(C14=0,0,+E14/C14)</f>
        <v>-7.773155244142764E-2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621</v>
      </c>
      <c r="C17" s="409">
        <v>292</v>
      </c>
      <c r="D17" s="409">
        <v>196</v>
      </c>
      <c r="E17" s="409">
        <f>+D17-C17</f>
        <v>-96</v>
      </c>
      <c r="F17" s="410">
        <f>IF(C17=0,0,+E17/C17)</f>
        <v>-0.32876712328767121</v>
      </c>
    </row>
    <row r="18" spans="1:6" ht="15.75" customHeight="1" x14ac:dyDescent="0.2">
      <c r="A18" s="374">
        <v>2</v>
      </c>
      <c r="B18" s="408" t="s">
        <v>624</v>
      </c>
      <c r="C18" s="409">
        <v>2642</v>
      </c>
      <c r="D18" s="409">
        <v>2445</v>
      </c>
      <c r="E18" s="409">
        <f>+D18-C18</f>
        <v>-197</v>
      </c>
      <c r="F18" s="410">
        <f>IF(C18=0,0,+E18/C18)</f>
        <v>-7.4564723694171081E-2</v>
      </c>
    </row>
    <row r="19" spans="1:6" ht="15.75" customHeight="1" x14ac:dyDescent="0.25">
      <c r="A19" s="374"/>
      <c r="B19" s="399" t="s">
        <v>625</v>
      </c>
      <c r="C19" s="401">
        <f>SUM(C16:C18)</f>
        <v>2934</v>
      </c>
      <c r="D19" s="401">
        <f>SUM(D16:D18)</f>
        <v>2641</v>
      </c>
      <c r="E19" s="401">
        <f>+D19-C19</f>
        <v>-293</v>
      </c>
      <c r="F19" s="402">
        <f>IF(C19=0,0,+E19/C19)</f>
        <v>-9.9863667348329924E-2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626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627</v>
      </c>
      <c r="C22" s="409">
        <v>34925</v>
      </c>
      <c r="D22" s="409">
        <v>32604</v>
      </c>
      <c r="E22" s="409">
        <f>+D22-C22</f>
        <v>-2321</v>
      </c>
      <c r="F22" s="410">
        <f>IF(C22=0,0,+E22/C22)</f>
        <v>-6.6456692913385823E-2</v>
      </c>
    </row>
    <row r="23" spans="1:6" ht="15.75" customHeight="1" x14ac:dyDescent="0.25">
      <c r="A23" s="374"/>
      <c r="B23" s="399" t="s">
        <v>628</v>
      </c>
      <c r="C23" s="401">
        <f>SUM(C21:C22)</f>
        <v>34925</v>
      </c>
      <c r="D23" s="401">
        <f>SUM(D21:D22)</f>
        <v>32604</v>
      </c>
      <c r="E23" s="401">
        <f>+D23-C23</f>
        <v>-2321</v>
      </c>
      <c r="F23" s="402">
        <f>IF(C23=0,0,+E23/C23)</f>
        <v>-6.6456692913385823E-2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3" t="s">
        <v>629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630</v>
      </c>
      <c r="C27" s="814"/>
      <c r="D27" s="814"/>
      <c r="E27" s="814"/>
      <c r="F27" s="815"/>
    </row>
    <row r="28" spans="1:6" ht="15.75" customHeight="1" x14ac:dyDescent="0.25">
      <c r="A28" s="392"/>
    </row>
    <row r="29" spans="1:6" ht="15.75" customHeight="1" x14ac:dyDescent="0.25">
      <c r="B29" s="813" t="s">
        <v>631</v>
      </c>
      <c r="C29" s="814"/>
      <c r="D29" s="814"/>
      <c r="E29" s="814"/>
      <c r="F29" s="815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FILING&amp;RGREENWICH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632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633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634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635</v>
      </c>
      <c r="D7" s="426" t="s">
        <v>635</v>
      </c>
      <c r="E7" s="426" t="s">
        <v>636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637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638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639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640</v>
      </c>
      <c r="C15" s="448">
        <v>231780728</v>
      </c>
      <c r="D15" s="448">
        <v>240415659</v>
      </c>
      <c r="E15" s="448">
        <f t="shared" ref="E15:E24" si="0">D15-C15</f>
        <v>8634931</v>
      </c>
      <c r="F15" s="449">
        <f t="shared" ref="F15:F24" si="1">IF(C15=0,0,E15/C15)</f>
        <v>3.7254741041282777E-2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641</v>
      </c>
      <c r="C16" s="448">
        <v>57444961</v>
      </c>
      <c r="D16" s="448">
        <v>59489414</v>
      </c>
      <c r="E16" s="448">
        <f t="shared" si="0"/>
        <v>2044453</v>
      </c>
      <c r="F16" s="449">
        <f t="shared" si="1"/>
        <v>3.558977087650908E-2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642</v>
      </c>
      <c r="C17" s="453">
        <f>IF(C15=0,0,C16/C15)</f>
        <v>0.24784183523662071</v>
      </c>
      <c r="D17" s="453">
        <f>IF(LN_IA1=0,0,LN_IA2/LN_IA1)</f>
        <v>0.24744400696462121</v>
      </c>
      <c r="E17" s="454">
        <f t="shared" si="0"/>
        <v>-3.9782827199949522E-4</v>
      </c>
      <c r="F17" s="449">
        <f t="shared" si="1"/>
        <v>-1.6051699730986852E-3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4888</v>
      </c>
      <c r="D18" s="456">
        <v>4545</v>
      </c>
      <c r="E18" s="456">
        <f t="shared" si="0"/>
        <v>-343</v>
      </c>
      <c r="F18" s="449">
        <f t="shared" si="1"/>
        <v>-7.0171849427168573E-2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643</v>
      </c>
      <c r="C19" s="459">
        <v>1.4593700000000001</v>
      </c>
      <c r="D19" s="459">
        <v>1.57877</v>
      </c>
      <c r="E19" s="460">
        <f t="shared" si="0"/>
        <v>0.11939999999999995</v>
      </c>
      <c r="F19" s="449">
        <f t="shared" si="1"/>
        <v>8.1816126136620565E-2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644</v>
      </c>
      <c r="C20" s="463">
        <f>C18*C19</f>
        <v>7133.40056</v>
      </c>
      <c r="D20" s="463">
        <f>LN_IA4*LN_IA5</f>
        <v>7175.50965</v>
      </c>
      <c r="E20" s="463">
        <f t="shared" si="0"/>
        <v>42.109089999999924</v>
      </c>
      <c r="F20" s="449">
        <f t="shared" si="1"/>
        <v>5.9030878254788376E-3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645</v>
      </c>
      <c r="C21" s="465">
        <f>IF(C20=0,0,C16/C20)</f>
        <v>8052.956022421934</v>
      </c>
      <c r="D21" s="465">
        <f>IF(LN_IA6=0,0,LN_IA2/LN_IA6)</f>
        <v>8290.6186322249596</v>
      </c>
      <c r="E21" s="465">
        <f t="shared" si="0"/>
        <v>237.66260980302559</v>
      </c>
      <c r="F21" s="449">
        <f t="shared" si="1"/>
        <v>2.9512468358364179E-2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25711</v>
      </c>
      <c r="D22" s="456">
        <v>25954</v>
      </c>
      <c r="E22" s="456">
        <f t="shared" si="0"/>
        <v>243</v>
      </c>
      <c r="F22" s="449">
        <f t="shared" si="1"/>
        <v>9.4512076543113843E-3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646</v>
      </c>
      <c r="C23" s="465">
        <f>IF(C22=0,0,C16/C22)</f>
        <v>2234.2561938469917</v>
      </c>
      <c r="D23" s="465">
        <f>IF(LN_IA8=0,0,LN_IA2/LN_IA8)</f>
        <v>2292.1096555444246</v>
      </c>
      <c r="E23" s="465">
        <f t="shared" si="0"/>
        <v>57.853461697432977</v>
      </c>
      <c r="F23" s="449">
        <f t="shared" si="1"/>
        <v>2.5893835208673902E-2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647</v>
      </c>
      <c r="C24" s="466">
        <f>IF(C18=0,0,C22/C18)</f>
        <v>5.2600245499181666</v>
      </c>
      <c r="D24" s="466">
        <f>IF(LN_IA4=0,0,LN_IA8/LN_IA4)</f>
        <v>5.7104510451045103</v>
      </c>
      <c r="E24" s="466">
        <f t="shared" si="0"/>
        <v>0.4504264951863437</v>
      </c>
      <c r="F24" s="449">
        <f t="shared" si="1"/>
        <v>8.563201386452679E-2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648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649</v>
      </c>
      <c r="C27" s="448">
        <v>205659507</v>
      </c>
      <c r="D27" s="448">
        <v>225344601</v>
      </c>
      <c r="E27" s="448">
        <f t="shared" ref="E27:E32" si="2">D27-C27</f>
        <v>19685094</v>
      </c>
      <c r="F27" s="449">
        <f t="shared" ref="F27:F32" si="3">IF(C27=0,0,E27/C27)</f>
        <v>9.5716917185841549E-2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650</v>
      </c>
      <c r="C28" s="448">
        <v>30961647</v>
      </c>
      <c r="D28" s="448">
        <v>35573697</v>
      </c>
      <c r="E28" s="448">
        <f t="shared" si="2"/>
        <v>4612050</v>
      </c>
      <c r="F28" s="449">
        <f t="shared" si="3"/>
        <v>0.14896009892496997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651</v>
      </c>
      <c r="C29" s="453">
        <f>IF(C27=0,0,C28/C27)</f>
        <v>0.1505480950122087</v>
      </c>
      <c r="D29" s="453">
        <f>IF(LN_IA11=0,0,LN_IA12/LN_IA11)</f>
        <v>0.15786354251282905</v>
      </c>
      <c r="E29" s="454">
        <f t="shared" si="2"/>
        <v>7.3154475006203534E-3</v>
      </c>
      <c r="F29" s="449">
        <f t="shared" si="3"/>
        <v>4.8592096100765057E-2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652</v>
      </c>
      <c r="C30" s="453">
        <f>IF(C15=0,0,C27/C15)</f>
        <v>0.8873020150320694</v>
      </c>
      <c r="D30" s="453">
        <f>IF(LN_IA1=0,0,LN_IA11/LN_IA1)</f>
        <v>0.93731249427475938</v>
      </c>
      <c r="E30" s="454">
        <f t="shared" si="2"/>
        <v>5.0010479242689976E-2</v>
      </c>
      <c r="F30" s="449">
        <f t="shared" si="3"/>
        <v>5.6362409185876206E-2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653</v>
      </c>
      <c r="C31" s="463">
        <f>C30*C18</f>
        <v>4337.1322494767555</v>
      </c>
      <c r="D31" s="463">
        <f>LN_IA14*LN_IA4</f>
        <v>4260.0852864787812</v>
      </c>
      <c r="E31" s="463">
        <f t="shared" si="2"/>
        <v>-77.046962997974333</v>
      </c>
      <c r="F31" s="449">
        <f t="shared" si="3"/>
        <v>-1.7764494732036246E-2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654</v>
      </c>
      <c r="C32" s="465">
        <f>IF(C31=0,0,C28/C31)</f>
        <v>7138.7371237608222</v>
      </c>
      <c r="D32" s="465">
        <f>IF(LN_IA15=0,0,LN_IA12/LN_IA15)</f>
        <v>8350.4659197571655</v>
      </c>
      <c r="E32" s="465">
        <f t="shared" si="2"/>
        <v>1211.7287959963433</v>
      </c>
      <c r="F32" s="449">
        <f t="shared" si="3"/>
        <v>0.16973993788945985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655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656</v>
      </c>
      <c r="C35" s="448">
        <f>C15+C27</f>
        <v>437440235</v>
      </c>
      <c r="D35" s="448">
        <f>LN_IA1+LN_IA11</f>
        <v>465760260</v>
      </c>
      <c r="E35" s="448">
        <f>D35-C35</f>
        <v>28320025</v>
      </c>
      <c r="F35" s="449">
        <f>IF(C35=0,0,E35/C35)</f>
        <v>6.4740329613255626E-2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657</v>
      </c>
      <c r="C36" s="448">
        <f>C16+C28</f>
        <v>88406608</v>
      </c>
      <c r="D36" s="448">
        <f>LN_IA2+LN_IA12</f>
        <v>95063111</v>
      </c>
      <c r="E36" s="448">
        <f>D36-C36</f>
        <v>6656503</v>
      </c>
      <c r="F36" s="449">
        <f>IF(C36=0,0,E36/C36)</f>
        <v>7.5294179367225586E-2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658</v>
      </c>
      <c r="C37" s="448">
        <f>C35-C36</f>
        <v>349033627</v>
      </c>
      <c r="D37" s="448">
        <f>LN_IA17-LN_IA18</f>
        <v>370697149</v>
      </c>
      <c r="E37" s="448">
        <f>D37-C37</f>
        <v>21663522</v>
      </c>
      <c r="F37" s="449">
        <f>IF(C37=0,0,E37/C37)</f>
        <v>6.2067148618892246E-2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659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660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640</v>
      </c>
      <c r="C42" s="448">
        <v>179005504</v>
      </c>
      <c r="D42" s="448">
        <v>203037279</v>
      </c>
      <c r="E42" s="448">
        <f t="shared" ref="E42:E53" si="4">D42-C42</f>
        <v>24031775</v>
      </c>
      <c r="F42" s="449">
        <f t="shared" ref="F42:F53" si="5">IF(C42=0,0,E42/C42)</f>
        <v>0.13425159820784058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641</v>
      </c>
      <c r="C43" s="448">
        <v>80652028</v>
      </c>
      <c r="D43" s="448">
        <v>85221805</v>
      </c>
      <c r="E43" s="448">
        <f t="shared" si="4"/>
        <v>4569777</v>
      </c>
      <c r="F43" s="449">
        <f t="shared" si="5"/>
        <v>5.6660410324710003E-2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642</v>
      </c>
      <c r="C44" s="453">
        <f>IF(C42=0,0,C43/C42)</f>
        <v>0.45055613485493717</v>
      </c>
      <c r="D44" s="453">
        <f>IF(LN_IB1=0,0,LN_IB2/LN_IB1)</f>
        <v>0.41973476703260981</v>
      </c>
      <c r="E44" s="454">
        <f t="shared" si="4"/>
        <v>-3.0821367822327361E-2</v>
      </c>
      <c r="F44" s="449">
        <f t="shared" si="5"/>
        <v>-6.8407386867012102E-2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6891</v>
      </c>
      <c r="D45" s="456">
        <v>7182</v>
      </c>
      <c r="E45" s="456">
        <f t="shared" si="4"/>
        <v>291</v>
      </c>
      <c r="F45" s="449">
        <f t="shared" si="5"/>
        <v>4.2228994340444061E-2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643</v>
      </c>
      <c r="C46" s="459">
        <v>0.87034</v>
      </c>
      <c r="D46" s="459">
        <v>0.90366999999999997</v>
      </c>
      <c r="E46" s="460">
        <f t="shared" si="4"/>
        <v>3.3329999999999971E-2</v>
      </c>
      <c r="F46" s="449">
        <f t="shared" si="5"/>
        <v>3.8295378817473601E-2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644</v>
      </c>
      <c r="C47" s="463">
        <f>C45*C46</f>
        <v>5997.5129399999996</v>
      </c>
      <c r="D47" s="463">
        <f>LN_IB4*LN_IB5</f>
        <v>6490.1579400000001</v>
      </c>
      <c r="E47" s="463">
        <f t="shared" si="4"/>
        <v>492.64500000000044</v>
      </c>
      <c r="F47" s="449">
        <f t="shared" si="5"/>
        <v>8.214154849326602E-2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645</v>
      </c>
      <c r="C48" s="465">
        <f>IF(C47=0,0,C43/C47)</f>
        <v>13447.578822564408</v>
      </c>
      <c r="D48" s="465">
        <f>IF(LN_IB6=0,0,LN_IB2/LN_IB6)</f>
        <v>13130.929291375611</v>
      </c>
      <c r="E48" s="465">
        <f t="shared" si="4"/>
        <v>-316.64953118879748</v>
      </c>
      <c r="F48" s="449">
        <f t="shared" si="5"/>
        <v>-2.354695483602404E-2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661</v>
      </c>
      <c r="C49" s="465">
        <f>C21-C48</f>
        <v>-5394.6228001424743</v>
      </c>
      <c r="D49" s="465">
        <f>LN_IA7-LN_IB7</f>
        <v>-4840.3106591506512</v>
      </c>
      <c r="E49" s="465">
        <f t="shared" si="4"/>
        <v>554.31214099182307</v>
      </c>
      <c r="F49" s="449">
        <f t="shared" si="5"/>
        <v>-0.10275271534780586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662</v>
      </c>
      <c r="C50" s="479">
        <f>C49*C47</f>
        <v>-32354320.050273523</v>
      </c>
      <c r="D50" s="479">
        <f>LN_IB8*LN_IB6</f>
        <v>-31414380.656553231</v>
      </c>
      <c r="E50" s="479">
        <f t="shared" si="4"/>
        <v>939939.39372029155</v>
      </c>
      <c r="F50" s="449">
        <f t="shared" si="5"/>
        <v>-2.9051434005096494E-2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23492</v>
      </c>
      <c r="D51" s="456">
        <v>25309</v>
      </c>
      <c r="E51" s="456">
        <f t="shared" si="4"/>
        <v>1817</v>
      </c>
      <c r="F51" s="449">
        <f t="shared" si="5"/>
        <v>7.7345479312106252E-2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646</v>
      </c>
      <c r="C52" s="465">
        <f>IF(C51=0,0,C43/C51)</f>
        <v>3433.1699301890003</v>
      </c>
      <c r="D52" s="465">
        <f>IF(LN_IB10=0,0,LN_IB2/LN_IB10)</f>
        <v>3367.2529534948044</v>
      </c>
      <c r="E52" s="465">
        <f t="shared" si="4"/>
        <v>-65.91697669419591</v>
      </c>
      <c r="F52" s="449">
        <f t="shared" si="5"/>
        <v>-1.9200033215532417E-2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647</v>
      </c>
      <c r="C53" s="466">
        <f>IF(C45=0,0,C51/C45)</f>
        <v>3.4090843128718618</v>
      </c>
      <c r="D53" s="466">
        <f>IF(LN_IB4=0,0,LN_IB10/LN_IB4)</f>
        <v>3.5239487607908662</v>
      </c>
      <c r="E53" s="466">
        <f t="shared" si="4"/>
        <v>0.11486444791900441</v>
      </c>
      <c r="F53" s="449">
        <f t="shared" si="5"/>
        <v>3.3693636583086134E-2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663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649</v>
      </c>
      <c r="C56" s="448">
        <v>404451729</v>
      </c>
      <c r="D56" s="448">
        <v>410820526</v>
      </c>
      <c r="E56" s="448">
        <f t="shared" ref="E56:E63" si="6">D56-C56</f>
        <v>6368797</v>
      </c>
      <c r="F56" s="449">
        <f t="shared" ref="F56:F63" si="7">IF(C56=0,0,E56/C56)</f>
        <v>1.5746741930728649E-2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650</v>
      </c>
      <c r="C57" s="448">
        <v>143040037</v>
      </c>
      <c r="D57" s="448">
        <v>151164090</v>
      </c>
      <c r="E57" s="448">
        <f t="shared" si="6"/>
        <v>8124053</v>
      </c>
      <c r="F57" s="449">
        <f t="shared" si="7"/>
        <v>5.6795657847879329E-2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651</v>
      </c>
      <c r="C58" s="453">
        <f>IF(C56=0,0,C57/C56)</f>
        <v>0.35366405121734562</v>
      </c>
      <c r="D58" s="453">
        <f>IF(LN_IB13=0,0,LN_IB14/LN_IB13)</f>
        <v>0.36795651734305018</v>
      </c>
      <c r="E58" s="454">
        <f t="shared" si="6"/>
        <v>1.4292466125704562E-2</v>
      </c>
      <c r="F58" s="449">
        <f t="shared" si="7"/>
        <v>4.0412549922754434E-2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652</v>
      </c>
      <c r="C59" s="453">
        <f>IF(C42=0,0,C56/C42)</f>
        <v>2.2594373913776415</v>
      </c>
      <c r="D59" s="453">
        <f>IF(LN_IB1=0,0,LN_IB13/LN_IB1)</f>
        <v>2.0233748601408315</v>
      </c>
      <c r="E59" s="454">
        <f t="shared" si="6"/>
        <v>-0.23606253123681009</v>
      </c>
      <c r="F59" s="449">
        <f t="shared" si="7"/>
        <v>-0.10447845651207721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653</v>
      </c>
      <c r="C60" s="463">
        <f>C59*C45</f>
        <v>15569.783063983328</v>
      </c>
      <c r="D60" s="463">
        <f>LN_IB16*LN_IB4</f>
        <v>14531.878245531452</v>
      </c>
      <c r="E60" s="463">
        <f t="shared" si="6"/>
        <v>-1037.9048184518761</v>
      </c>
      <c r="F60" s="449">
        <f t="shared" si="7"/>
        <v>-6.6661482320379967E-2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654</v>
      </c>
      <c r="C61" s="465">
        <f>IF(C60=0,0,C57/C60)</f>
        <v>9187.0282593009397</v>
      </c>
      <c r="D61" s="465">
        <f>IF(LN_IB17=0,0,LN_IB14/LN_IB17)</f>
        <v>10402.240333006019</v>
      </c>
      <c r="E61" s="465">
        <f t="shared" si="6"/>
        <v>1215.2120737050791</v>
      </c>
      <c r="F61" s="449">
        <f t="shared" si="7"/>
        <v>0.13227477258217851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664</v>
      </c>
      <c r="C62" s="465">
        <f>C32-C61</f>
        <v>-2048.2911355401175</v>
      </c>
      <c r="D62" s="465">
        <f>LN_IA16-LN_IB18</f>
        <v>-2051.7744132488533</v>
      </c>
      <c r="E62" s="465">
        <f t="shared" si="6"/>
        <v>-3.4832777087358409</v>
      </c>
      <c r="F62" s="449">
        <f t="shared" si="7"/>
        <v>1.7005774463879273E-3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665</v>
      </c>
      <c r="C63" s="448">
        <f>C62*C60</f>
        <v>-31891448.632239699</v>
      </c>
      <c r="D63" s="448">
        <f>LN_IB19*LN_IB17</f>
        <v>-29816135.960629072</v>
      </c>
      <c r="E63" s="448">
        <f t="shared" si="6"/>
        <v>2075312.6716106273</v>
      </c>
      <c r="F63" s="449">
        <f t="shared" si="7"/>
        <v>-6.5074267887368795E-2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666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656</v>
      </c>
      <c r="C66" s="448">
        <f>C42+C56</f>
        <v>583457233</v>
      </c>
      <c r="D66" s="448">
        <f>LN_IB1+LN_IB13</f>
        <v>613857805</v>
      </c>
      <c r="E66" s="448">
        <f>D66-C66</f>
        <v>30400572</v>
      </c>
      <c r="F66" s="449">
        <f>IF(C66=0,0,E66/C66)</f>
        <v>5.2104199383539052E-2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657</v>
      </c>
      <c r="C67" s="448">
        <f>C43+C57</f>
        <v>223692065</v>
      </c>
      <c r="D67" s="448">
        <f>LN_IB2+LN_IB14</f>
        <v>236385895</v>
      </c>
      <c r="E67" s="448">
        <f>D67-C67</f>
        <v>12693830</v>
      </c>
      <c r="F67" s="449">
        <f>IF(C67=0,0,E67/C67)</f>
        <v>5.6746894441695998E-2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658</v>
      </c>
      <c r="C68" s="448">
        <f>C66-C67</f>
        <v>359765168</v>
      </c>
      <c r="D68" s="448">
        <f>LN_IB21-LN_IB22</f>
        <v>377471910</v>
      </c>
      <c r="E68" s="448">
        <f>D68-C68</f>
        <v>17706742</v>
      </c>
      <c r="F68" s="449">
        <f>IF(C68=0,0,E68/C68)</f>
        <v>4.9217499566272631E-2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667</v>
      </c>
      <c r="C70" s="441">
        <f>C50+C63</f>
        <v>-64245768.682513222</v>
      </c>
      <c r="D70" s="441">
        <f>LN_IB9+LN_IB20</f>
        <v>-61230516.617182299</v>
      </c>
      <c r="E70" s="448">
        <f>D70-C70</f>
        <v>3015252.0653309226</v>
      </c>
      <c r="F70" s="449">
        <f>IF(C70=0,0,E70/C70)</f>
        <v>-4.6933084110668148E-2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668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669</v>
      </c>
      <c r="C73" s="488">
        <v>527794479</v>
      </c>
      <c r="D73" s="488">
        <v>561179954</v>
      </c>
      <c r="E73" s="488">
        <f>D73-C73</f>
        <v>33385475</v>
      </c>
      <c r="F73" s="489">
        <f>IF(C73=0,0,E73/C73)</f>
        <v>6.3254687815709421E-2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670</v>
      </c>
      <c r="C74" s="488">
        <v>209167420</v>
      </c>
      <c r="D74" s="488">
        <v>225546338</v>
      </c>
      <c r="E74" s="488">
        <f>D74-C74</f>
        <v>16378918</v>
      </c>
      <c r="F74" s="489">
        <f>IF(C74=0,0,E74/C74)</f>
        <v>7.8305302039868352E-2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671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672</v>
      </c>
      <c r="C76" s="441">
        <f>C73-C74</f>
        <v>318627059</v>
      </c>
      <c r="D76" s="441">
        <f>LN_IB32-LN_IB33</f>
        <v>335633616</v>
      </c>
      <c r="E76" s="488">
        <f>D76-C76</f>
        <v>17006557</v>
      </c>
      <c r="F76" s="489">
        <f>IF(E76=0,0,E76/C76)</f>
        <v>5.3374490708273464E-2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673</v>
      </c>
      <c r="C77" s="453">
        <f>IF(C73=0,0,C76/C73)</f>
        <v>0.60369532398992753</v>
      </c>
      <c r="D77" s="453">
        <f>IF(LN_IB32=0,0,LN_IB34/LN_IB32)</f>
        <v>0.5980855403113704</v>
      </c>
      <c r="E77" s="493">
        <f>D77-C77</f>
        <v>-5.6097836785571342E-3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674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675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640</v>
      </c>
      <c r="C83" s="448">
        <v>6676345</v>
      </c>
      <c r="D83" s="448">
        <v>4687832</v>
      </c>
      <c r="E83" s="448">
        <f t="shared" ref="E83:E95" si="8">D83-C83</f>
        <v>-1988513</v>
      </c>
      <c r="F83" s="449">
        <f t="shared" ref="F83:F95" si="9">IF(C83=0,0,E83/C83)</f>
        <v>-0.29784455416848588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641</v>
      </c>
      <c r="C84" s="448">
        <v>3888925</v>
      </c>
      <c r="D84" s="448">
        <v>246577</v>
      </c>
      <c r="E84" s="448">
        <f t="shared" si="8"/>
        <v>-3642348</v>
      </c>
      <c r="F84" s="449">
        <f t="shared" si="9"/>
        <v>-0.93659507447430845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642</v>
      </c>
      <c r="C85" s="453">
        <f>IF(C83=0,0,C84/C83)</f>
        <v>0.58249311561939954</v>
      </c>
      <c r="D85" s="453">
        <f>IF(LN_IC1=0,0,LN_IC2/LN_IC1)</f>
        <v>5.2599367895436525E-2</v>
      </c>
      <c r="E85" s="454">
        <f t="shared" si="8"/>
        <v>-0.52989374772396303</v>
      </c>
      <c r="F85" s="449">
        <f t="shared" si="9"/>
        <v>-0.90969958874191248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340</v>
      </c>
      <c r="D86" s="456">
        <v>167</v>
      </c>
      <c r="E86" s="456">
        <f t="shared" si="8"/>
        <v>-173</v>
      </c>
      <c r="F86" s="449">
        <f t="shared" si="9"/>
        <v>-0.50882352941176467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643</v>
      </c>
      <c r="C87" s="459">
        <v>0.98687000000000002</v>
      </c>
      <c r="D87" s="459">
        <v>1.0280499999999999</v>
      </c>
      <c r="E87" s="460">
        <f t="shared" si="8"/>
        <v>4.1179999999999883E-2</v>
      </c>
      <c r="F87" s="449">
        <f t="shared" si="9"/>
        <v>4.1727887158389536E-2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644</v>
      </c>
      <c r="C88" s="463">
        <f>C86*C87</f>
        <v>335.53579999999999</v>
      </c>
      <c r="D88" s="463">
        <f>LN_IC4*LN_IC5</f>
        <v>171.68434999999999</v>
      </c>
      <c r="E88" s="463">
        <f t="shared" si="8"/>
        <v>-163.85145</v>
      </c>
      <c r="F88" s="449">
        <f t="shared" si="9"/>
        <v>-0.48832777307220271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645</v>
      </c>
      <c r="C89" s="465">
        <f>IF(C88=0,0,C84/C88)</f>
        <v>11590.193952478394</v>
      </c>
      <c r="D89" s="465">
        <f>IF(LN_IC6=0,0,LN_IC2/LN_IC6)</f>
        <v>1436.2229288808212</v>
      </c>
      <c r="E89" s="465">
        <f t="shared" si="8"/>
        <v>-10153.971023597573</v>
      </c>
      <c r="F89" s="449">
        <f t="shared" si="9"/>
        <v>-0.87608292537902643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676</v>
      </c>
      <c r="C90" s="465">
        <f>C48-C89</f>
        <v>1857.3848700860144</v>
      </c>
      <c r="D90" s="465">
        <f>LN_IB7-LN_IC7</f>
        <v>11694.70636249479</v>
      </c>
      <c r="E90" s="465">
        <f t="shared" si="8"/>
        <v>9837.3214924087752</v>
      </c>
      <c r="F90" s="449">
        <f t="shared" si="9"/>
        <v>5.2963290758114203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677</v>
      </c>
      <c r="C91" s="465">
        <f>C21-C89</f>
        <v>-3537.2379300564598</v>
      </c>
      <c r="D91" s="465">
        <f>LN_IA7-LN_IC7</f>
        <v>6854.3957033441384</v>
      </c>
      <c r="E91" s="465">
        <f t="shared" si="8"/>
        <v>10391.633633400597</v>
      </c>
      <c r="F91" s="449">
        <f t="shared" si="9"/>
        <v>-2.9377819187963787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662</v>
      </c>
      <c r="C92" s="441">
        <f>C91*C88</f>
        <v>-1186869.9586518384</v>
      </c>
      <c r="D92" s="441">
        <f>LN_IC9*LN_IC6</f>
        <v>1176792.4709714311</v>
      </c>
      <c r="E92" s="441">
        <f t="shared" si="8"/>
        <v>2363662.4296232695</v>
      </c>
      <c r="F92" s="449">
        <f t="shared" si="9"/>
        <v>-1.9915091896909631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1324</v>
      </c>
      <c r="D93" s="456">
        <v>515</v>
      </c>
      <c r="E93" s="456">
        <f t="shared" si="8"/>
        <v>-809</v>
      </c>
      <c r="F93" s="449">
        <f t="shared" si="9"/>
        <v>-0.61102719033232633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646</v>
      </c>
      <c r="C94" s="499">
        <f>IF(C93=0,0,C84/C93)</f>
        <v>2937.2545317220543</v>
      </c>
      <c r="D94" s="499">
        <f>IF(LN_IC11=0,0,LN_IC2/LN_IC11)</f>
        <v>478.7902912621359</v>
      </c>
      <c r="E94" s="499">
        <f t="shared" si="8"/>
        <v>-2458.4642404599185</v>
      </c>
      <c r="F94" s="449">
        <f t="shared" si="9"/>
        <v>-0.83699393903686292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647</v>
      </c>
      <c r="C95" s="466">
        <f>IF(C86=0,0,C93/C86)</f>
        <v>3.8941176470588235</v>
      </c>
      <c r="D95" s="466">
        <f>IF(LN_IC4=0,0,LN_IC11/LN_IC4)</f>
        <v>3.0838323353293413</v>
      </c>
      <c r="E95" s="466">
        <f t="shared" si="8"/>
        <v>-0.81028531172948215</v>
      </c>
      <c r="F95" s="449">
        <f t="shared" si="9"/>
        <v>-0.20807930965862834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678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649</v>
      </c>
      <c r="C98" s="448">
        <v>27139820</v>
      </c>
      <c r="D98" s="448">
        <v>26018038</v>
      </c>
      <c r="E98" s="448">
        <f t="shared" ref="E98:E106" si="10">D98-C98</f>
        <v>-1121782</v>
      </c>
      <c r="F98" s="449">
        <f t="shared" ref="F98:F106" si="11">IF(C98=0,0,E98/C98)</f>
        <v>-4.1333435520206102E-2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650</v>
      </c>
      <c r="C99" s="448">
        <v>593497</v>
      </c>
      <c r="D99" s="448">
        <v>1714362</v>
      </c>
      <c r="E99" s="448">
        <f t="shared" si="10"/>
        <v>1120865</v>
      </c>
      <c r="F99" s="449">
        <f t="shared" si="11"/>
        <v>1.8885773643337709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651</v>
      </c>
      <c r="C100" s="453">
        <f>IF(C98=0,0,C99/C98)</f>
        <v>2.1868125875558496E-2</v>
      </c>
      <c r="D100" s="453">
        <f>IF(LN_IC14=0,0,LN_IC15/LN_IC14)</f>
        <v>6.5891286652744532E-2</v>
      </c>
      <c r="E100" s="454">
        <f t="shared" si="10"/>
        <v>4.4023160777186036E-2</v>
      </c>
      <c r="F100" s="449">
        <f t="shared" si="11"/>
        <v>2.0131199640838777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652</v>
      </c>
      <c r="C101" s="453">
        <f>IF(C83=0,0,C98/C83)</f>
        <v>4.0650715324028344</v>
      </c>
      <c r="D101" s="453">
        <f>IF(LN_IC1=0,0,LN_IC14/LN_IC1)</f>
        <v>5.5501216767153769</v>
      </c>
      <c r="E101" s="454">
        <f t="shared" si="10"/>
        <v>1.4850501443125426</v>
      </c>
      <c r="F101" s="449">
        <f t="shared" si="11"/>
        <v>0.36531956017874551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653</v>
      </c>
      <c r="C102" s="463">
        <f>C101*C86</f>
        <v>1382.1243210169637</v>
      </c>
      <c r="D102" s="463">
        <f>LN_IC17*LN_IC4</f>
        <v>926.87032001146792</v>
      </c>
      <c r="E102" s="463">
        <f t="shared" si="10"/>
        <v>-455.25400100549575</v>
      </c>
      <c r="F102" s="449">
        <f t="shared" si="11"/>
        <v>-0.32938715720632206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654</v>
      </c>
      <c r="C103" s="465">
        <f>IF(C102=0,0,C99/C102)</f>
        <v>429.40927308428115</v>
      </c>
      <c r="D103" s="465">
        <f>IF(LN_IC18=0,0,LN_IC15/LN_IC18)</f>
        <v>1849.6244436641241</v>
      </c>
      <c r="E103" s="465">
        <f t="shared" si="10"/>
        <v>1420.2151705798428</v>
      </c>
      <c r="F103" s="449">
        <f t="shared" si="11"/>
        <v>3.3073695879434211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679</v>
      </c>
      <c r="C104" s="465">
        <f>C61-C103</f>
        <v>8757.6189862166593</v>
      </c>
      <c r="D104" s="465">
        <f>LN_IB18-LN_IC19</f>
        <v>8552.6158893418942</v>
      </c>
      <c r="E104" s="465">
        <f t="shared" si="10"/>
        <v>-205.00309687476511</v>
      </c>
      <c r="F104" s="449">
        <f t="shared" si="11"/>
        <v>-2.3408542572748714E-2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680</v>
      </c>
      <c r="C105" s="465">
        <f>C32-C103</f>
        <v>6709.3278506765409</v>
      </c>
      <c r="D105" s="465">
        <f>LN_IA16-LN_IC19</f>
        <v>6500.8414760930409</v>
      </c>
      <c r="E105" s="465">
        <f t="shared" si="10"/>
        <v>-208.48637458350004</v>
      </c>
      <c r="F105" s="449">
        <f t="shared" si="11"/>
        <v>-3.1074107455112233E-2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665</v>
      </c>
      <c r="C106" s="448">
        <f>C105*C102</f>
        <v>9273125.2000965178</v>
      </c>
      <c r="D106" s="448">
        <f>LN_IC21*LN_IC18</f>
        <v>6025437.0192901799</v>
      </c>
      <c r="E106" s="448">
        <f t="shared" si="10"/>
        <v>-3247688.1808063379</v>
      </c>
      <c r="F106" s="449">
        <f t="shared" si="11"/>
        <v>-0.35022585274407109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681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656</v>
      </c>
      <c r="C109" s="448">
        <f>C83+C98</f>
        <v>33816165</v>
      </c>
      <c r="D109" s="448">
        <f>LN_IC1+LN_IC14</f>
        <v>30705870</v>
      </c>
      <c r="E109" s="448">
        <f>D109-C109</f>
        <v>-3110295</v>
      </c>
      <c r="F109" s="449">
        <f>IF(C109=0,0,E109/C109)</f>
        <v>-9.1976573925517571E-2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657</v>
      </c>
      <c r="C110" s="448">
        <f>C84+C99</f>
        <v>4482422</v>
      </c>
      <c r="D110" s="448">
        <f>LN_IC2+LN_IC15</f>
        <v>1960939</v>
      </c>
      <c r="E110" s="448">
        <f>D110-C110</f>
        <v>-2521483</v>
      </c>
      <c r="F110" s="449">
        <f>IF(C110=0,0,E110/C110)</f>
        <v>-0.56252691067463079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658</v>
      </c>
      <c r="C111" s="448">
        <f>C109-C110</f>
        <v>29333743</v>
      </c>
      <c r="D111" s="448">
        <f>LN_IC23-LN_IC24</f>
        <v>28744931</v>
      </c>
      <c r="E111" s="448">
        <f>D111-C111</f>
        <v>-588812</v>
      </c>
      <c r="F111" s="449">
        <f>IF(C111=0,0,E111/C111)</f>
        <v>-2.0072856027953882E-2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667</v>
      </c>
      <c r="C113" s="448">
        <f>C92+C106</f>
        <v>8086255.241444679</v>
      </c>
      <c r="D113" s="448">
        <f>LN_IC10+LN_IC22</f>
        <v>7202229.4902616106</v>
      </c>
      <c r="E113" s="448">
        <f>D113-C113</f>
        <v>-884025.75118306838</v>
      </c>
      <c r="F113" s="449">
        <f>IF(C113=0,0,E113/C113)</f>
        <v>-0.10932449258491742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682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683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640</v>
      </c>
      <c r="C118" s="448">
        <v>11003309</v>
      </c>
      <c r="D118" s="448">
        <v>12504838</v>
      </c>
      <c r="E118" s="448">
        <f t="shared" ref="E118:E130" si="12">D118-C118</f>
        <v>1501529</v>
      </c>
      <c r="F118" s="449">
        <f t="shared" ref="F118:F130" si="13">IF(C118=0,0,E118/C118)</f>
        <v>0.13646158623737642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641</v>
      </c>
      <c r="C119" s="448">
        <v>2509474</v>
      </c>
      <c r="D119" s="448">
        <v>3773460</v>
      </c>
      <c r="E119" s="448">
        <f t="shared" si="12"/>
        <v>1263986</v>
      </c>
      <c r="F119" s="449">
        <f t="shared" si="13"/>
        <v>0.50368563292546564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642</v>
      </c>
      <c r="C120" s="453">
        <f>IF(C118=0,0,C119/C118)</f>
        <v>0.22806539378290658</v>
      </c>
      <c r="D120" s="453">
        <f>IF(LN_ID1=0,0,LN_1D2/LN_ID1)</f>
        <v>0.30176000680696541</v>
      </c>
      <c r="E120" s="454">
        <f t="shared" si="12"/>
        <v>7.369461302405883E-2</v>
      </c>
      <c r="F120" s="449">
        <f t="shared" si="13"/>
        <v>0.32312930866753103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370</v>
      </c>
      <c r="D121" s="456">
        <v>416</v>
      </c>
      <c r="E121" s="456">
        <f t="shared" si="12"/>
        <v>46</v>
      </c>
      <c r="F121" s="449">
        <f t="shared" si="13"/>
        <v>0.12432432432432433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643</v>
      </c>
      <c r="C122" s="459">
        <v>0.92637999999999998</v>
      </c>
      <c r="D122" s="459">
        <v>0.99914999999999998</v>
      </c>
      <c r="E122" s="460">
        <f t="shared" si="12"/>
        <v>7.2770000000000001E-2</v>
      </c>
      <c r="F122" s="449">
        <f t="shared" si="13"/>
        <v>7.85530775707593E-2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644</v>
      </c>
      <c r="C123" s="463">
        <f>C121*C122</f>
        <v>342.76060000000001</v>
      </c>
      <c r="D123" s="463">
        <f>LN_ID4*LN_ID5</f>
        <v>415.64639999999997</v>
      </c>
      <c r="E123" s="463">
        <f t="shared" si="12"/>
        <v>72.885799999999961</v>
      </c>
      <c r="F123" s="449">
        <f t="shared" si="13"/>
        <v>0.21264346018766439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645</v>
      </c>
      <c r="C124" s="465">
        <f>IF(C123=0,0,C119/C123)</f>
        <v>7321.3607398283229</v>
      </c>
      <c r="D124" s="465">
        <f>IF(LN_ID6=0,0,LN_1D2/LN_ID6)</f>
        <v>9078.5340616447065</v>
      </c>
      <c r="E124" s="465">
        <f t="shared" si="12"/>
        <v>1757.1733218163836</v>
      </c>
      <c r="F124" s="449">
        <f t="shared" si="13"/>
        <v>0.24000638464067639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684</v>
      </c>
      <c r="C125" s="465">
        <f>C48-C124</f>
        <v>6126.2180827360853</v>
      </c>
      <c r="D125" s="465">
        <f>LN_IB7-LN_ID7</f>
        <v>4052.3952297309042</v>
      </c>
      <c r="E125" s="465">
        <f t="shared" si="12"/>
        <v>-2073.8228530051811</v>
      </c>
      <c r="F125" s="449">
        <f t="shared" si="13"/>
        <v>-0.33851600204199267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685</v>
      </c>
      <c r="C126" s="465">
        <f>C21-C124</f>
        <v>731.59528259361105</v>
      </c>
      <c r="D126" s="465">
        <f>LN_IA7-LN_ID7</f>
        <v>-787.91542941974694</v>
      </c>
      <c r="E126" s="465">
        <f t="shared" si="12"/>
        <v>-1519.510712013358</v>
      </c>
      <c r="F126" s="449">
        <f t="shared" si="13"/>
        <v>-2.0769826544349397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662</v>
      </c>
      <c r="C127" s="479">
        <f>C126*C123</f>
        <v>250762.03801895567</v>
      </c>
      <c r="D127" s="479">
        <f>LN_ID9*LN_ID6</f>
        <v>-327494.21174277191</v>
      </c>
      <c r="E127" s="479">
        <f t="shared" si="12"/>
        <v>-578256.24976172764</v>
      </c>
      <c r="F127" s="449">
        <f t="shared" si="13"/>
        <v>-2.3059959726360812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1381</v>
      </c>
      <c r="D128" s="456">
        <v>1607</v>
      </c>
      <c r="E128" s="456">
        <f t="shared" si="12"/>
        <v>226</v>
      </c>
      <c r="F128" s="449">
        <f t="shared" si="13"/>
        <v>0.16364952932657495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646</v>
      </c>
      <c r="C129" s="465">
        <f>IF(C128=0,0,C119/C128)</f>
        <v>1817.1426502534396</v>
      </c>
      <c r="D129" s="465">
        <f>IF(LN_ID11=0,0,LN_1D2/LN_ID11)</f>
        <v>2348.1393901680149</v>
      </c>
      <c r="E129" s="465">
        <f t="shared" si="12"/>
        <v>530.9967399145753</v>
      </c>
      <c r="F129" s="449">
        <f t="shared" si="13"/>
        <v>0.29221522032984937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647</v>
      </c>
      <c r="C130" s="466">
        <f>IF(C121=0,0,C128/C121)</f>
        <v>3.7324324324324323</v>
      </c>
      <c r="D130" s="466">
        <f>IF(LN_ID4=0,0,LN_ID11/LN_ID4)</f>
        <v>3.8629807692307692</v>
      </c>
      <c r="E130" s="466">
        <f t="shared" si="12"/>
        <v>0.13054833679833688</v>
      </c>
      <c r="F130" s="449">
        <f t="shared" si="13"/>
        <v>3.4976744833732545E-2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686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649</v>
      </c>
      <c r="C133" s="448">
        <v>23648312</v>
      </c>
      <c r="D133" s="448">
        <v>28889349</v>
      </c>
      <c r="E133" s="448">
        <f t="shared" ref="E133:E141" si="14">D133-C133</f>
        <v>5241037</v>
      </c>
      <c r="F133" s="449">
        <f t="shared" ref="F133:F141" si="15">IF(C133=0,0,E133/C133)</f>
        <v>0.22162414805758651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650</v>
      </c>
      <c r="C134" s="448">
        <v>4213126</v>
      </c>
      <c r="D134" s="448">
        <v>4681630</v>
      </c>
      <c r="E134" s="448">
        <f t="shared" si="14"/>
        <v>468504</v>
      </c>
      <c r="F134" s="449">
        <f t="shared" si="15"/>
        <v>0.11120104169683033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651</v>
      </c>
      <c r="C135" s="453">
        <f>IF(C133=0,0,C134/C133)</f>
        <v>0.17815757843519656</v>
      </c>
      <c r="D135" s="453">
        <f>IF(LN_ID14=0,0,LN_ID15/LN_ID14)</f>
        <v>0.16205384205784631</v>
      </c>
      <c r="E135" s="454">
        <f t="shared" si="14"/>
        <v>-1.6103736377350242E-2</v>
      </c>
      <c r="F135" s="449">
        <f t="shared" si="15"/>
        <v>-9.0390408978352002E-2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652</v>
      </c>
      <c r="C136" s="453">
        <f>IF(C118=0,0,C133/C118)</f>
        <v>2.1492000270100569</v>
      </c>
      <c r="D136" s="453">
        <f>IF(LN_ID1=0,0,LN_ID14/LN_ID1)</f>
        <v>2.3102537593849677</v>
      </c>
      <c r="E136" s="454">
        <f t="shared" si="14"/>
        <v>0.16105373237491083</v>
      </c>
      <c r="F136" s="449">
        <f t="shared" si="15"/>
        <v>7.4936595175353213E-2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653</v>
      </c>
      <c r="C137" s="463">
        <f>C136*C121</f>
        <v>795.204009993721</v>
      </c>
      <c r="D137" s="463">
        <f>LN_ID17*LN_ID4</f>
        <v>961.06556390414653</v>
      </c>
      <c r="E137" s="463">
        <f t="shared" si="14"/>
        <v>165.86155391042553</v>
      </c>
      <c r="F137" s="449">
        <f t="shared" si="15"/>
        <v>0.20857736106201877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654</v>
      </c>
      <c r="C138" s="465">
        <f>IF(C137=0,0,C134/C137)</f>
        <v>5298.1699627410926</v>
      </c>
      <c r="D138" s="465">
        <f>IF(LN_ID18=0,0,LN_ID15/LN_ID18)</f>
        <v>4871.2909668532566</v>
      </c>
      <c r="E138" s="465">
        <f t="shared" si="14"/>
        <v>-426.87899588783603</v>
      </c>
      <c r="F138" s="449">
        <f t="shared" si="15"/>
        <v>-8.0571027145188712E-2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687</v>
      </c>
      <c r="C139" s="465">
        <f>C61-C138</f>
        <v>3888.8582965598471</v>
      </c>
      <c r="D139" s="465">
        <f>LN_IB18-LN_ID19</f>
        <v>5530.9493661527622</v>
      </c>
      <c r="E139" s="465">
        <f t="shared" si="14"/>
        <v>1642.0910695929151</v>
      </c>
      <c r="F139" s="449">
        <f t="shared" si="15"/>
        <v>0.42225531103705627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688</v>
      </c>
      <c r="C140" s="465">
        <f>C32-C138</f>
        <v>1840.5671610197296</v>
      </c>
      <c r="D140" s="465">
        <f>LN_IA16-LN_ID19</f>
        <v>3479.1749529039089</v>
      </c>
      <c r="E140" s="465">
        <f t="shared" si="14"/>
        <v>1638.6077918841793</v>
      </c>
      <c r="F140" s="449">
        <f t="shared" si="15"/>
        <v>0.89027329542071221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665</v>
      </c>
      <c r="C141" s="441">
        <f>C140*C137</f>
        <v>1463626.3871056477</v>
      </c>
      <c r="D141" s="441">
        <f>LN_ID21*LN_ID18</f>
        <v>3343715.2380337776</v>
      </c>
      <c r="E141" s="441">
        <f t="shared" si="14"/>
        <v>1880088.8509281299</v>
      </c>
      <c r="F141" s="449">
        <f t="shared" si="15"/>
        <v>1.2845415110655702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689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656</v>
      </c>
      <c r="C144" s="448">
        <f>C118+C133</f>
        <v>34651621</v>
      </c>
      <c r="D144" s="448">
        <f>LN_ID1+LN_ID14</f>
        <v>41394187</v>
      </c>
      <c r="E144" s="448">
        <f>D144-C144</f>
        <v>6742566</v>
      </c>
      <c r="F144" s="449">
        <f>IF(C144=0,0,E144/C144)</f>
        <v>0.19458154641596709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657</v>
      </c>
      <c r="C145" s="448">
        <f>C119+C134</f>
        <v>6722600</v>
      </c>
      <c r="D145" s="448">
        <f>LN_1D2+LN_ID15</f>
        <v>8455090</v>
      </c>
      <c r="E145" s="448">
        <f>D145-C145</f>
        <v>1732490</v>
      </c>
      <c r="F145" s="449">
        <f>IF(C145=0,0,E145/C145)</f>
        <v>0.2577113021747538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658</v>
      </c>
      <c r="C146" s="448">
        <f>C144-C145</f>
        <v>27929021</v>
      </c>
      <c r="D146" s="448">
        <f>LN_ID23-LN_ID24</f>
        <v>32939097</v>
      </c>
      <c r="E146" s="448">
        <f>D146-C146</f>
        <v>5010076</v>
      </c>
      <c r="F146" s="449">
        <f>IF(C146=0,0,E146/C146)</f>
        <v>0.17938602287563177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667</v>
      </c>
      <c r="C148" s="448">
        <f>C127+C141</f>
        <v>1714388.4251246033</v>
      </c>
      <c r="D148" s="448">
        <f>LN_ID10+LN_ID22</f>
        <v>3016221.0262910058</v>
      </c>
      <c r="E148" s="448">
        <f>D148-C148</f>
        <v>1301832.6011664025</v>
      </c>
      <c r="F148" s="503">
        <f>IF(C148=0,0,E148/C148)</f>
        <v>0.75935685407569409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690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691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640</v>
      </c>
      <c r="C153" s="448">
        <v>12500914</v>
      </c>
      <c r="D153" s="448">
        <v>13188120</v>
      </c>
      <c r="E153" s="448">
        <f t="shared" ref="E153:E165" si="16">D153-C153</f>
        <v>687206</v>
      </c>
      <c r="F153" s="449">
        <f t="shared" ref="F153:F165" si="17">IF(C153=0,0,E153/C153)</f>
        <v>5.4972460413694552E-2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641</v>
      </c>
      <c r="C154" s="448">
        <v>2600396</v>
      </c>
      <c r="D154" s="448">
        <v>1588092</v>
      </c>
      <c r="E154" s="448">
        <f t="shared" si="16"/>
        <v>-1012304</v>
      </c>
      <c r="F154" s="449">
        <f t="shared" si="17"/>
        <v>-0.38928840068974108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642</v>
      </c>
      <c r="C155" s="453">
        <f>IF(C153=0,0,C154/C153)</f>
        <v>0.20801646983572561</v>
      </c>
      <c r="D155" s="453">
        <f>IF(LN_IE1=0,0,LN_IE2/LN_IE1)</f>
        <v>0.120418376538885</v>
      </c>
      <c r="E155" s="454">
        <f t="shared" si="16"/>
        <v>-8.759809329684061E-2</v>
      </c>
      <c r="F155" s="449">
        <f t="shared" si="17"/>
        <v>-0.42111133491505948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277</v>
      </c>
      <c r="D156" s="506">
        <v>381</v>
      </c>
      <c r="E156" s="506">
        <f t="shared" si="16"/>
        <v>104</v>
      </c>
      <c r="F156" s="449">
        <f t="shared" si="17"/>
        <v>0.37545126353790614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643</v>
      </c>
      <c r="C157" s="459">
        <v>1.1542300000000001</v>
      </c>
      <c r="D157" s="459">
        <v>1.1597200000000001</v>
      </c>
      <c r="E157" s="460">
        <f t="shared" si="16"/>
        <v>5.4899999999999949E-3</v>
      </c>
      <c r="F157" s="449">
        <f t="shared" si="17"/>
        <v>4.7564176983790011E-3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644</v>
      </c>
      <c r="C158" s="463">
        <f>C156*C157</f>
        <v>319.72171000000003</v>
      </c>
      <c r="D158" s="463">
        <f>LN_IE4*LN_IE5</f>
        <v>441.85332000000005</v>
      </c>
      <c r="E158" s="463">
        <f t="shared" si="16"/>
        <v>122.13161000000002</v>
      </c>
      <c r="F158" s="449">
        <f t="shared" si="17"/>
        <v>0.38199348427105562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645</v>
      </c>
      <c r="C159" s="465">
        <f>IF(C158=0,0,C154/C158)</f>
        <v>8133.3106844699405</v>
      </c>
      <c r="D159" s="465">
        <f>IF(LN_IE6=0,0,LN_IE2/LN_IE6)</f>
        <v>3594.1610668445351</v>
      </c>
      <c r="E159" s="465">
        <f t="shared" si="16"/>
        <v>-4539.1496176254059</v>
      </c>
      <c r="F159" s="449">
        <f t="shared" si="17"/>
        <v>-0.55809372022301262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692</v>
      </c>
      <c r="C160" s="465">
        <f>C48-C159</f>
        <v>5314.2681380944678</v>
      </c>
      <c r="D160" s="465">
        <f>LN_IB7-LN_IE7</f>
        <v>9536.7682245310752</v>
      </c>
      <c r="E160" s="465">
        <f t="shared" si="16"/>
        <v>4222.5000864366075</v>
      </c>
      <c r="F160" s="449">
        <f t="shared" si="17"/>
        <v>0.7945590957611457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693</v>
      </c>
      <c r="C161" s="465">
        <f>C21-C159</f>
        <v>-80.354662048006503</v>
      </c>
      <c r="D161" s="465">
        <f>LN_IA7-LN_IE7</f>
        <v>4696.4575653804241</v>
      </c>
      <c r="E161" s="465">
        <f t="shared" si="16"/>
        <v>4776.8122274284306</v>
      </c>
      <c r="F161" s="449">
        <f t="shared" si="17"/>
        <v>-59.446609638835973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662</v>
      </c>
      <c r="C162" s="479">
        <f>C161*C158</f>
        <v>-25691.129956460743</v>
      </c>
      <c r="D162" s="479">
        <f>LN_IE9*LN_IE6</f>
        <v>2075145.3675024577</v>
      </c>
      <c r="E162" s="479">
        <f t="shared" si="16"/>
        <v>2100836.4974589185</v>
      </c>
      <c r="F162" s="449">
        <f t="shared" si="17"/>
        <v>-81.772833698605197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1326</v>
      </c>
      <c r="D163" s="456">
        <v>1599</v>
      </c>
      <c r="E163" s="506">
        <f t="shared" si="16"/>
        <v>273</v>
      </c>
      <c r="F163" s="449">
        <f t="shared" si="17"/>
        <v>0.20588235294117646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646</v>
      </c>
      <c r="C164" s="465">
        <f>IF(C163=0,0,C154/C163)</f>
        <v>1961.0829562594267</v>
      </c>
      <c r="D164" s="465">
        <f>IF(LN_IE11=0,0,LN_IE2/LN_IE11)</f>
        <v>993.17823639774861</v>
      </c>
      <c r="E164" s="465">
        <f t="shared" si="16"/>
        <v>-967.90471986167813</v>
      </c>
      <c r="F164" s="449">
        <f t="shared" si="17"/>
        <v>-0.49355623471832183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647</v>
      </c>
      <c r="C165" s="466">
        <f>IF(C156=0,0,C163/C156)</f>
        <v>4.7870036101083029</v>
      </c>
      <c r="D165" s="466">
        <f>IF(LN_IE4=0,0,LN_IE11/LN_IE4)</f>
        <v>4.1968503937007871</v>
      </c>
      <c r="E165" s="466">
        <f t="shared" si="16"/>
        <v>-0.59015321640751583</v>
      </c>
      <c r="F165" s="449">
        <f t="shared" si="17"/>
        <v>-0.12328238381966961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694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649</v>
      </c>
      <c r="C168" s="511">
        <v>12323262</v>
      </c>
      <c r="D168" s="511">
        <v>14626542</v>
      </c>
      <c r="E168" s="511">
        <f t="shared" ref="E168:E176" si="18">D168-C168</f>
        <v>2303280</v>
      </c>
      <c r="F168" s="449">
        <f t="shared" ref="F168:F176" si="19">IF(C168=0,0,E168/C168)</f>
        <v>0.18690505809257321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650</v>
      </c>
      <c r="C169" s="511">
        <v>2614406</v>
      </c>
      <c r="D169" s="511">
        <v>2079011</v>
      </c>
      <c r="E169" s="511">
        <f t="shared" si="18"/>
        <v>-535395</v>
      </c>
      <c r="F169" s="449">
        <f t="shared" si="19"/>
        <v>-0.2047864792231964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651</v>
      </c>
      <c r="C170" s="453">
        <f>IF(C168=0,0,C169/C168)</f>
        <v>0.21215210712877808</v>
      </c>
      <c r="D170" s="453">
        <f>IF(LN_IE14=0,0,LN_IE15/LN_IE14)</f>
        <v>0.14213961167308034</v>
      </c>
      <c r="E170" s="454">
        <f t="shared" si="18"/>
        <v>-7.0012495455697737E-2</v>
      </c>
      <c r="F170" s="449">
        <f t="shared" si="19"/>
        <v>-0.33001084176458156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652</v>
      </c>
      <c r="C171" s="453">
        <f>IF(C153=0,0,C168/C153)</f>
        <v>0.98578887911715896</v>
      </c>
      <c r="D171" s="453">
        <f>IF(LN_IE1=0,0,LN_IE14/LN_IE1)</f>
        <v>1.1090695262099526</v>
      </c>
      <c r="E171" s="454">
        <f t="shared" si="18"/>
        <v>0.12328064709279363</v>
      </c>
      <c r="F171" s="449">
        <f t="shared" si="19"/>
        <v>0.12505785945079825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653</v>
      </c>
      <c r="C172" s="463">
        <f>C171*C156</f>
        <v>273.06351951545304</v>
      </c>
      <c r="D172" s="463">
        <f>LN_IE17*LN_IE4</f>
        <v>422.55548948599193</v>
      </c>
      <c r="E172" s="463">
        <f t="shared" si="18"/>
        <v>149.49196997053889</v>
      </c>
      <c r="F172" s="449">
        <f t="shared" si="19"/>
        <v>0.54746225433485241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654</v>
      </c>
      <c r="C173" s="465">
        <f>IF(C172=0,0,C169/C172)</f>
        <v>9574.3510690817384</v>
      </c>
      <c r="D173" s="465">
        <f>IF(LN_IE18=0,0,LN_IE15/LN_IE18)</f>
        <v>4920.089909443529</v>
      </c>
      <c r="E173" s="465">
        <f t="shared" si="18"/>
        <v>-4654.2611596382094</v>
      </c>
      <c r="F173" s="449">
        <f t="shared" si="19"/>
        <v>-0.48611766228920961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695</v>
      </c>
      <c r="C174" s="465">
        <f>C61-C173</f>
        <v>-387.32280978079871</v>
      </c>
      <c r="D174" s="465">
        <f>LN_IB18-LN_IE19</f>
        <v>5482.1504235624898</v>
      </c>
      <c r="E174" s="465">
        <f t="shared" si="18"/>
        <v>5869.4732333432885</v>
      </c>
      <c r="F174" s="449">
        <f t="shared" si="19"/>
        <v>-15.153957074371776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696</v>
      </c>
      <c r="C175" s="465">
        <f>C32-C173</f>
        <v>-2435.6139453209162</v>
      </c>
      <c r="D175" s="465">
        <f>LN_IA16-LN_IE19</f>
        <v>3430.3760103136365</v>
      </c>
      <c r="E175" s="465">
        <f t="shared" si="18"/>
        <v>5865.9899556345526</v>
      </c>
      <c r="F175" s="449">
        <f t="shared" si="19"/>
        <v>-2.4084235380996106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665</v>
      </c>
      <c r="C176" s="441">
        <f>C175*C172</f>
        <v>-665077.31609024759</v>
      </c>
      <c r="D176" s="441">
        <f>LN_IE21*LN_IE18</f>
        <v>1449524.2141590829</v>
      </c>
      <c r="E176" s="441">
        <f t="shared" si="18"/>
        <v>2114601.5302493302</v>
      </c>
      <c r="F176" s="449">
        <f t="shared" si="19"/>
        <v>-3.1794822633258923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697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656</v>
      </c>
      <c r="C179" s="448">
        <f>C153+C168</f>
        <v>24824176</v>
      </c>
      <c r="D179" s="448">
        <f>LN_IE1+LN_IE14</f>
        <v>27814662</v>
      </c>
      <c r="E179" s="448">
        <f>D179-C179</f>
        <v>2990486</v>
      </c>
      <c r="F179" s="449">
        <f>IF(C179=0,0,E179/C179)</f>
        <v>0.12046667732294518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657</v>
      </c>
      <c r="C180" s="448">
        <f>C154+C169</f>
        <v>5214802</v>
      </c>
      <c r="D180" s="448">
        <f>LN_IE15+LN_IE2</f>
        <v>3667103</v>
      </c>
      <c r="E180" s="448">
        <f>D180-C180</f>
        <v>-1547699</v>
      </c>
      <c r="F180" s="449">
        <f>IF(C180=0,0,E180/C180)</f>
        <v>-0.29678960006535243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658</v>
      </c>
      <c r="C181" s="448">
        <f>C179-C180</f>
        <v>19609374</v>
      </c>
      <c r="D181" s="448">
        <f>LN_IE23-LN_IE24</f>
        <v>24147559</v>
      </c>
      <c r="E181" s="448">
        <f>D181-C181</f>
        <v>4538185</v>
      </c>
      <c r="F181" s="449">
        <f>IF(C181=0,0,E181/C181)</f>
        <v>0.23142936638364897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698</v>
      </c>
      <c r="C183" s="448">
        <f>C162+C176</f>
        <v>-690768.44604670838</v>
      </c>
      <c r="D183" s="448">
        <f>LN_IE10+LN_IE22</f>
        <v>3524669.5816615405</v>
      </c>
      <c r="E183" s="441">
        <f>D183-C183</f>
        <v>4215438.0277082492</v>
      </c>
      <c r="F183" s="449">
        <f>IF(C183=0,0,E183/C183)</f>
        <v>-6.1025341441598071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699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700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640</v>
      </c>
      <c r="C188" s="448">
        <f>C118+C153</f>
        <v>23504223</v>
      </c>
      <c r="D188" s="448">
        <f>LN_ID1+LN_IE1</f>
        <v>25692958</v>
      </c>
      <c r="E188" s="448">
        <f t="shared" ref="E188:E200" si="20">D188-C188</f>
        <v>2188735</v>
      </c>
      <c r="F188" s="449">
        <f t="shared" ref="F188:F200" si="21">IF(C188=0,0,E188/C188)</f>
        <v>9.3120925546017835E-2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641</v>
      </c>
      <c r="C189" s="448">
        <f>C119+C154</f>
        <v>5109870</v>
      </c>
      <c r="D189" s="448">
        <f>LN_1D2+LN_IE2</f>
        <v>5361552</v>
      </c>
      <c r="E189" s="448">
        <f t="shared" si="20"/>
        <v>251682</v>
      </c>
      <c r="F189" s="449">
        <f t="shared" si="21"/>
        <v>4.9254090612872732E-2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642</v>
      </c>
      <c r="C190" s="453">
        <f>IF(C188=0,0,C189/C188)</f>
        <v>0.21740220895623735</v>
      </c>
      <c r="D190" s="453">
        <f>IF(LN_IF1=0,0,LN_IF2/LN_IF1)</f>
        <v>0.2086778797521095</v>
      </c>
      <c r="E190" s="454">
        <f t="shared" si="20"/>
        <v>-8.7243292041278564E-3</v>
      </c>
      <c r="F190" s="449">
        <f t="shared" si="21"/>
        <v>-4.0129901375031786E-2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647</v>
      </c>
      <c r="D191" s="456">
        <f>LN_ID4+LN_IE4</f>
        <v>797</v>
      </c>
      <c r="E191" s="456">
        <f t="shared" si="20"/>
        <v>150</v>
      </c>
      <c r="F191" s="449">
        <f t="shared" si="21"/>
        <v>0.23183925811437403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643</v>
      </c>
      <c r="C192" s="459">
        <f>IF((C121+C156)=0,0,(C123+C158)/(C121+C156))</f>
        <v>1.0239293817619786</v>
      </c>
      <c r="D192" s="459">
        <f>IF((LN_ID4+LN_IE4)=0,0,(LN_ID6+LN_IE6)/(LN_ID4+LN_IE4))</f>
        <v>1.0759093099121706</v>
      </c>
      <c r="E192" s="460">
        <f t="shared" si="20"/>
        <v>5.1979928150192034E-2</v>
      </c>
      <c r="F192" s="449">
        <f t="shared" si="21"/>
        <v>5.0765149507424945E-2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644</v>
      </c>
      <c r="C193" s="463">
        <f>C123+C158</f>
        <v>662.4823100000001</v>
      </c>
      <c r="D193" s="463">
        <f>LN_IF4*LN_IF5</f>
        <v>857.49971999999991</v>
      </c>
      <c r="E193" s="463">
        <f t="shared" si="20"/>
        <v>195.01740999999981</v>
      </c>
      <c r="F193" s="449">
        <f t="shared" si="21"/>
        <v>0.29437376222166561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645</v>
      </c>
      <c r="C194" s="465">
        <f>IF(C193=0,0,C189/C193)</f>
        <v>7713.2172782092839</v>
      </c>
      <c r="D194" s="465">
        <f>IF(LN_IF6=0,0,LN_IF2/LN_IF6)</f>
        <v>6252.5408171561858</v>
      </c>
      <c r="E194" s="465">
        <f t="shared" si="20"/>
        <v>-1460.6764610530981</v>
      </c>
      <c r="F194" s="449">
        <f t="shared" si="21"/>
        <v>-0.18937317702428469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701</v>
      </c>
      <c r="C195" s="465">
        <f>C48-C194</f>
        <v>5734.3615443551244</v>
      </c>
      <c r="D195" s="465">
        <f>LN_IB7-LN_IF7</f>
        <v>6878.388474219425</v>
      </c>
      <c r="E195" s="465">
        <f t="shared" si="20"/>
        <v>1144.0269298643007</v>
      </c>
      <c r="F195" s="449">
        <f t="shared" si="21"/>
        <v>0.19950380195167058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702</v>
      </c>
      <c r="C196" s="465">
        <f>C21-C194</f>
        <v>339.73874421265009</v>
      </c>
      <c r="D196" s="465">
        <f>LN_IA7-LN_IF7</f>
        <v>2038.0778150687738</v>
      </c>
      <c r="E196" s="465">
        <f t="shared" si="20"/>
        <v>1698.3390708561237</v>
      </c>
      <c r="F196" s="449">
        <f t="shared" si="21"/>
        <v>4.9989561090303418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662</v>
      </c>
      <c r="C197" s="479">
        <f>C127+C162</f>
        <v>225070.90806249494</v>
      </c>
      <c r="D197" s="479">
        <f>LN_IF9*LN_IF6</f>
        <v>1747651.1557596852</v>
      </c>
      <c r="E197" s="479">
        <f t="shared" si="20"/>
        <v>1522580.2476971904</v>
      </c>
      <c r="F197" s="449">
        <f t="shared" si="21"/>
        <v>6.7648913882482713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2707</v>
      </c>
      <c r="D198" s="456">
        <f>LN_ID11+LN_IE11</f>
        <v>3206</v>
      </c>
      <c r="E198" s="456">
        <f t="shared" si="20"/>
        <v>499</v>
      </c>
      <c r="F198" s="449">
        <f t="shared" si="21"/>
        <v>0.18433690432212782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646</v>
      </c>
      <c r="C199" s="519">
        <f>IF(C198=0,0,C189/C198)</f>
        <v>1887.6505356483192</v>
      </c>
      <c r="D199" s="519">
        <f>IF(LN_IF11=0,0,LN_IF2/LN_IF11)</f>
        <v>1672.3493449781658</v>
      </c>
      <c r="E199" s="519">
        <f t="shared" si="20"/>
        <v>-215.30119067015335</v>
      </c>
      <c r="F199" s="449">
        <f t="shared" si="21"/>
        <v>-0.11405775942325443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647</v>
      </c>
      <c r="C200" s="466">
        <f>IF(C191=0,0,C198/C191)</f>
        <v>4.1839258114374038</v>
      </c>
      <c r="D200" s="466">
        <f>IF(LN_IF4=0,0,LN_IF11/LN_IF4)</f>
        <v>4.0225846925972393</v>
      </c>
      <c r="E200" s="466">
        <f t="shared" si="20"/>
        <v>-0.16134111884016455</v>
      </c>
      <c r="F200" s="449">
        <f t="shared" si="21"/>
        <v>-3.8562136641886388E-2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703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649</v>
      </c>
      <c r="C203" s="448">
        <f>C133+C168</f>
        <v>35971574</v>
      </c>
      <c r="D203" s="448">
        <f>LN_ID14+LN_IE14</f>
        <v>43515891</v>
      </c>
      <c r="E203" s="448">
        <f t="shared" ref="E203:E211" si="22">D203-C203</f>
        <v>7544317</v>
      </c>
      <c r="F203" s="449">
        <f t="shared" ref="F203:F211" si="23">IF(C203=0,0,E203/C203)</f>
        <v>0.20972996622277357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650</v>
      </c>
      <c r="C204" s="448">
        <f>C134+C169</f>
        <v>6827532</v>
      </c>
      <c r="D204" s="448">
        <f>LN_ID15+LN_IE15</f>
        <v>6760641</v>
      </c>
      <c r="E204" s="448">
        <f t="shared" si="22"/>
        <v>-66891</v>
      </c>
      <c r="F204" s="449">
        <f t="shared" si="23"/>
        <v>-9.7972444508498818E-3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651</v>
      </c>
      <c r="C205" s="453">
        <f>IF(C203=0,0,C204/C203)</f>
        <v>0.18980353764892247</v>
      </c>
      <c r="D205" s="453">
        <f>IF(LN_IF14=0,0,LN_IF15/LN_IF14)</f>
        <v>0.15536027976538502</v>
      </c>
      <c r="E205" s="454">
        <f t="shared" si="22"/>
        <v>-3.4443257883537443E-2</v>
      </c>
      <c r="F205" s="449">
        <f t="shared" si="23"/>
        <v>-0.18146794475057026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652</v>
      </c>
      <c r="C206" s="453">
        <f>IF(C188=0,0,C203/C188)</f>
        <v>1.5304302550226825</v>
      </c>
      <c r="D206" s="453">
        <f>IF(LN_IF1=0,0,LN_IF14/LN_IF1)</f>
        <v>1.6936894148194226</v>
      </c>
      <c r="E206" s="454">
        <f t="shared" si="22"/>
        <v>0.16325915979674011</v>
      </c>
      <c r="F206" s="449">
        <f t="shared" si="23"/>
        <v>0.10667533477003853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653</v>
      </c>
      <c r="C207" s="463">
        <f>C137+C172</f>
        <v>1068.267529509174</v>
      </c>
      <c r="D207" s="463">
        <f>LN_ID18+LN_IE18</f>
        <v>1383.6210533901385</v>
      </c>
      <c r="E207" s="463">
        <f t="shared" si="22"/>
        <v>315.35352388096453</v>
      </c>
      <c r="F207" s="449">
        <f t="shared" si="23"/>
        <v>0.29520088851325171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654</v>
      </c>
      <c r="C208" s="465">
        <f>IF(C207=0,0,C204/C207)</f>
        <v>6391.2192511710773</v>
      </c>
      <c r="D208" s="465">
        <f>IF(LN_IF18=0,0,LN_IF15/LN_IF18)</f>
        <v>4886.1940799723488</v>
      </c>
      <c r="E208" s="465">
        <f t="shared" si="22"/>
        <v>-1505.0251711987285</v>
      </c>
      <c r="F208" s="449">
        <f t="shared" si="23"/>
        <v>-0.23548326415542065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704</v>
      </c>
      <c r="C209" s="465">
        <f>C61-C208</f>
        <v>2795.8090081298624</v>
      </c>
      <c r="D209" s="465">
        <f>LN_IB18-LN_IF19</f>
        <v>5516.0462530336699</v>
      </c>
      <c r="E209" s="465">
        <f t="shared" si="22"/>
        <v>2720.2372449038076</v>
      </c>
      <c r="F209" s="449">
        <f t="shared" si="23"/>
        <v>0.97296962596289605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705</v>
      </c>
      <c r="C210" s="465">
        <f>C32-C208</f>
        <v>747.51787258974491</v>
      </c>
      <c r="D210" s="465">
        <f>LN_IA16-LN_IF19</f>
        <v>3464.2718397848166</v>
      </c>
      <c r="E210" s="465">
        <f t="shared" si="22"/>
        <v>2716.7539671950717</v>
      </c>
      <c r="F210" s="449">
        <f t="shared" si="23"/>
        <v>3.6343665707724009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665</v>
      </c>
      <c r="C211" s="479">
        <f>C141+C176</f>
        <v>798549.07101540011</v>
      </c>
      <c r="D211" s="441">
        <f>LN_IF21*LN_IF18</f>
        <v>4793239.4521928616</v>
      </c>
      <c r="E211" s="441">
        <f t="shared" si="22"/>
        <v>3994690.3811774617</v>
      </c>
      <c r="F211" s="449">
        <f t="shared" si="23"/>
        <v>5.0024357001605271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706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656</v>
      </c>
      <c r="C214" s="448">
        <f>C188+C203</f>
        <v>59475797</v>
      </c>
      <c r="D214" s="448">
        <f>LN_IF1+LN_IF14</f>
        <v>69208849</v>
      </c>
      <c r="E214" s="448">
        <f>D214-C214</f>
        <v>9733052</v>
      </c>
      <c r="F214" s="449">
        <f>IF(C214=0,0,E214/C214)</f>
        <v>0.1636472731924887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657</v>
      </c>
      <c r="C215" s="448">
        <f>C189+C204</f>
        <v>11937402</v>
      </c>
      <c r="D215" s="448">
        <f>LN_IF2+LN_IF15</f>
        <v>12122193</v>
      </c>
      <c r="E215" s="448">
        <f>D215-C215</f>
        <v>184791</v>
      </c>
      <c r="F215" s="449">
        <f>IF(C215=0,0,E215/C215)</f>
        <v>1.5480001427446273E-2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658</v>
      </c>
      <c r="C216" s="448">
        <f>C214-C215</f>
        <v>47538395</v>
      </c>
      <c r="D216" s="448">
        <f>LN_IF23-LN_IF24</f>
        <v>57086656</v>
      </c>
      <c r="E216" s="448">
        <f>D216-C216</f>
        <v>9548261</v>
      </c>
      <c r="F216" s="449">
        <f>IF(C216=0,0,E216/C216)</f>
        <v>0.20085366786152539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707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708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640</v>
      </c>
      <c r="C221" s="448">
        <v>330425</v>
      </c>
      <c r="D221" s="448">
        <v>423387</v>
      </c>
      <c r="E221" s="448">
        <f t="shared" ref="E221:E230" si="24">D221-C221</f>
        <v>92962</v>
      </c>
      <c r="F221" s="449">
        <f t="shared" ref="F221:F230" si="25">IF(C221=0,0,E221/C221)</f>
        <v>0.2813406975864417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641</v>
      </c>
      <c r="C222" s="448">
        <v>112174</v>
      </c>
      <c r="D222" s="448">
        <v>69245</v>
      </c>
      <c r="E222" s="448">
        <f t="shared" si="24"/>
        <v>-42929</v>
      </c>
      <c r="F222" s="449">
        <f t="shared" si="25"/>
        <v>-0.38270009093016205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642</v>
      </c>
      <c r="C223" s="453">
        <f>IF(C221=0,0,C222/C221)</f>
        <v>0.33948399788151623</v>
      </c>
      <c r="D223" s="453">
        <f>IF(LN_IG1=0,0,LN_IG2/LN_IG1)</f>
        <v>0.1635501326209827</v>
      </c>
      <c r="E223" s="454">
        <f t="shared" si="24"/>
        <v>-0.17593386526053353</v>
      </c>
      <c r="F223" s="449">
        <f t="shared" si="25"/>
        <v>-0.51823905208615006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13</v>
      </c>
      <c r="D224" s="456">
        <v>14</v>
      </c>
      <c r="E224" s="456">
        <f t="shared" si="24"/>
        <v>1</v>
      </c>
      <c r="F224" s="449">
        <f t="shared" si="25"/>
        <v>7.6923076923076927E-2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643</v>
      </c>
      <c r="C225" s="459">
        <v>0.69643999999999995</v>
      </c>
      <c r="D225" s="459">
        <v>1.0708</v>
      </c>
      <c r="E225" s="460">
        <f t="shared" si="24"/>
        <v>0.37436000000000003</v>
      </c>
      <c r="F225" s="449">
        <f t="shared" si="25"/>
        <v>0.53753374303601176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644</v>
      </c>
      <c r="C226" s="463">
        <f>C224*C225</f>
        <v>9.0537199999999984</v>
      </c>
      <c r="D226" s="463">
        <f>LN_IG3*LN_IG4</f>
        <v>14.991199999999999</v>
      </c>
      <c r="E226" s="463">
        <f t="shared" si="24"/>
        <v>5.9374800000000008</v>
      </c>
      <c r="F226" s="449">
        <f t="shared" si="25"/>
        <v>0.65580556942339741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645</v>
      </c>
      <c r="C227" s="465">
        <f>IF(C226=0,0,C222/C226)</f>
        <v>12389.8242932187</v>
      </c>
      <c r="D227" s="465">
        <f>IF(LN_IG5=0,0,LN_IG2/LN_IG5)</f>
        <v>4619.0431719942371</v>
      </c>
      <c r="E227" s="465">
        <f t="shared" si="24"/>
        <v>-7770.7811212244633</v>
      </c>
      <c r="F227" s="449">
        <f t="shared" si="25"/>
        <v>-0.62719058295908447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54</v>
      </c>
      <c r="D228" s="456">
        <v>40</v>
      </c>
      <c r="E228" s="456">
        <f t="shared" si="24"/>
        <v>-14</v>
      </c>
      <c r="F228" s="449">
        <f t="shared" si="25"/>
        <v>-0.25925925925925924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646</v>
      </c>
      <c r="C229" s="465">
        <f>IF(C228=0,0,C222/C228)</f>
        <v>2077.2962962962961</v>
      </c>
      <c r="D229" s="465">
        <f>IF(LN_IG6=0,0,LN_IG2/LN_IG6)</f>
        <v>1731.125</v>
      </c>
      <c r="E229" s="465">
        <f t="shared" si="24"/>
        <v>-346.17129629629608</v>
      </c>
      <c r="F229" s="449">
        <f t="shared" si="25"/>
        <v>-0.16664512275571872</v>
      </c>
      <c r="Q229" s="421"/>
      <c r="U229" s="462"/>
    </row>
    <row r="230" spans="1:21" ht="15.75" customHeight="1" x14ac:dyDescent="0.2">
      <c r="A230" s="451">
        <v>10</v>
      </c>
      <c r="B230" s="447" t="s">
        <v>647</v>
      </c>
      <c r="C230" s="466">
        <f>IF(C224=0,0,C228/C224)</f>
        <v>4.1538461538461542</v>
      </c>
      <c r="D230" s="466">
        <f>IF(LN_IG3=0,0,LN_IG6/LN_IG3)</f>
        <v>2.8571428571428572</v>
      </c>
      <c r="E230" s="466">
        <f t="shared" si="24"/>
        <v>-1.296703296703297</v>
      </c>
      <c r="F230" s="449">
        <f t="shared" si="25"/>
        <v>-0.31216931216931221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709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649</v>
      </c>
      <c r="C233" s="448">
        <v>438848</v>
      </c>
      <c r="D233" s="448">
        <v>598322</v>
      </c>
      <c r="E233" s="448">
        <f>D233-C233</f>
        <v>159474</v>
      </c>
      <c r="F233" s="449">
        <f>IF(C233=0,0,E233/C233)</f>
        <v>0.3633923362986729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650</v>
      </c>
      <c r="C234" s="448">
        <v>261553</v>
      </c>
      <c r="D234" s="448">
        <v>258984</v>
      </c>
      <c r="E234" s="448">
        <f>D234-C234</f>
        <v>-2569</v>
      </c>
      <c r="F234" s="449">
        <f>IF(C234=0,0,E234/C234)</f>
        <v>-9.8221010655584143E-3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710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656</v>
      </c>
      <c r="C237" s="448">
        <f>C221+C233</f>
        <v>769273</v>
      </c>
      <c r="D237" s="448">
        <f>LN_IG1+LN_IG9</f>
        <v>1021709</v>
      </c>
      <c r="E237" s="448">
        <f>D237-C237</f>
        <v>252436</v>
      </c>
      <c r="F237" s="449">
        <f>IF(C237=0,0,E237/C237)</f>
        <v>0.3281487846317237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657</v>
      </c>
      <c r="C238" s="448">
        <f>C222+C234</f>
        <v>373727</v>
      </c>
      <c r="D238" s="448">
        <f>LN_IG2+LN_IG10</f>
        <v>328229</v>
      </c>
      <c r="E238" s="448">
        <f>D238-C238</f>
        <v>-45498</v>
      </c>
      <c r="F238" s="449">
        <f>IF(C238=0,0,E238/C238)</f>
        <v>-0.12174127103473927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658</v>
      </c>
      <c r="C239" s="448">
        <f>C237-C238</f>
        <v>395546</v>
      </c>
      <c r="D239" s="448">
        <f>LN_IG13-LN_IG14</f>
        <v>693480</v>
      </c>
      <c r="E239" s="448">
        <f>D239-C239</f>
        <v>297934</v>
      </c>
      <c r="F239" s="449">
        <f>IF(C239=0,0,E239/C239)</f>
        <v>0.75322212839973102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711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712</v>
      </c>
      <c r="C243" s="448">
        <v>22586617</v>
      </c>
      <c r="D243" s="448">
        <v>19028550</v>
      </c>
      <c r="E243" s="441">
        <f>D243-C243</f>
        <v>-3558067</v>
      </c>
      <c r="F243" s="503">
        <f>IF(C243=0,0,E243/C243)</f>
        <v>-0.15752987709491864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713</v>
      </c>
      <c r="C244" s="448">
        <v>311019000</v>
      </c>
      <c r="D244" s="448">
        <v>317854000</v>
      </c>
      <c r="E244" s="441">
        <f>D244-C244</f>
        <v>6835000</v>
      </c>
      <c r="F244" s="503">
        <f>IF(C244=0,0,E244/C244)</f>
        <v>2.1976149367080467E-2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714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715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716</v>
      </c>
      <c r="C248" s="441">
        <v>14617978</v>
      </c>
      <c r="D248" s="441">
        <v>19751377</v>
      </c>
      <c r="E248" s="441">
        <f>D248-C248</f>
        <v>5133399</v>
      </c>
      <c r="F248" s="449">
        <f>IF(C248=0,0,E248/C248)</f>
        <v>0.35117025076929242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717</v>
      </c>
      <c r="C249" s="441">
        <v>14715765</v>
      </c>
      <c r="D249" s="441">
        <v>25084845</v>
      </c>
      <c r="E249" s="441">
        <f>D249-C249</f>
        <v>10369080</v>
      </c>
      <c r="F249" s="449">
        <f>IF(C249=0,0,E249/C249)</f>
        <v>0.70462391863419949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718</v>
      </c>
      <c r="C250" s="441">
        <f>C248+C249</f>
        <v>29333743</v>
      </c>
      <c r="D250" s="441">
        <f>LN_IH4+LN_IH5</f>
        <v>44836222</v>
      </c>
      <c r="E250" s="441">
        <f>D250-C250</f>
        <v>15502479</v>
      </c>
      <c r="F250" s="449">
        <f>IF(C250=0,0,E250/C250)</f>
        <v>0.52848622148220226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719</v>
      </c>
      <c r="C251" s="441">
        <f>C250*C313</f>
        <v>8867984.7057549339</v>
      </c>
      <c r="D251" s="441">
        <f>LN_IH6*LN_III10</f>
        <v>12782155.49532594</v>
      </c>
      <c r="E251" s="441">
        <f>D251-C251</f>
        <v>3914170.7895710059</v>
      </c>
      <c r="F251" s="449">
        <f>IF(C251=0,0,E251/C251)</f>
        <v>0.44138222149062573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720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656</v>
      </c>
      <c r="C254" s="441">
        <f>C188+C203</f>
        <v>59475797</v>
      </c>
      <c r="D254" s="441">
        <f>LN_IF23</f>
        <v>69208849</v>
      </c>
      <c r="E254" s="441">
        <f>D254-C254</f>
        <v>9733052</v>
      </c>
      <c r="F254" s="449">
        <f>IF(C254=0,0,E254/C254)</f>
        <v>0.1636472731924887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657</v>
      </c>
      <c r="C255" s="441">
        <f>C189+C204</f>
        <v>11937402</v>
      </c>
      <c r="D255" s="441">
        <f>LN_IF24</f>
        <v>12122193</v>
      </c>
      <c r="E255" s="441">
        <f>D255-C255</f>
        <v>184791</v>
      </c>
      <c r="F255" s="449">
        <f>IF(C255=0,0,E255/C255)</f>
        <v>1.5480001427446273E-2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721</v>
      </c>
      <c r="C256" s="441">
        <f>C254*C313</f>
        <v>17980332.689169098</v>
      </c>
      <c r="D256" s="441">
        <f>LN_IH8*LN_III10</f>
        <v>19730437.358672485</v>
      </c>
      <c r="E256" s="441">
        <f>D256-C256</f>
        <v>1750104.6695033871</v>
      </c>
      <c r="F256" s="449">
        <f>IF(C256=0,0,E256/C256)</f>
        <v>9.7334387508725376E-2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722</v>
      </c>
      <c r="C257" s="441">
        <f>C256-C255</f>
        <v>6042930.6891690977</v>
      </c>
      <c r="D257" s="441">
        <f>LN_IH10-LN_IH9</f>
        <v>7608244.3586724848</v>
      </c>
      <c r="E257" s="441">
        <f>D257-C257</f>
        <v>1565313.6695033871</v>
      </c>
      <c r="F257" s="449">
        <f>IF(C257=0,0,E257/C257)</f>
        <v>0.25903220639431451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723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724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434620880</v>
      </c>
      <c r="D261" s="448">
        <f>LN_IA1+LN_IB1+LN_IF1+LN_IG1</f>
        <v>469569283</v>
      </c>
      <c r="E261" s="448">
        <f t="shared" ref="E261:E274" si="26">D261-C261</f>
        <v>34948403</v>
      </c>
      <c r="F261" s="503">
        <f t="shared" ref="F261:F274" si="27">IF(C261=0,0,E261/C261)</f>
        <v>8.0411237950647932E-2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143319033</v>
      </c>
      <c r="D262" s="448">
        <f>+LN_IA2+LN_IB2+LN_IF2+LN_IG2</f>
        <v>150142016</v>
      </c>
      <c r="E262" s="448">
        <f t="shared" si="26"/>
        <v>6822983</v>
      </c>
      <c r="F262" s="503">
        <f t="shared" si="27"/>
        <v>4.7606956711743934E-2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725</v>
      </c>
      <c r="C263" s="453">
        <f>IF(C261=0,0,C262/C261)</f>
        <v>0.32975643738055105</v>
      </c>
      <c r="D263" s="453">
        <f>IF(LN_IIA1=0,0,LN_IIA2/LN_IIA1)</f>
        <v>0.31974411750438114</v>
      </c>
      <c r="E263" s="454">
        <f t="shared" si="26"/>
        <v>-1.0012319876169906E-2</v>
      </c>
      <c r="F263" s="458">
        <f t="shared" si="27"/>
        <v>-3.0362773068825101E-2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12439</v>
      </c>
      <c r="D264" s="456">
        <f>LN_IA4+LN_IB4+LN_IF4+LN_IG3</f>
        <v>12538</v>
      </c>
      <c r="E264" s="456">
        <f t="shared" si="26"/>
        <v>99</v>
      </c>
      <c r="F264" s="503">
        <f t="shared" si="27"/>
        <v>7.9588391349786954E-3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726</v>
      </c>
      <c r="C265" s="525">
        <f>IF(C264=0,0,C266/C264)</f>
        <v>1.1096108634134576</v>
      </c>
      <c r="D265" s="525">
        <f>IF(LN_IIA4=0,0,LN_IIA6/LN_IIA4)</f>
        <v>1.1595277165417133</v>
      </c>
      <c r="E265" s="525">
        <f t="shared" si="26"/>
        <v>4.9916853128255667E-2</v>
      </c>
      <c r="F265" s="503">
        <f t="shared" si="27"/>
        <v>4.4985908820952034E-2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727</v>
      </c>
      <c r="C266" s="463">
        <f>C20+C47+C193+C226</f>
        <v>13802.449529999998</v>
      </c>
      <c r="D266" s="463">
        <f>LN_IA6+LN_IB6+LN_IF6+LN_IG5</f>
        <v>14538.158510000001</v>
      </c>
      <c r="E266" s="463">
        <f t="shared" si="26"/>
        <v>735.70898000000307</v>
      </c>
      <c r="F266" s="503">
        <f t="shared" si="27"/>
        <v>5.3302783567577602E-2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646521658</v>
      </c>
      <c r="D267" s="448">
        <f>LN_IA11+LN_IB13+LN_IF14+LN_IG9</f>
        <v>680279340</v>
      </c>
      <c r="E267" s="448">
        <f t="shared" si="26"/>
        <v>33757682</v>
      </c>
      <c r="F267" s="503">
        <f t="shared" si="27"/>
        <v>5.2214309578473547E-2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652</v>
      </c>
      <c r="C268" s="453">
        <f>IF(C261=0,0,C267/C261)</f>
        <v>1.4875531474695831</v>
      </c>
      <c r="D268" s="453">
        <f>IF(LN_IIA1=0,0,LN_IIA7/LN_IIA1)</f>
        <v>1.448730495431491</v>
      </c>
      <c r="E268" s="454">
        <f t="shared" si="26"/>
        <v>-3.8822652038092098E-2</v>
      </c>
      <c r="F268" s="458">
        <f t="shared" si="27"/>
        <v>-2.6098329396923903E-2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181090769</v>
      </c>
      <c r="D269" s="448">
        <f>LN_IA12+LN_IB14+LN_IF15+LN_IG10</f>
        <v>193757412</v>
      </c>
      <c r="E269" s="448">
        <f t="shared" si="26"/>
        <v>12666643</v>
      </c>
      <c r="F269" s="503">
        <f t="shared" si="27"/>
        <v>6.994637589727172E-2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651</v>
      </c>
      <c r="C270" s="453">
        <f>IF(C267=0,0,C269/C267)</f>
        <v>0.28010008134947895</v>
      </c>
      <c r="D270" s="453">
        <f>IF(LN_IIA7=0,0,LN_IIA9/LN_IIA7)</f>
        <v>0.28482036805645161</v>
      </c>
      <c r="E270" s="454">
        <f t="shared" si="26"/>
        <v>4.7202867069726651E-3</v>
      </c>
      <c r="F270" s="458">
        <f t="shared" si="27"/>
        <v>1.6852143291894283E-2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728</v>
      </c>
      <c r="C271" s="441">
        <f>C261+C267</f>
        <v>1081142538</v>
      </c>
      <c r="D271" s="441">
        <f>LN_IIA1+LN_IIA7</f>
        <v>1149848623</v>
      </c>
      <c r="E271" s="441">
        <f t="shared" si="26"/>
        <v>68706085</v>
      </c>
      <c r="F271" s="503">
        <f t="shared" si="27"/>
        <v>6.3549515984357652E-2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729</v>
      </c>
      <c r="C272" s="441">
        <f>C262+C269</f>
        <v>324409802</v>
      </c>
      <c r="D272" s="441">
        <f>LN_IIA2+LN_IIA9</f>
        <v>343899428</v>
      </c>
      <c r="E272" s="441">
        <f t="shared" si="26"/>
        <v>19489626</v>
      </c>
      <c r="F272" s="503">
        <f t="shared" si="27"/>
        <v>6.0077179788790722E-2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730</v>
      </c>
      <c r="C273" s="453">
        <f>IF(C271=0,0,C272/C271)</f>
        <v>0.30006200902993235</v>
      </c>
      <c r="D273" s="453">
        <f>IF(LN_IIA11=0,0,LN_IIA12/LN_IIA11)</f>
        <v>0.29908234972943915</v>
      </c>
      <c r="E273" s="454">
        <f t="shared" si="26"/>
        <v>-9.7965930049320749E-4</v>
      </c>
      <c r="F273" s="458">
        <f t="shared" si="27"/>
        <v>-3.2648561664315279E-3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51964</v>
      </c>
      <c r="D274" s="508">
        <f>LN_IA8+LN_IB10+LN_IF11+LN_IG6</f>
        <v>54509</v>
      </c>
      <c r="E274" s="528">
        <f t="shared" si="26"/>
        <v>2545</v>
      </c>
      <c r="F274" s="458">
        <f t="shared" si="27"/>
        <v>4.897621430220922E-2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731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732</v>
      </c>
      <c r="C277" s="448">
        <f>C15+C188+C221</f>
        <v>255615376</v>
      </c>
      <c r="D277" s="448">
        <f>LN_IA1+LN_IF1+LN_IG1</f>
        <v>266532004</v>
      </c>
      <c r="E277" s="448">
        <f t="shared" ref="E277:E291" si="28">D277-C277</f>
        <v>10916628</v>
      </c>
      <c r="F277" s="503">
        <f t="shared" ref="F277:F291" si="29">IF(C277=0,0,E277/C277)</f>
        <v>4.2707243088537836E-2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733</v>
      </c>
      <c r="C278" s="448">
        <f>C16+C189+C222</f>
        <v>62667005</v>
      </c>
      <c r="D278" s="448">
        <f>LN_IA2+LN_IF2+LN_IG2</f>
        <v>64920211</v>
      </c>
      <c r="E278" s="448">
        <f t="shared" si="28"/>
        <v>2253206</v>
      </c>
      <c r="F278" s="503">
        <f t="shared" si="29"/>
        <v>3.5955220773675078E-2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734</v>
      </c>
      <c r="C279" s="453">
        <f>IF(C277=0,0,C278/C277)</f>
        <v>0.24516132785376729</v>
      </c>
      <c r="D279" s="453">
        <f>IF(D277=0,0,LN_IIB2/D277)</f>
        <v>0.2435737923615357</v>
      </c>
      <c r="E279" s="454">
        <f t="shared" si="28"/>
        <v>-1.5875354922315899E-3</v>
      </c>
      <c r="F279" s="458">
        <f t="shared" si="29"/>
        <v>-6.4754727269976109E-3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735</v>
      </c>
      <c r="C280" s="456">
        <f>C18+C191+C224</f>
        <v>5548</v>
      </c>
      <c r="D280" s="456">
        <f>LN_IA4+LN_IF4+LN_IG3</f>
        <v>5356</v>
      </c>
      <c r="E280" s="456">
        <f t="shared" si="28"/>
        <v>-192</v>
      </c>
      <c r="F280" s="503">
        <f t="shared" si="29"/>
        <v>-3.4607065609228549E-2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736</v>
      </c>
      <c r="C281" s="525">
        <f>IF(C280=0,0,C282/C280)</f>
        <v>1.4068018366979091</v>
      </c>
      <c r="D281" s="525">
        <f>IF(LN_IIB4=0,0,LN_IIB6/LN_IIB4)</f>
        <v>1.502613997386109</v>
      </c>
      <c r="E281" s="525">
        <f t="shared" si="28"/>
        <v>9.5812160688199866E-2</v>
      </c>
      <c r="F281" s="503">
        <f t="shared" si="29"/>
        <v>6.8106365935015609E-2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737</v>
      </c>
      <c r="C282" s="463">
        <f>C20+C193+C226</f>
        <v>7804.9365900000003</v>
      </c>
      <c r="D282" s="463">
        <f>LN_IA6+LN_IF6+LN_IG5</f>
        <v>8048.0005700000002</v>
      </c>
      <c r="E282" s="463">
        <f t="shared" si="28"/>
        <v>243.0639799999999</v>
      </c>
      <c r="F282" s="503">
        <f t="shared" si="29"/>
        <v>3.1142338851467836E-2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738</v>
      </c>
      <c r="C283" s="448">
        <f>C27+C203+C233</f>
        <v>242069929</v>
      </c>
      <c r="D283" s="448">
        <f>LN_IA11+LN_IF14+LN_IG9</f>
        <v>269458814</v>
      </c>
      <c r="E283" s="448">
        <f t="shared" si="28"/>
        <v>27388885</v>
      </c>
      <c r="F283" s="503">
        <f t="shared" si="29"/>
        <v>0.11314451618647767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739</v>
      </c>
      <c r="C284" s="453">
        <f>IF(C277=0,0,C283/C277)</f>
        <v>0.94700848121123982</v>
      </c>
      <c r="D284" s="453">
        <f>IF(D277=0,0,LN_IIB7/D277)</f>
        <v>1.0109810827820886</v>
      </c>
      <c r="E284" s="454">
        <f t="shared" si="28"/>
        <v>6.397260157084883E-2</v>
      </c>
      <c r="F284" s="458">
        <f t="shared" si="29"/>
        <v>6.7552300576048482E-2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740</v>
      </c>
      <c r="C285" s="448">
        <f>C28+C204+C234</f>
        <v>38050732</v>
      </c>
      <c r="D285" s="448">
        <f>LN_IA12+LN_IF15+LN_IG10</f>
        <v>42593322</v>
      </c>
      <c r="E285" s="448">
        <f t="shared" si="28"/>
        <v>4542590</v>
      </c>
      <c r="F285" s="503">
        <f t="shared" si="29"/>
        <v>0.11938246023755864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741</v>
      </c>
      <c r="C286" s="453">
        <f>IF(C283=0,0,C285/C283)</f>
        <v>0.15718900797463364</v>
      </c>
      <c r="D286" s="453">
        <f>IF(LN_IIB7=0,0,LN_IIB9/LN_IIB7)</f>
        <v>0.15806987853809823</v>
      </c>
      <c r="E286" s="454">
        <f t="shared" si="28"/>
        <v>8.8087056346458636E-4</v>
      </c>
      <c r="F286" s="458">
        <f t="shared" si="29"/>
        <v>5.6038941578328222E-3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742</v>
      </c>
      <c r="C287" s="441">
        <f>C277+C283</f>
        <v>497685305</v>
      </c>
      <c r="D287" s="441">
        <f>D277+LN_IIB7</f>
        <v>535990818</v>
      </c>
      <c r="E287" s="441">
        <f t="shared" si="28"/>
        <v>38305513</v>
      </c>
      <c r="F287" s="503">
        <f t="shared" si="29"/>
        <v>7.696733782404927E-2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743</v>
      </c>
      <c r="C288" s="441">
        <f>C278+C285</f>
        <v>100717737</v>
      </c>
      <c r="D288" s="441">
        <f>LN_IIB2+LN_IIB9</f>
        <v>107513533</v>
      </c>
      <c r="E288" s="441">
        <f t="shared" si="28"/>
        <v>6795796</v>
      </c>
      <c r="F288" s="503">
        <f t="shared" si="29"/>
        <v>6.7473676458794943E-2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744</v>
      </c>
      <c r="C289" s="453">
        <f>IF(C287=0,0,C288/C287)</f>
        <v>0.20237233446143241</v>
      </c>
      <c r="D289" s="453">
        <f>IF(LN_IIB11=0,0,LN_IIB12/LN_IIB11)</f>
        <v>0.20058838582566912</v>
      </c>
      <c r="E289" s="454">
        <f t="shared" si="28"/>
        <v>-1.7839486357632828E-3</v>
      </c>
      <c r="F289" s="458">
        <f t="shared" si="29"/>
        <v>-8.8151803976114287E-3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28472</v>
      </c>
      <c r="D290" s="508">
        <f>LN_IA8+LN_IF11+LN_IG6</f>
        <v>29200</v>
      </c>
      <c r="E290" s="528">
        <f t="shared" si="28"/>
        <v>728</v>
      </c>
      <c r="F290" s="458">
        <f t="shared" si="29"/>
        <v>2.5568980050576003E-2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745</v>
      </c>
      <c r="C291" s="448">
        <f>C287-C288</f>
        <v>396967568</v>
      </c>
      <c r="D291" s="516">
        <f>LN_IIB11-LN_IIB12</f>
        <v>428477285</v>
      </c>
      <c r="E291" s="441">
        <f t="shared" si="28"/>
        <v>31509717</v>
      </c>
      <c r="F291" s="503">
        <f t="shared" si="29"/>
        <v>7.9376048675089753E-2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647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638</v>
      </c>
      <c r="C294" s="466">
        <f>IF(C18=0,0,C22/C18)</f>
        <v>5.2600245499181666</v>
      </c>
      <c r="D294" s="466">
        <f>IF(LN_IA4=0,0,LN_IA8/LN_IA4)</f>
        <v>5.7104510451045103</v>
      </c>
      <c r="E294" s="466">
        <f t="shared" ref="E294:E300" si="30">D294-C294</f>
        <v>0.4504264951863437</v>
      </c>
      <c r="F294" s="503">
        <f t="shared" ref="F294:F300" si="31">IF(C294=0,0,E294/C294)</f>
        <v>8.563201386452679E-2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659</v>
      </c>
      <c r="C295" s="466">
        <f>IF(C45=0,0,C51/C45)</f>
        <v>3.4090843128718618</v>
      </c>
      <c r="D295" s="466">
        <f>IF(LN_IB4=0,0,(LN_IB10)/(LN_IB4))</f>
        <v>3.5239487607908662</v>
      </c>
      <c r="E295" s="466">
        <f t="shared" si="30"/>
        <v>0.11486444791900441</v>
      </c>
      <c r="F295" s="503">
        <f t="shared" si="31"/>
        <v>3.3693636583086134E-2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674</v>
      </c>
      <c r="C296" s="466">
        <f>IF(C86=0,0,C93/C86)</f>
        <v>3.8941176470588235</v>
      </c>
      <c r="D296" s="466">
        <f>IF(LN_IC4=0,0,LN_IC11/LN_IC4)</f>
        <v>3.0838323353293413</v>
      </c>
      <c r="E296" s="466">
        <f t="shared" si="30"/>
        <v>-0.81028531172948215</v>
      </c>
      <c r="F296" s="503">
        <f t="shared" si="31"/>
        <v>-0.20807930965862834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3.7324324324324323</v>
      </c>
      <c r="D297" s="466">
        <f>IF(LN_ID4=0,0,LN_ID11/LN_ID4)</f>
        <v>3.8629807692307692</v>
      </c>
      <c r="E297" s="466">
        <f t="shared" si="30"/>
        <v>0.13054833679833688</v>
      </c>
      <c r="F297" s="503">
        <f t="shared" si="31"/>
        <v>3.4976744833732545E-2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746</v>
      </c>
      <c r="C298" s="466">
        <f>IF(C156=0,0,C163/C156)</f>
        <v>4.7870036101083029</v>
      </c>
      <c r="D298" s="466">
        <f>IF(LN_IE4=0,0,LN_IE11/LN_IE4)</f>
        <v>4.1968503937007871</v>
      </c>
      <c r="E298" s="466">
        <f t="shared" si="30"/>
        <v>-0.59015321640751583</v>
      </c>
      <c r="F298" s="503">
        <f t="shared" si="31"/>
        <v>-0.12328238381966961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4.1538461538461542</v>
      </c>
      <c r="D299" s="466">
        <f>IF(LN_IG3=0,0,LN_IG6/LN_IG3)</f>
        <v>2.8571428571428572</v>
      </c>
      <c r="E299" s="466">
        <f t="shared" si="30"/>
        <v>-1.296703296703297</v>
      </c>
      <c r="F299" s="503">
        <f t="shared" si="31"/>
        <v>-0.31216931216931221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747</v>
      </c>
      <c r="C300" s="466">
        <f>IF(C264=0,0,C274/C264)</f>
        <v>4.1775062304043731</v>
      </c>
      <c r="D300" s="466">
        <f>IF(LN_IIA4=0,0,LN_IIA14/LN_IIA4)</f>
        <v>4.3475035890891691</v>
      </c>
      <c r="E300" s="466">
        <f t="shared" si="30"/>
        <v>0.16999735868479604</v>
      </c>
      <c r="F300" s="503">
        <f t="shared" si="31"/>
        <v>4.0693502129939538E-2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748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742</v>
      </c>
      <c r="C304" s="441">
        <f>C35+C66+C214+C221+C233</f>
        <v>1081142538</v>
      </c>
      <c r="D304" s="441">
        <f>LN_IIA11</f>
        <v>1149848623</v>
      </c>
      <c r="E304" s="441">
        <f t="shared" ref="E304:E316" si="32">D304-C304</f>
        <v>68706085</v>
      </c>
      <c r="F304" s="449">
        <f>IF(C304=0,0,E304/C304)</f>
        <v>6.3549515984357652E-2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745</v>
      </c>
      <c r="C305" s="441">
        <f>C291</f>
        <v>396967568</v>
      </c>
      <c r="D305" s="441">
        <f>LN_IIB14</f>
        <v>428477285</v>
      </c>
      <c r="E305" s="441">
        <f t="shared" si="32"/>
        <v>31509717</v>
      </c>
      <c r="F305" s="449">
        <f>IF(C305=0,0,E305/C305)</f>
        <v>7.9376048675089753E-2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749</v>
      </c>
      <c r="C306" s="441">
        <f>C250</f>
        <v>29333743</v>
      </c>
      <c r="D306" s="441">
        <f>LN_IH6</f>
        <v>44836222</v>
      </c>
      <c r="E306" s="441">
        <f t="shared" si="32"/>
        <v>15502479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750</v>
      </c>
      <c r="C307" s="441">
        <f>C73-C74</f>
        <v>318627059</v>
      </c>
      <c r="D307" s="441">
        <f>LN_IB32-LN_IB33</f>
        <v>335633616</v>
      </c>
      <c r="E307" s="441">
        <f t="shared" si="32"/>
        <v>17006557</v>
      </c>
      <c r="F307" s="449">
        <f t="shared" ref="F307:F316" si="33">IF(C307=0,0,E307/C307)</f>
        <v>5.3374490708273464E-2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751</v>
      </c>
      <c r="C308" s="441">
        <v>9370250</v>
      </c>
      <c r="D308" s="441">
        <v>13096363</v>
      </c>
      <c r="E308" s="441">
        <f t="shared" si="32"/>
        <v>3726113</v>
      </c>
      <c r="F308" s="449">
        <f t="shared" si="33"/>
        <v>0.39765353112243534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752</v>
      </c>
      <c r="C309" s="441">
        <f>C305+C307+C308+C306</f>
        <v>754298620</v>
      </c>
      <c r="D309" s="441">
        <f>LN_III2+LN_III3+LN_III4+LN_III5</f>
        <v>822043486</v>
      </c>
      <c r="E309" s="441">
        <f t="shared" si="32"/>
        <v>67744866</v>
      </c>
      <c r="F309" s="449">
        <f t="shared" si="33"/>
        <v>8.9811732653043957E-2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753</v>
      </c>
      <c r="C310" s="441">
        <f>C304-C309</f>
        <v>326843918</v>
      </c>
      <c r="D310" s="441">
        <f>LN_III1-LN_III6</f>
        <v>327805137</v>
      </c>
      <c r="E310" s="441">
        <f t="shared" si="32"/>
        <v>961219</v>
      </c>
      <c r="F310" s="449">
        <f t="shared" si="33"/>
        <v>2.9409113863333386E-3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754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755</v>
      </c>
      <c r="C312" s="441">
        <f>C310+C311</f>
        <v>326843918</v>
      </c>
      <c r="D312" s="441">
        <f>LN_III7+LN_III8</f>
        <v>327805137</v>
      </c>
      <c r="E312" s="441">
        <f t="shared" si="32"/>
        <v>961219</v>
      </c>
      <c r="F312" s="449">
        <f t="shared" si="33"/>
        <v>2.9409113863333386E-3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756</v>
      </c>
      <c r="C313" s="532">
        <f>IF(C304=0,0,C312/C304)</f>
        <v>0.30231343834146684</v>
      </c>
      <c r="D313" s="532">
        <f>IF(LN_III1=0,0,LN_III9/LN_III1)</f>
        <v>0.28508547163777403</v>
      </c>
      <c r="E313" s="532">
        <f t="shared" si="32"/>
        <v>-1.722796670369281E-2</v>
      </c>
      <c r="F313" s="449">
        <f t="shared" si="33"/>
        <v>-5.6987101857621042E-2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719</v>
      </c>
      <c r="C314" s="441">
        <f>C306*C313</f>
        <v>8867984.7057549339</v>
      </c>
      <c r="D314" s="441">
        <f>D313*LN_III5</f>
        <v>12782155.49532594</v>
      </c>
      <c r="E314" s="441">
        <f t="shared" si="32"/>
        <v>3914170.7895710059</v>
      </c>
      <c r="F314" s="449">
        <f t="shared" si="33"/>
        <v>0.44138222149062573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722</v>
      </c>
      <c r="C315" s="441">
        <f>(C214*C313)-C215</f>
        <v>6042930.6891690977</v>
      </c>
      <c r="D315" s="441">
        <f>D313*LN_IH8-LN_IH9</f>
        <v>7608244.3586724848</v>
      </c>
      <c r="E315" s="441">
        <f t="shared" si="32"/>
        <v>1565313.6695033871</v>
      </c>
      <c r="F315" s="449">
        <f t="shared" si="33"/>
        <v>0.25903220639431451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757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758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759</v>
      </c>
      <c r="C318" s="441">
        <f>C314+C315+C316</f>
        <v>14910915.394924032</v>
      </c>
      <c r="D318" s="441">
        <f>D314+D315+D316</f>
        <v>20390399.853998423</v>
      </c>
      <c r="E318" s="441">
        <f>D318-C318</f>
        <v>5479484.4590743911</v>
      </c>
      <c r="F318" s="449">
        <f>IF(C318=0,0,E318/C318)</f>
        <v>0.36748142645485837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760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1463626.3871056477</v>
      </c>
      <c r="D322" s="441">
        <f>LN_ID22</f>
        <v>3343715.2380337776</v>
      </c>
      <c r="E322" s="441">
        <f>LN_IV2-C322</f>
        <v>1880088.8509281299</v>
      </c>
      <c r="F322" s="449">
        <f>IF(C322=0,0,E322/C322)</f>
        <v>1.2845415110655702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746</v>
      </c>
      <c r="C323" s="441">
        <f>C162+C176</f>
        <v>-690768.44604670838</v>
      </c>
      <c r="D323" s="441">
        <f>LN_IE10+LN_IE22</f>
        <v>3524669.5816615405</v>
      </c>
      <c r="E323" s="441">
        <f>LN_IV3-C323</f>
        <v>4215438.0277082492</v>
      </c>
      <c r="F323" s="449">
        <f>IF(C323=0,0,E323/C323)</f>
        <v>-6.1025341441598071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761</v>
      </c>
      <c r="C324" s="441">
        <f>C92+C106</f>
        <v>8086255.241444679</v>
      </c>
      <c r="D324" s="441">
        <f>LN_IC10+LN_IC22</f>
        <v>7202229.4902616106</v>
      </c>
      <c r="E324" s="441">
        <f>LN_IV1-C324</f>
        <v>-884025.75118306838</v>
      </c>
      <c r="F324" s="449">
        <f>IF(C324=0,0,E324/C324)</f>
        <v>-0.10932449258491742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762</v>
      </c>
      <c r="C325" s="516">
        <f>C324+C322+C323</f>
        <v>8859113.1825036183</v>
      </c>
      <c r="D325" s="516">
        <f>LN_IV1+LN_IV2+LN_IV3</f>
        <v>14070614.309956929</v>
      </c>
      <c r="E325" s="441">
        <f>LN_IV4-C325</f>
        <v>5211501.1274533104</v>
      </c>
      <c r="F325" s="449">
        <f>IF(C325=0,0,E325/C325)</f>
        <v>0.5882644255799564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763</v>
      </c>
      <c r="B327" s="530" t="s">
        <v>764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765</v>
      </c>
      <c r="C329" s="518">
        <v>19412473</v>
      </c>
      <c r="D329" s="518">
        <v>21974981</v>
      </c>
      <c r="E329" s="518">
        <f t="shared" ref="E329:E335" si="34">D329-C329</f>
        <v>2562508</v>
      </c>
      <c r="F329" s="542">
        <f t="shared" ref="F329:F335" si="35">IF(C329=0,0,E329/C329)</f>
        <v>0.13200317136307158</v>
      </c>
    </row>
    <row r="330" spans="1:22" s="420" customFormat="1" ht="15.75" customHeight="1" x14ac:dyDescent="0.2">
      <c r="A330" s="451">
        <v>2</v>
      </c>
      <c r="B330" s="447" t="s">
        <v>766</v>
      </c>
      <c r="C330" s="516">
        <v>-11427717</v>
      </c>
      <c r="D330" s="516">
        <v>-11692829</v>
      </c>
      <c r="E330" s="518">
        <f t="shared" si="34"/>
        <v>-265112</v>
      </c>
      <c r="F330" s="543">
        <f t="shared" si="35"/>
        <v>2.3199034417810661E-2</v>
      </c>
    </row>
    <row r="331" spans="1:22" s="420" customFormat="1" ht="15.75" customHeight="1" x14ac:dyDescent="0.2">
      <c r="A331" s="427">
        <v>3</v>
      </c>
      <c r="B331" s="447" t="s">
        <v>767</v>
      </c>
      <c r="C331" s="516">
        <v>312982083</v>
      </c>
      <c r="D331" s="516">
        <v>332206599</v>
      </c>
      <c r="E331" s="518">
        <f t="shared" si="34"/>
        <v>19224516</v>
      </c>
      <c r="F331" s="542">
        <f t="shared" si="35"/>
        <v>6.1423694978731416E-2</v>
      </c>
    </row>
    <row r="332" spans="1:22" s="420" customFormat="1" ht="27" customHeight="1" x14ac:dyDescent="0.2">
      <c r="A332" s="451">
        <v>4</v>
      </c>
      <c r="B332" s="447" t="s">
        <v>768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769</v>
      </c>
      <c r="C333" s="516">
        <v>1081142538</v>
      </c>
      <c r="D333" s="516">
        <v>1149848623</v>
      </c>
      <c r="E333" s="518">
        <f t="shared" si="34"/>
        <v>68706085</v>
      </c>
      <c r="F333" s="542">
        <f t="shared" si="35"/>
        <v>6.3549515984357652E-2</v>
      </c>
    </row>
    <row r="334" spans="1:22" s="420" customFormat="1" ht="15.75" customHeight="1" x14ac:dyDescent="0.2">
      <c r="A334" s="427">
        <v>6</v>
      </c>
      <c r="B334" s="447" t="s">
        <v>770</v>
      </c>
      <c r="C334" s="516">
        <v>1232722</v>
      </c>
      <c r="D334" s="516">
        <v>2121</v>
      </c>
      <c r="E334" s="516">
        <f t="shared" si="34"/>
        <v>-1230601</v>
      </c>
      <c r="F334" s="543">
        <f t="shared" si="35"/>
        <v>-0.99827941741933701</v>
      </c>
    </row>
    <row r="335" spans="1:22" s="420" customFormat="1" ht="15.75" customHeight="1" x14ac:dyDescent="0.2">
      <c r="A335" s="451">
        <v>7</v>
      </c>
      <c r="B335" s="447" t="s">
        <v>771</v>
      </c>
      <c r="C335" s="516">
        <v>30566465</v>
      </c>
      <c r="D335" s="516">
        <v>44838343</v>
      </c>
      <c r="E335" s="516">
        <f t="shared" si="34"/>
        <v>14271878</v>
      </c>
      <c r="F335" s="542">
        <f t="shared" si="35"/>
        <v>0.46691293873858164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FILING&amp;RGREENWICH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632</v>
      </c>
      <c r="B3" s="820"/>
      <c r="C3" s="820"/>
      <c r="D3" s="820"/>
      <c r="E3" s="820"/>
    </row>
    <row r="4" spans="1:5" s="428" customFormat="1" ht="15.75" customHeight="1" x14ac:dyDescent="0.25">
      <c r="A4" s="820" t="s">
        <v>772</v>
      </c>
      <c r="B4" s="820"/>
      <c r="C4" s="820"/>
      <c r="D4" s="820"/>
      <c r="E4" s="820"/>
    </row>
    <row r="5" spans="1:5" s="428" customFormat="1" ht="15.75" customHeight="1" x14ac:dyDescent="0.25">
      <c r="A5" s="820" t="s">
        <v>773</v>
      </c>
      <c r="B5" s="820"/>
      <c r="C5" s="820"/>
      <c r="D5" s="820"/>
      <c r="E5" s="820"/>
    </row>
    <row r="6" spans="1:5" s="428" customFormat="1" ht="15.75" customHeight="1" x14ac:dyDescent="0.25">
      <c r="A6" s="820" t="s">
        <v>774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775</v>
      </c>
      <c r="D9" s="573" t="s">
        <v>776</v>
      </c>
      <c r="E9" s="573" t="s">
        <v>777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778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779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659</v>
      </c>
      <c r="C14" s="589">
        <v>179005504</v>
      </c>
      <c r="D14" s="589">
        <v>203037279</v>
      </c>
      <c r="E14" s="590">
        <f t="shared" ref="E14:E22" si="0">D14-C14</f>
        <v>24031775</v>
      </c>
    </row>
    <row r="15" spans="1:5" s="421" customFormat="1" x14ac:dyDescent="0.2">
      <c r="A15" s="588">
        <v>2</v>
      </c>
      <c r="B15" s="587" t="s">
        <v>638</v>
      </c>
      <c r="C15" s="589">
        <v>231780728</v>
      </c>
      <c r="D15" s="591">
        <v>240415659</v>
      </c>
      <c r="E15" s="590">
        <f t="shared" si="0"/>
        <v>8634931</v>
      </c>
    </row>
    <row r="16" spans="1:5" s="421" customFormat="1" x14ac:dyDescent="0.2">
      <c r="A16" s="588">
        <v>3</v>
      </c>
      <c r="B16" s="587" t="s">
        <v>780</v>
      </c>
      <c r="C16" s="589">
        <v>23504223</v>
      </c>
      <c r="D16" s="591">
        <v>25692958</v>
      </c>
      <c r="E16" s="590">
        <f t="shared" si="0"/>
        <v>2188735</v>
      </c>
    </row>
    <row r="17" spans="1:5" s="421" customFormat="1" x14ac:dyDescent="0.2">
      <c r="A17" s="588">
        <v>4</v>
      </c>
      <c r="B17" s="587" t="s">
        <v>115</v>
      </c>
      <c r="C17" s="589">
        <v>11003309</v>
      </c>
      <c r="D17" s="591">
        <v>12504838</v>
      </c>
      <c r="E17" s="590">
        <f t="shared" si="0"/>
        <v>1501529</v>
      </c>
    </row>
    <row r="18" spans="1:5" s="421" customFormat="1" x14ac:dyDescent="0.2">
      <c r="A18" s="588">
        <v>5</v>
      </c>
      <c r="B18" s="587" t="s">
        <v>746</v>
      </c>
      <c r="C18" s="589">
        <v>12500914</v>
      </c>
      <c r="D18" s="591">
        <v>13188120</v>
      </c>
      <c r="E18" s="590">
        <f t="shared" si="0"/>
        <v>687206</v>
      </c>
    </row>
    <row r="19" spans="1:5" s="421" customFormat="1" x14ac:dyDescent="0.2">
      <c r="A19" s="588">
        <v>6</v>
      </c>
      <c r="B19" s="587" t="s">
        <v>424</v>
      </c>
      <c r="C19" s="589">
        <v>330425</v>
      </c>
      <c r="D19" s="591">
        <v>423387</v>
      </c>
      <c r="E19" s="590">
        <f t="shared" si="0"/>
        <v>92962</v>
      </c>
    </row>
    <row r="20" spans="1:5" s="421" customFormat="1" x14ac:dyDescent="0.2">
      <c r="A20" s="588">
        <v>7</v>
      </c>
      <c r="B20" s="587" t="s">
        <v>761</v>
      </c>
      <c r="C20" s="589">
        <v>6676345</v>
      </c>
      <c r="D20" s="591">
        <v>4687832</v>
      </c>
      <c r="E20" s="590">
        <f t="shared" si="0"/>
        <v>-1988513</v>
      </c>
    </row>
    <row r="21" spans="1:5" s="421" customFormat="1" x14ac:dyDescent="0.2">
      <c r="A21" s="588"/>
      <c r="B21" s="592" t="s">
        <v>781</v>
      </c>
      <c r="C21" s="593">
        <f>SUM(C15+C16+C19)</f>
        <v>255615376</v>
      </c>
      <c r="D21" s="593">
        <f>SUM(D15+D16+D19)</f>
        <v>266532004</v>
      </c>
      <c r="E21" s="593">
        <f t="shared" si="0"/>
        <v>10916628</v>
      </c>
    </row>
    <row r="22" spans="1:5" s="421" customFormat="1" x14ac:dyDescent="0.2">
      <c r="A22" s="588"/>
      <c r="B22" s="592" t="s">
        <v>465</v>
      </c>
      <c r="C22" s="593">
        <f>SUM(C14+C21)</f>
        <v>434620880</v>
      </c>
      <c r="D22" s="593">
        <f>SUM(D14+D21)</f>
        <v>469569283</v>
      </c>
      <c r="E22" s="593">
        <f t="shared" si="0"/>
        <v>34948403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782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659</v>
      </c>
      <c r="C25" s="589">
        <v>404451729</v>
      </c>
      <c r="D25" s="589">
        <v>410820526</v>
      </c>
      <c r="E25" s="590">
        <f t="shared" ref="E25:E33" si="1">D25-C25</f>
        <v>6368797</v>
      </c>
    </row>
    <row r="26" spans="1:5" s="421" customFormat="1" x14ac:dyDescent="0.2">
      <c r="A26" s="588">
        <v>2</v>
      </c>
      <c r="B26" s="587" t="s">
        <v>638</v>
      </c>
      <c r="C26" s="589">
        <v>205659507</v>
      </c>
      <c r="D26" s="591">
        <v>225344601</v>
      </c>
      <c r="E26" s="590">
        <f t="shared" si="1"/>
        <v>19685094</v>
      </c>
    </row>
    <row r="27" spans="1:5" s="421" customFormat="1" x14ac:dyDescent="0.2">
      <c r="A27" s="588">
        <v>3</v>
      </c>
      <c r="B27" s="587" t="s">
        <v>780</v>
      </c>
      <c r="C27" s="589">
        <v>35971574</v>
      </c>
      <c r="D27" s="591">
        <v>43515891</v>
      </c>
      <c r="E27" s="590">
        <f t="shared" si="1"/>
        <v>7544317</v>
      </c>
    </row>
    <row r="28" spans="1:5" s="421" customFormat="1" x14ac:dyDescent="0.2">
      <c r="A28" s="588">
        <v>4</v>
      </c>
      <c r="B28" s="587" t="s">
        <v>115</v>
      </c>
      <c r="C28" s="589">
        <v>23648312</v>
      </c>
      <c r="D28" s="591">
        <v>28889349</v>
      </c>
      <c r="E28" s="590">
        <f t="shared" si="1"/>
        <v>5241037</v>
      </c>
    </row>
    <row r="29" spans="1:5" s="421" customFormat="1" x14ac:dyDescent="0.2">
      <c r="A29" s="588">
        <v>5</v>
      </c>
      <c r="B29" s="587" t="s">
        <v>746</v>
      </c>
      <c r="C29" s="589">
        <v>12323262</v>
      </c>
      <c r="D29" s="591">
        <v>14626542</v>
      </c>
      <c r="E29" s="590">
        <f t="shared" si="1"/>
        <v>2303280</v>
      </c>
    </row>
    <row r="30" spans="1:5" s="421" customFormat="1" x14ac:dyDescent="0.2">
      <c r="A30" s="588">
        <v>6</v>
      </c>
      <c r="B30" s="587" t="s">
        <v>424</v>
      </c>
      <c r="C30" s="589">
        <v>438848</v>
      </c>
      <c r="D30" s="591">
        <v>598322</v>
      </c>
      <c r="E30" s="590">
        <f t="shared" si="1"/>
        <v>159474</v>
      </c>
    </row>
    <row r="31" spans="1:5" s="421" customFormat="1" x14ac:dyDescent="0.2">
      <c r="A31" s="588">
        <v>7</v>
      </c>
      <c r="B31" s="587" t="s">
        <v>761</v>
      </c>
      <c r="C31" s="590">
        <v>27139820</v>
      </c>
      <c r="D31" s="594">
        <v>26018038</v>
      </c>
      <c r="E31" s="590">
        <f t="shared" si="1"/>
        <v>-1121782</v>
      </c>
    </row>
    <row r="32" spans="1:5" s="421" customFormat="1" x14ac:dyDescent="0.2">
      <c r="A32" s="588"/>
      <c r="B32" s="592" t="s">
        <v>783</v>
      </c>
      <c r="C32" s="593">
        <f>SUM(C26+C27+C30)</f>
        <v>242069929</v>
      </c>
      <c r="D32" s="593">
        <f>SUM(D26+D27+D30)</f>
        <v>269458814</v>
      </c>
      <c r="E32" s="593">
        <f t="shared" si="1"/>
        <v>27388885</v>
      </c>
    </row>
    <row r="33" spans="1:5" s="421" customFormat="1" x14ac:dyDescent="0.2">
      <c r="A33" s="588"/>
      <c r="B33" s="592" t="s">
        <v>467</v>
      </c>
      <c r="C33" s="593">
        <f>SUM(C25+C32)</f>
        <v>646521658</v>
      </c>
      <c r="D33" s="593">
        <f>SUM(D25+D32)</f>
        <v>680279340</v>
      </c>
      <c r="E33" s="593">
        <f t="shared" si="1"/>
        <v>33757682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656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784</v>
      </c>
      <c r="C36" s="590">
        <f t="shared" ref="C36:D42" si="2">C14+C25</f>
        <v>583457233</v>
      </c>
      <c r="D36" s="590">
        <f t="shared" si="2"/>
        <v>613857805</v>
      </c>
      <c r="E36" s="590">
        <f t="shared" ref="E36:E44" si="3">D36-C36</f>
        <v>30400572</v>
      </c>
    </row>
    <row r="37" spans="1:5" s="421" customFormat="1" x14ac:dyDescent="0.2">
      <c r="A37" s="588">
        <v>2</v>
      </c>
      <c r="B37" s="587" t="s">
        <v>785</v>
      </c>
      <c r="C37" s="590">
        <f t="shared" si="2"/>
        <v>437440235</v>
      </c>
      <c r="D37" s="590">
        <f t="shared" si="2"/>
        <v>465760260</v>
      </c>
      <c r="E37" s="590">
        <f t="shared" si="3"/>
        <v>28320025</v>
      </c>
    </row>
    <row r="38" spans="1:5" s="421" customFormat="1" x14ac:dyDescent="0.2">
      <c r="A38" s="588">
        <v>3</v>
      </c>
      <c r="B38" s="587" t="s">
        <v>786</v>
      </c>
      <c r="C38" s="590">
        <f t="shared" si="2"/>
        <v>59475797</v>
      </c>
      <c r="D38" s="590">
        <f t="shared" si="2"/>
        <v>69208849</v>
      </c>
      <c r="E38" s="590">
        <f t="shared" si="3"/>
        <v>9733052</v>
      </c>
    </row>
    <row r="39" spans="1:5" s="421" customFormat="1" x14ac:dyDescent="0.2">
      <c r="A39" s="588">
        <v>4</v>
      </c>
      <c r="B39" s="587" t="s">
        <v>787</v>
      </c>
      <c r="C39" s="590">
        <f t="shared" si="2"/>
        <v>34651621</v>
      </c>
      <c r="D39" s="590">
        <f t="shared" si="2"/>
        <v>41394187</v>
      </c>
      <c r="E39" s="590">
        <f t="shared" si="3"/>
        <v>6742566</v>
      </c>
    </row>
    <row r="40" spans="1:5" s="421" customFormat="1" x14ac:dyDescent="0.2">
      <c r="A40" s="588">
        <v>5</v>
      </c>
      <c r="B40" s="587" t="s">
        <v>788</v>
      </c>
      <c r="C40" s="590">
        <f t="shared" si="2"/>
        <v>24824176</v>
      </c>
      <c r="D40" s="590">
        <f t="shared" si="2"/>
        <v>27814662</v>
      </c>
      <c r="E40" s="590">
        <f t="shared" si="3"/>
        <v>2990486</v>
      </c>
    </row>
    <row r="41" spans="1:5" s="421" customFormat="1" x14ac:dyDescent="0.2">
      <c r="A41" s="588">
        <v>6</v>
      </c>
      <c r="B41" s="587" t="s">
        <v>789</v>
      </c>
      <c r="C41" s="590">
        <f t="shared" si="2"/>
        <v>769273</v>
      </c>
      <c r="D41" s="590">
        <f t="shared" si="2"/>
        <v>1021709</v>
      </c>
      <c r="E41" s="590">
        <f t="shared" si="3"/>
        <v>252436</v>
      </c>
    </row>
    <row r="42" spans="1:5" s="421" customFormat="1" x14ac:dyDescent="0.2">
      <c r="A42" s="588">
        <v>7</v>
      </c>
      <c r="B42" s="587" t="s">
        <v>790</v>
      </c>
      <c r="C42" s="590">
        <f t="shared" si="2"/>
        <v>33816165</v>
      </c>
      <c r="D42" s="590">
        <f t="shared" si="2"/>
        <v>30705870</v>
      </c>
      <c r="E42" s="590">
        <f t="shared" si="3"/>
        <v>-3110295</v>
      </c>
    </row>
    <row r="43" spans="1:5" s="421" customFormat="1" x14ac:dyDescent="0.2">
      <c r="A43" s="588"/>
      <c r="B43" s="592" t="s">
        <v>791</v>
      </c>
      <c r="C43" s="593">
        <f>SUM(C37+C38+C41)</f>
        <v>497685305</v>
      </c>
      <c r="D43" s="593">
        <f>SUM(D37+D38+D41)</f>
        <v>535990818</v>
      </c>
      <c r="E43" s="593">
        <f t="shared" si="3"/>
        <v>38305513</v>
      </c>
    </row>
    <row r="44" spans="1:5" s="421" customFormat="1" x14ac:dyDescent="0.2">
      <c r="A44" s="588"/>
      <c r="B44" s="592" t="s">
        <v>728</v>
      </c>
      <c r="C44" s="593">
        <f>SUM(C36+C43)</f>
        <v>1081142538</v>
      </c>
      <c r="D44" s="593">
        <f>SUM(D36+D43)</f>
        <v>1149848623</v>
      </c>
      <c r="E44" s="593">
        <f t="shared" si="3"/>
        <v>68706085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792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659</v>
      </c>
      <c r="C47" s="589">
        <v>80652028</v>
      </c>
      <c r="D47" s="589">
        <v>85221805</v>
      </c>
      <c r="E47" s="590">
        <f t="shared" ref="E47:E55" si="4">D47-C47</f>
        <v>4569777</v>
      </c>
    </row>
    <row r="48" spans="1:5" s="421" customFormat="1" x14ac:dyDescent="0.2">
      <c r="A48" s="588">
        <v>2</v>
      </c>
      <c r="B48" s="587" t="s">
        <v>638</v>
      </c>
      <c r="C48" s="589">
        <v>57444961</v>
      </c>
      <c r="D48" s="591">
        <v>59489414</v>
      </c>
      <c r="E48" s="590">
        <f t="shared" si="4"/>
        <v>2044453</v>
      </c>
    </row>
    <row r="49" spans="1:5" s="421" customFormat="1" x14ac:dyDescent="0.2">
      <c r="A49" s="588">
        <v>3</v>
      </c>
      <c r="B49" s="587" t="s">
        <v>780</v>
      </c>
      <c r="C49" s="589">
        <v>5109870</v>
      </c>
      <c r="D49" s="591">
        <v>5361552</v>
      </c>
      <c r="E49" s="590">
        <f t="shared" si="4"/>
        <v>251682</v>
      </c>
    </row>
    <row r="50" spans="1:5" s="421" customFormat="1" x14ac:dyDescent="0.2">
      <c r="A50" s="588">
        <v>4</v>
      </c>
      <c r="B50" s="587" t="s">
        <v>115</v>
      </c>
      <c r="C50" s="589">
        <v>2509474</v>
      </c>
      <c r="D50" s="591">
        <v>3773460</v>
      </c>
      <c r="E50" s="590">
        <f t="shared" si="4"/>
        <v>1263986</v>
      </c>
    </row>
    <row r="51" spans="1:5" s="421" customFormat="1" x14ac:dyDescent="0.2">
      <c r="A51" s="588">
        <v>5</v>
      </c>
      <c r="B51" s="587" t="s">
        <v>746</v>
      </c>
      <c r="C51" s="589">
        <v>2600396</v>
      </c>
      <c r="D51" s="591">
        <v>1588092</v>
      </c>
      <c r="E51" s="590">
        <f t="shared" si="4"/>
        <v>-1012304</v>
      </c>
    </row>
    <row r="52" spans="1:5" s="421" customFormat="1" x14ac:dyDescent="0.2">
      <c r="A52" s="588">
        <v>6</v>
      </c>
      <c r="B52" s="587" t="s">
        <v>424</v>
      </c>
      <c r="C52" s="589">
        <v>112174</v>
      </c>
      <c r="D52" s="591">
        <v>69245</v>
      </c>
      <c r="E52" s="590">
        <f t="shared" si="4"/>
        <v>-42929</v>
      </c>
    </row>
    <row r="53" spans="1:5" s="421" customFormat="1" x14ac:dyDescent="0.2">
      <c r="A53" s="588">
        <v>7</v>
      </c>
      <c r="B53" s="587" t="s">
        <v>761</v>
      </c>
      <c r="C53" s="589">
        <v>3888925</v>
      </c>
      <c r="D53" s="591">
        <v>246577</v>
      </c>
      <c r="E53" s="590">
        <f t="shared" si="4"/>
        <v>-3642348</v>
      </c>
    </row>
    <row r="54" spans="1:5" s="421" customFormat="1" x14ac:dyDescent="0.2">
      <c r="A54" s="588"/>
      <c r="B54" s="592" t="s">
        <v>793</v>
      </c>
      <c r="C54" s="593">
        <f>SUM(C48+C49+C52)</f>
        <v>62667005</v>
      </c>
      <c r="D54" s="593">
        <f>SUM(D48+D49+D52)</f>
        <v>64920211</v>
      </c>
      <c r="E54" s="593">
        <f t="shared" si="4"/>
        <v>2253206</v>
      </c>
    </row>
    <row r="55" spans="1:5" s="421" customFormat="1" x14ac:dyDescent="0.2">
      <c r="A55" s="588"/>
      <c r="B55" s="592" t="s">
        <v>466</v>
      </c>
      <c r="C55" s="593">
        <f>SUM(C47+C54)</f>
        <v>143319033</v>
      </c>
      <c r="D55" s="593">
        <f>SUM(D47+D54)</f>
        <v>150142016</v>
      </c>
      <c r="E55" s="593">
        <f t="shared" si="4"/>
        <v>6822983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794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659</v>
      </c>
      <c r="C58" s="589">
        <v>143040037</v>
      </c>
      <c r="D58" s="589">
        <v>151164090</v>
      </c>
      <c r="E58" s="590">
        <f t="shared" ref="E58:E66" si="5">D58-C58</f>
        <v>8124053</v>
      </c>
    </row>
    <row r="59" spans="1:5" s="421" customFormat="1" x14ac:dyDescent="0.2">
      <c r="A59" s="588">
        <v>2</v>
      </c>
      <c r="B59" s="587" t="s">
        <v>638</v>
      </c>
      <c r="C59" s="589">
        <v>30961647</v>
      </c>
      <c r="D59" s="591">
        <v>35573697</v>
      </c>
      <c r="E59" s="590">
        <f t="shared" si="5"/>
        <v>4612050</v>
      </c>
    </row>
    <row r="60" spans="1:5" s="421" customFormat="1" x14ac:dyDescent="0.2">
      <c r="A60" s="588">
        <v>3</v>
      </c>
      <c r="B60" s="587" t="s">
        <v>780</v>
      </c>
      <c r="C60" s="589">
        <f>C61+C62</f>
        <v>6827532</v>
      </c>
      <c r="D60" s="591">
        <f>D61+D62</f>
        <v>6760641</v>
      </c>
      <c r="E60" s="590">
        <f t="shared" si="5"/>
        <v>-66891</v>
      </c>
    </row>
    <row r="61" spans="1:5" s="421" customFormat="1" x14ac:dyDescent="0.2">
      <c r="A61" s="588">
        <v>4</v>
      </c>
      <c r="B61" s="587" t="s">
        <v>115</v>
      </c>
      <c r="C61" s="589">
        <v>4213126</v>
      </c>
      <c r="D61" s="591">
        <v>4681630</v>
      </c>
      <c r="E61" s="590">
        <f t="shared" si="5"/>
        <v>468504</v>
      </c>
    </row>
    <row r="62" spans="1:5" s="421" customFormat="1" x14ac:dyDescent="0.2">
      <c r="A62" s="588">
        <v>5</v>
      </c>
      <c r="B62" s="587" t="s">
        <v>746</v>
      </c>
      <c r="C62" s="589">
        <v>2614406</v>
      </c>
      <c r="D62" s="591">
        <v>2079011</v>
      </c>
      <c r="E62" s="590">
        <f t="shared" si="5"/>
        <v>-535395</v>
      </c>
    </row>
    <row r="63" spans="1:5" s="421" customFormat="1" x14ac:dyDescent="0.2">
      <c r="A63" s="588">
        <v>6</v>
      </c>
      <c r="B63" s="587" t="s">
        <v>424</v>
      </c>
      <c r="C63" s="589">
        <v>261553</v>
      </c>
      <c r="D63" s="591">
        <v>258984</v>
      </c>
      <c r="E63" s="590">
        <f t="shared" si="5"/>
        <v>-2569</v>
      </c>
    </row>
    <row r="64" spans="1:5" s="421" customFormat="1" x14ac:dyDescent="0.2">
      <c r="A64" s="588">
        <v>7</v>
      </c>
      <c r="B64" s="587" t="s">
        <v>761</v>
      </c>
      <c r="C64" s="589">
        <v>593497</v>
      </c>
      <c r="D64" s="591">
        <v>1714362</v>
      </c>
      <c r="E64" s="590">
        <f t="shared" si="5"/>
        <v>1120865</v>
      </c>
    </row>
    <row r="65" spans="1:5" s="421" customFormat="1" x14ac:dyDescent="0.2">
      <c r="A65" s="588"/>
      <c r="B65" s="592" t="s">
        <v>795</v>
      </c>
      <c r="C65" s="593">
        <f>SUM(C59+C60+C63)</f>
        <v>38050732</v>
      </c>
      <c r="D65" s="593">
        <f>SUM(D59+D60+D63)</f>
        <v>42593322</v>
      </c>
      <c r="E65" s="593">
        <f t="shared" si="5"/>
        <v>4542590</v>
      </c>
    </row>
    <row r="66" spans="1:5" s="421" customFormat="1" x14ac:dyDescent="0.2">
      <c r="A66" s="588"/>
      <c r="B66" s="592" t="s">
        <v>468</v>
      </c>
      <c r="C66" s="593">
        <f>SUM(C58+C65)</f>
        <v>181090769</v>
      </c>
      <c r="D66" s="593">
        <f>SUM(D58+D65)</f>
        <v>193757412</v>
      </c>
      <c r="E66" s="593">
        <f t="shared" si="5"/>
        <v>12666643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657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784</v>
      </c>
      <c r="C69" s="590">
        <f t="shared" ref="C69:D75" si="6">C47+C58</f>
        <v>223692065</v>
      </c>
      <c r="D69" s="590">
        <f t="shared" si="6"/>
        <v>236385895</v>
      </c>
      <c r="E69" s="590">
        <f t="shared" ref="E69:E77" si="7">D69-C69</f>
        <v>12693830</v>
      </c>
    </row>
    <row r="70" spans="1:5" s="421" customFormat="1" x14ac:dyDescent="0.2">
      <c r="A70" s="588">
        <v>2</v>
      </c>
      <c r="B70" s="587" t="s">
        <v>785</v>
      </c>
      <c r="C70" s="590">
        <f t="shared" si="6"/>
        <v>88406608</v>
      </c>
      <c r="D70" s="590">
        <f t="shared" si="6"/>
        <v>95063111</v>
      </c>
      <c r="E70" s="590">
        <f t="shared" si="7"/>
        <v>6656503</v>
      </c>
    </row>
    <row r="71" spans="1:5" s="421" customFormat="1" x14ac:dyDescent="0.2">
      <c r="A71" s="588">
        <v>3</v>
      </c>
      <c r="B71" s="587" t="s">
        <v>786</v>
      </c>
      <c r="C71" s="590">
        <f t="shared" si="6"/>
        <v>11937402</v>
      </c>
      <c r="D71" s="590">
        <f t="shared" si="6"/>
        <v>12122193</v>
      </c>
      <c r="E71" s="590">
        <f t="shared" si="7"/>
        <v>184791</v>
      </c>
    </row>
    <row r="72" spans="1:5" s="421" customFormat="1" x14ac:dyDescent="0.2">
      <c r="A72" s="588">
        <v>4</v>
      </c>
      <c r="B72" s="587" t="s">
        <v>787</v>
      </c>
      <c r="C72" s="590">
        <f t="shared" si="6"/>
        <v>6722600</v>
      </c>
      <c r="D72" s="590">
        <f t="shared" si="6"/>
        <v>8455090</v>
      </c>
      <c r="E72" s="590">
        <f t="shared" si="7"/>
        <v>1732490</v>
      </c>
    </row>
    <row r="73" spans="1:5" s="421" customFormat="1" x14ac:dyDescent="0.2">
      <c r="A73" s="588">
        <v>5</v>
      </c>
      <c r="B73" s="587" t="s">
        <v>788</v>
      </c>
      <c r="C73" s="590">
        <f t="shared" si="6"/>
        <v>5214802</v>
      </c>
      <c r="D73" s="590">
        <f t="shared" si="6"/>
        <v>3667103</v>
      </c>
      <c r="E73" s="590">
        <f t="shared" si="7"/>
        <v>-1547699</v>
      </c>
    </row>
    <row r="74" spans="1:5" s="421" customFormat="1" x14ac:dyDescent="0.2">
      <c r="A74" s="588">
        <v>6</v>
      </c>
      <c r="B74" s="587" t="s">
        <v>789</v>
      </c>
      <c r="C74" s="590">
        <f t="shared" si="6"/>
        <v>373727</v>
      </c>
      <c r="D74" s="590">
        <f t="shared" si="6"/>
        <v>328229</v>
      </c>
      <c r="E74" s="590">
        <f t="shared" si="7"/>
        <v>-45498</v>
      </c>
    </row>
    <row r="75" spans="1:5" s="421" customFormat="1" x14ac:dyDescent="0.2">
      <c r="A75" s="588">
        <v>7</v>
      </c>
      <c r="B75" s="587" t="s">
        <v>790</v>
      </c>
      <c r="C75" s="590">
        <f t="shared" si="6"/>
        <v>4482422</v>
      </c>
      <c r="D75" s="590">
        <f t="shared" si="6"/>
        <v>1960939</v>
      </c>
      <c r="E75" s="590">
        <f t="shared" si="7"/>
        <v>-2521483</v>
      </c>
    </row>
    <row r="76" spans="1:5" s="421" customFormat="1" x14ac:dyDescent="0.2">
      <c r="A76" s="588"/>
      <c r="B76" s="592" t="s">
        <v>796</v>
      </c>
      <c r="C76" s="593">
        <f>SUM(C70+C71+C74)</f>
        <v>100717737</v>
      </c>
      <c r="D76" s="593">
        <f>SUM(D70+D71+D74)</f>
        <v>107513533</v>
      </c>
      <c r="E76" s="593">
        <f t="shared" si="7"/>
        <v>6795796</v>
      </c>
    </row>
    <row r="77" spans="1:5" s="421" customFormat="1" x14ac:dyDescent="0.2">
      <c r="A77" s="588"/>
      <c r="B77" s="592" t="s">
        <v>729</v>
      </c>
      <c r="C77" s="593">
        <f>SUM(C69+C76)</f>
        <v>324409802</v>
      </c>
      <c r="D77" s="593">
        <f>SUM(D69+D76)</f>
        <v>343899428</v>
      </c>
      <c r="E77" s="593">
        <f t="shared" si="7"/>
        <v>19489626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797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798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659</v>
      </c>
      <c r="C83" s="599">
        <f t="shared" ref="C83:D89" si="8">IF(C$44=0,0,C14/C$44)</f>
        <v>0.16557067889599586</v>
      </c>
      <c r="D83" s="599">
        <f t="shared" si="8"/>
        <v>0.17657739891905755</v>
      </c>
      <c r="E83" s="599">
        <f t="shared" ref="E83:E91" si="9">D83-C83</f>
        <v>1.1006720023061689E-2</v>
      </c>
    </row>
    <row r="84" spans="1:5" s="421" customFormat="1" x14ac:dyDescent="0.2">
      <c r="A84" s="588">
        <v>2</v>
      </c>
      <c r="B84" s="587" t="s">
        <v>638</v>
      </c>
      <c r="C84" s="599">
        <f t="shared" si="8"/>
        <v>0.21438498611734394</v>
      </c>
      <c r="D84" s="599">
        <f t="shared" si="8"/>
        <v>0.20908461704528214</v>
      </c>
      <c r="E84" s="599">
        <f t="shared" si="9"/>
        <v>-5.3003690720618002E-3</v>
      </c>
    </row>
    <row r="85" spans="1:5" s="421" customFormat="1" x14ac:dyDescent="0.2">
      <c r="A85" s="588">
        <v>3</v>
      </c>
      <c r="B85" s="587" t="s">
        <v>780</v>
      </c>
      <c r="C85" s="599">
        <f t="shared" si="8"/>
        <v>2.1740170397402309E-2</v>
      </c>
      <c r="D85" s="599">
        <f t="shared" si="8"/>
        <v>2.2344643882745249E-2</v>
      </c>
      <c r="E85" s="599">
        <f t="shared" si="9"/>
        <v>6.0447348534294065E-4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1.0177482259050656E-2</v>
      </c>
      <c r="D86" s="599">
        <f t="shared" si="8"/>
        <v>1.0875203700617902E-2</v>
      </c>
      <c r="E86" s="599">
        <f t="shared" si="9"/>
        <v>6.9772144156724641E-4</v>
      </c>
    </row>
    <row r="87" spans="1:5" s="421" customFormat="1" x14ac:dyDescent="0.2">
      <c r="A87" s="588">
        <v>5</v>
      </c>
      <c r="B87" s="587" t="s">
        <v>746</v>
      </c>
      <c r="C87" s="599">
        <f t="shared" si="8"/>
        <v>1.1562688138351651E-2</v>
      </c>
      <c r="D87" s="599">
        <f t="shared" si="8"/>
        <v>1.1469440182127347E-2</v>
      </c>
      <c r="E87" s="599">
        <f t="shared" si="9"/>
        <v>-9.3247956224304027E-5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3.0562575089428215E-4</v>
      </c>
      <c r="D88" s="599">
        <f t="shared" si="8"/>
        <v>3.6821107712019236E-4</v>
      </c>
      <c r="E88" s="599">
        <f t="shared" si="9"/>
        <v>6.2585326225910202E-5</v>
      </c>
    </row>
    <row r="89" spans="1:5" s="421" customFormat="1" x14ac:dyDescent="0.2">
      <c r="A89" s="588">
        <v>7</v>
      </c>
      <c r="B89" s="587" t="s">
        <v>761</v>
      </c>
      <c r="C89" s="599">
        <f t="shared" si="8"/>
        <v>6.175268075521787E-3</v>
      </c>
      <c r="D89" s="599">
        <f t="shared" si="8"/>
        <v>4.0769123050034732E-3</v>
      </c>
      <c r="E89" s="599">
        <f t="shared" si="9"/>
        <v>-2.0983557705183137E-3</v>
      </c>
    </row>
    <row r="90" spans="1:5" s="421" customFormat="1" x14ac:dyDescent="0.2">
      <c r="A90" s="588"/>
      <c r="B90" s="592" t="s">
        <v>799</v>
      </c>
      <c r="C90" s="600">
        <f>SUM(C84+C85+C88)</f>
        <v>0.23643078226564054</v>
      </c>
      <c r="D90" s="600">
        <f>SUM(D84+D85+D88)</f>
        <v>0.23179747200514758</v>
      </c>
      <c r="E90" s="601">
        <f t="shared" si="9"/>
        <v>-4.6333102604929621E-3</v>
      </c>
    </row>
    <row r="91" spans="1:5" s="421" customFormat="1" x14ac:dyDescent="0.2">
      <c r="A91" s="588"/>
      <c r="B91" s="592" t="s">
        <v>800</v>
      </c>
      <c r="C91" s="600">
        <f>SUM(C83+C90)</f>
        <v>0.40200146116163638</v>
      </c>
      <c r="D91" s="600">
        <f>SUM(D83+D90)</f>
        <v>0.4083748709242051</v>
      </c>
      <c r="E91" s="601">
        <f t="shared" si="9"/>
        <v>6.3734097625687269E-3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801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659</v>
      </c>
      <c r="C95" s="599">
        <f t="shared" ref="C95:D101" si="10">IF(C$44=0,0,C25/C$44)</f>
        <v>0.37409658281339403</v>
      </c>
      <c r="D95" s="599">
        <f t="shared" si="10"/>
        <v>0.35728226984187988</v>
      </c>
      <c r="E95" s="599">
        <f t="shared" ref="E95:E103" si="11">D95-C95</f>
        <v>-1.6814312971514145E-2</v>
      </c>
    </row>
    <row r="96" spans="1:5" s="421" customFormat="1" x14ac:dyDescent="0.2">
      <c r="A96" s="588">
        <v>2</v>
      </c>
      <c r="B96" s="587" t="s">
        <v>638</v>
      </c>
      <c r="C96" s="599">
        <f t="shared" si="10"/>
        <v>0.19022423017454151</v>
      </c>
      <c r="D96" s="599">
        <f t="shared" si="10"/>
        <v>0.19597762391719628</v>
      </c>
      <c r="E96" s="599">
        <f t="shared" si="11"/>
        <v>5.7533937426547666E-3</v>
      </c>
    </row>
    <row r="97" spans="1:5" s="421" customFormat="1" x14ac:dyDescent="0.2">
      <c r="A97" s="588">
        <v>3</v>
      </c>
      <c r="B97" s="587" t="s">
        <v>780</v>
      </c>
      <c r="C97" s="599">
        <f t="shared" si="10"/>
        <v>3.3271814525532989E-2</v>
      </c>
      <c r="D97" s="599">
        <f t="shared" si="10"/>
        <v>3.784488682211519E-2</v>
      </c>
      <c r="E97" s="599">
        <f t="shared" si="11"/>
        <v>4.5730722965822007E-3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2.1873445146046045E-2</v>
      </c>
      <c r="D98" s="599">
        <f t="shared" si="10"/>
        <v>2.5124480233429822E-2</v>
      </c>
      <c r="E98" s="599">
        <f t="shared" si="11"/>
        <v>3.2510350873837766E-3</v>
      </c>
    </row>
    <row r="99" spans="1:5" s="421" customFormat="1" x14ac:dyDescent="0.2">
      <c r="A99" s="588">
        <v>5</v>
      </c>
      <c r="B99" s="587" t="s">
        <v>746</v>
      </c>
      <c r="C99" s="599">
        <f t="shared" si="10"/>
        <v>1.1398369379486944E-2</v>
      </c>
      <c r="D99" s="599">
        <f t="shared" si="10"/>
        <v>1.272040658868537E-2</v>
      </c>
      <c r="E99" s="599">
        <f t="shared" si="11"/>
        <v>1.3220372091984258E-3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4.0591132489507131E-4</v>
      </c>
      <c r="D100" s="599">
        <f t="shared" si="10"/>
        <v>5.2034849460353707E-4</v>
      </c>
      <c r="E100" s="599">
        <f t="shared" si="11"/>
        <v>1.1443716970846576E-4</v>
      </c>
    </row>
    <row r="101" spans="1:5" s="421" customFormat="1" x14ac:dyDescent="0.2">
      <c r="A101" s="588">
        <v>7</v>
      </c>
      <c r="B101" s="587" t="s">
        <v>761</v>
      </c>
      <c r="C101" s="599">
        <f t="shared" si="10"/>
        <v>2.510290645875965E-2</v>
      </c>
      <c r="D101" s="599">
        <f t="shared" si="10"/>
        <v>2.2627359358067433E-2</v>
      </c>
      <c r="E101" s="599">
        <f t="shared" si="11"/>
        <v>-2.4755471006922165E-3</v>
      </c>
    </row>
    <row r="102" spans="1:5" s="421" customFormat="1" x14ac:dyDescent="0.2">
      <c r="A102" s="588"/>
      <c r="B102" s="592" t="s">
        <v>802</v>
      </c>
      <c r="C102" s="600">
        <f>SUM(C96+C97+C100)</f>
        <v>0.22390195602496957</v>
      </c>
      <c r="D102" s="600">
        <f>SUM(D96+D97+D100)</f>
        <v>0.23434285923391501</v>
      </c>
      <c r="E102" s="601">
        <f t="shared" si="11"/>
        <v>1.0440903208945446E-2</v>
      </c>
    </row>
    <row r="103" spans="1:5" s="421" customFormat="1" x14ac:dyDescent="0.2">
      <c r="A103" s="588"/>
      <c r="B103" s="592" t="s">
        <v>803</v>
      </c>
      <c r="C103" s="600">
        <f>SUM(C95+C102)</f>
        <v>0.59799853883836362</v>
      </c>
      <c r="D103" s="600">
        <f>SUM(D95+D102)</f>
        <v>0.5916251290757949</v>
      </c>
      <c r="E103" s="601">
        <f t="shared" si="11"/>
        <v>-6.3734097625687269E-3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804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805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659</v>
      </c>
      <c r="C109" s="599">
        <f t="shared" ref="C109:D115" si="12">IF(C$77=0,0,C47/C$77)</f>
        <v>0.24861156322274133</v>
      </c>
      <c r="D109" s="599">
        <f t="shared" si="12"/>
        <v>0.24781025515401556</v>
      </c>
      <c r="E109" s="599">
        <f t="shared" ref="E109:E117" si="13">D109-C109</f>
        <v>-8.0130806872577565E-4</v>
      </c>
    </row>
    <row r="110" spans="1:5" s="421" customFormat="1" x14ac:dyDescent="0.2">
      <c r="A110" s="588">
        <v>2</v>
      </c>
      <c r="B110" s="587" t="s">
        <v>638</v>
      </c>
      <c r="C110" s="599">
        <f t="shared" si="12"/>
        <v>0.17707529379768863</v>
      </c>
      <c r="D110" s="599">
        <f t="shared" si="12"/>
        <v>0.17298491697404045</v>
      </c>
      <c r="E110" s="599">
        <f t="shared" si="13"/>
        <v>-4.0903768236481841E-3</v>
      </c>
    </row>
    <row r="111" spans="1:5" s="421" customFormat="1" x14ac:dyDescent="0.2">
      <c r="A111" s="588">
        <v>3</v>
      </c>
      <c r="B111" s="587" t="s">
        <v>780</v>
      </c>
      <c r="C111" s="599">
        <f t="shared" si="12"/>
        <v>1.5751281152719301E-2</v>
      </c>
      <c r="D111" s="599">
        <f t="shared" si="12"/>
        <v>1.5590465012346575E-2</v>
      </c>
      <c r="E111" s="599">
        <f t="shared" si="13"/>
        <v>-1.6081614037272672E-4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7.7355060930002356E-3</v>
      </c>
      <c r="D112" s="599">
        <f t="shared" si="12"/>
        <v>1.097256841032024E-2</v>
      </c>
      <c r="E112" s="599">
        <f t="shared" si="13"/>
        <v>3.2370623173200042E-3</v>
      </c>
    </row>
    <row r="113" spans="1:5" s="421" customFormat="1" x14ac:dyDescent="0.2">
      <c r="A113" s="588">
        <v>5</v>
      </c>
      <c r="B113" s="587" t="s">
        <v>746</v>
      </c>
      <c r="C113" s="599">
        <f t="shared" si="12"/>
        <v>8.0157750597190641E-3</v>
      </c>
      <c r="D113" s="599">
        <f t="shared" si="12"/>
        <v>4.617896602026334E-3</v>
      </c>
      <c r="E113" s="599">
        <f t="shared" si="13"/>
        <v>-3.3978784576927301E-3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3.4577870122432365E-4</v>
      </c>
      <c r="D114" s="599">
        <f t="shared" si="12"/>
        <v>2.0135247215357393E-4</v>
      </c>
      <c r="E114" s="599">
        <f t="shared" si="13"/>
        <v>-1.4442622907074972E-4</v>
      </c>
    </row>
    <row r="115" spans="1:5" s="421" customFormat="1" x14ac:dyDescent="0.2">
      <c r="A115" s="588">
        <v>7</v>
      </c>
      <c r="B115" s="587" t="s">
        <v>761</v>
      </c>
      <c r="C115" s="599">
        <f t="shared" si="12"/>
        <v>1.1987692653010527E-2</v>
      </c>
      <c r="D115" s="599">
        <f t="shared" si="12"/>
        <v>7.1700322804840494E-4</v>
      </c>
      <c r="E115" s="599">
        <f t="shared" si="13"/>
        <v>-1.1270689424962121E-2</v>
      </c>
    </row>
    <row r="116" spans="1:5" s="421" customFormat="1" x14ac:dyDescent="0.2">
      <c r="A116" s="588"/>
      <c r="B116" s="592" t="s">
        <v>799</v>
      </c>
      <c r="C116" s="600">
        <f>SUM(C110+C111+C114)</f>
        <v>0.19317235365163227</v>
      </c>
      <c r="D116" s="600">
        <f>SUM(D110+D111+D114)</f>
        <v>0.1887767344585406</v>
      </c>
      <c r="E116" s="601">
        <f t="shared" si="13"/>
        <v>-4.395619193091671E-3</v>
      </c>
    </row>
    <row r="117" spans="1:5" s="421" customFormat="1" x14ac:dyDescent="0.2">
      <c r="A117" s="588"/>
      <c r="B117" s="592" t="s">
        <v>800</v>
      </c>
      <c r="C117" s="600">
        <f>SUM(C109+C116)</f>
        <v>0.44178391687437357</v>
      </c>
      <c r="D117" s="600">
        <f>SUM(D109+D116)</f>
        <v>0.43658698961255615</v>
      </c>
      <c r="E117" s="601">
        <f t="shared" si="13"/>
        <v>-5.1969272618174189E-3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806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659</v>
      </c>
      <c r="C121" s="599">
        <f t="shared" ref="C121:D127" si="14">IF(C$77=0,0,C58/C$77)</f>
        <v>0.44092390586891084</v>
      </c>
      <c r="D121" s="599">
        <f t="shared" si="14"/>
        <v>0.43955900386086133</v>
      </c>
      <c r="E121" s="599">
        <f t="shared" ref="E121:E129" si="15">D121-C121</f>
        <v>-1.3649020080495067E-3</v>
      </c>
    </row>
    <row r="122" spans="1:5" s="421" customFormat="1" x14ac:dyDescent="0.2">
      <c r="A122" s="588">
        <v>2</v>
      </c>
      <c r="B122" s="587" t="s">
        <v>638</v>
      </c>
      <c r="C122" s="599">
        <f t="shared" si="14"/>
        <v>9.5439924469359894E-2</v>
      </c>
      <c r="D122" s="599">
        <f t="shared" si="14"/>
        <v>0.10344215227947398</v>
      </c>
      <c r="E122" s="599">
        <f t="shared" si="15"/>
        <v>8.0022278101140876E-3</v>
      </c>
    </row>
    <row r="123" spans="1:5" s="421" customFormat="1" x14ac:dyDescent="0.2">
      <c r="A123" s="588">
        <v>3</v>
      </c>
      <c r="B123" s="587" t="s">
        <v>780</v>
      </c>
      <c r="C123" s="599">
        <f t="shared" si="14"/>
        <v>2.1046010194229581E-2</v>
      </c>
      <c r="D123" s="599">
        <f t="shared" si="14"/>
        <v>1.965877361098722E-2</v>
      </c>
      <c r="E123" s="599">
        <f t="shared" si="15"/>
        <v>-1.3872365832423607E-3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1.2987049016478238E-2</v>
      </c>
      <c r="D124" s="599">
        <f t="shared" si="14"/>
        <v>1.361336954593597E-2</v>
      </c>
      <c r="E124" s="599">
        <f t="shared" si="15"/>
        <v>6.2632052945773252E-4</v>
      </c>
    </row>
    <row r="125" spans="1:5" s="421" customFormat="1" x14ac:dyDescent="0.2">
      <c r="A125" s="588">
        <v>5</v>
      </c>
      <c r="B125" s="587" t="s">
        <v>746</v>
      </c>
      <c r="C125" s="599">
        <f t="shared" si="14"/>
        <v>8.0589611777513431E-3</v>
      </c>
      <c r="D125" s="599">
        <f t="shared" si="14"/>
        <v>6.0454040650512507E-3</v>
      </c>
      <c r="E125" s="599">
        <f t="shared" si="15"/>
        <v>-2.0135571127000923E-3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8.0624259312608566E-4</v>
      </c>
      <c r="D126" s="599">
        <f t="shared" si="14"/>
        <v>7.5308063612132558E-4</v>
      </c>
      <c r="E126" s="599">
        <f t="shared" si="15"/>
        <v>-5.316195700476008E-5</v>
      </c>
    </row>
    <row r="127" spans="1:5" s="421" customFormat="1" x14ac:dyDescent="0.2">
      <c r="A127" s="588">
        <v>7</v>
      </c>
      <c r="B127" s="587" t="s">
        <v>761</v>
      </c>
      <c r="C127" s="599">
        <f t="shared" si="14"/>
        <v>1.8294669160458968E-3</v>
      </c>
      <c r="D127" s="599">
        <f t="shared" si="14"/>
        <v>4.9850679018867113E-3</v>
      </c>
      <c r="E127" s="599">
        <f t="shared" si="15"/>
        <v>3.1556009858408145E-3</v>
      </c>
    </row>
    <row r="128" spans="1:5" s="421" customFormat="1" x14ac:dyDescent="0.2">
      <c r="A128" s="588"/>
      <c r="B128" s="592" t="s">
        <v>802</v>
      </c>
      <c r="C128" s="600">
        <f>SUM(C122+C123+C126)</f>
        <v>0.11729217725671556</v>
      </c>
      <c r="D128" s="600">
        <f>SUM(D122+D123+D126)</f>
        <v>0.12385400652658253</v>
      </c>
      <c r="E128" s="601">
        <f t="shared" si="15"/>
        <v>6.5618292698669672E-3</v>
      </c>
    </row>
    <row r="129" spans="1:5" s="421" customFormat="1" x14ac:dyDescent="0.2">
      <c r="A129" s="588"/>
      <c r="B129" s="592" t="s">
        <v>803</v>
      </c>
      <c r="C129" s="600">
        <f>SUM(C121+C128)</f>
        <v>0.55821608312562643</v>
      </c>
      <c r="D129" s="600">
        <f>SUM(D121+D128)</f>
        <v>0.56341301038744385</v>
      </c>
      <c r="E129" s="601">
        <f t="shared" si="15"/>
        <v>5.1969272618174189E-3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807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808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809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659</v>
      </c>
      <c r="C137" s="606">
        <v>6891</v>
      </c>
      <c r="D137" s="606">
        <v>7182</v>
      </c>
      <c r="E137" s="607">
        <f t="shared" ref="E137:E145" si="16">D137-C137</f>
        <v>291</v>
      </c>
    </row>
    <row r="138" spans="1:5" s="421" customFormat="1" x14ac:dyDescent="0.2">
      <c r="A138" s="588">
        <v>2</v>
      </c>
      <c r="B138" s="587" t="s">
        <v>638</v>
      </c>
      <c r="C138" s="606">
        <v>4888</v>
      </c>
      <c r="D138" s="606">
        <v>4545</v>
      </c>
      <c r="E138" s="607">
        <f t="shared" si="16"/>
        <v>-343</v>
      </c>
    </row>
    <row r="139" spans="1:5" s="421" customFormat="1" x14ac:dyDescent="0.2">
      <c r="A139" s="588">
        <v>3</v>
      </c>
      <c r="B139" s="587" t="s">
        <v>780</v>
      </c>
      <c r="C139" s="606">
        <f>C140+C141</f>
        <v>647</v>
      </c>
      <c r="D139" s="606">
        <f>D140+D141</f>
        <v>797</v>
      </c>
      <c r="E139" s="607">
        <f t="shared" si="16"/>
        <v>150</v>
      </c>
    </row>
    <row r="140" spans="1:5" s="421" customFormat="1" x14ac:dyDescent="0.2">
      <c r="A140" s="588">
        <v>4</v>
      </c>
      <c r="B140" s="587" t="s">
        <v>115</v>
      </c>
      <c r="C140" s="606">
        <v>370</v>
      </c>
      <c r="D140" s="606">
        <v>416</v>
      </c>
      <c r="E140" s="607">
        <f t="shared" si="16"/>
        <v>46</v>
      </c>
    </row>
    <row r="141" spans="1:5" s="421" customFormat="1" x14ac:dyDescent="0.2">
      <c r="A141" s="588">
        <v>5</v>
      </c>
      <c r="B141" s="587" t="s">
        <v>746</v>
      </c>
      <c r="C141" s="606">
        <v>277</v>
      </c>
      <c r="D141" s="606">
        <v>381</v>
      </c>
      <c r="E141" s="607">
        <f t="shared" si="16"/>
        <v>104</v>
      </c>
    </row>
    <row r="142" spans="1:5" s="421" customFormat="1" x14ac:dyDescent="0.2">
      <c r="A142" s="588">
        <v>6</v>
      </c>
      <c r="B142" s="587" t="s">
        <v>424</v>
      </c>
      <c r="C142" s="606">
        <v>13</v>
      </c>
      <c r="D142" s="606">
        <v>14</v>
      </c>
      <c r="E142" s="607">
        <f t="shared" si="16"/>
        <v>1</v>
      </c>
    </row>
    <row r="143" spans="1:5" s="421" customFormat="1" x14ac:dyDescent="0.2">
      <c r="A143" s="588">
        <v>7</v>
      </c>
      <c r="B143" s="587" t="s">
        <v>761</v>
      </c>
      <c r="C143" s="606">
        <v>340</v>
      </c>
      <c r="D143" s="606">
        <v>167</v>
      </c>
      <c r="E143" s="607">
        <f t="shared" si="16"/>
        <v>-173</v>
      </c>
    </row>
    <row r="144" spans="1:5" s="421" customFormat="1" x14ac:dyDescent="0.2">
      <c r="A144" s="588"/>
      <c r="B144" s="592" t="s">
        <v>810</v>
      </c>
      <c r="C144" s="608">
        <f>SUM(C138+C139+C142)</f>
        <v>5548</v>
      </c>
      <c r="D144" s="608">
        <f>SUM(D138+D139+D142)</f>
        <v>5356</v>
      </c>
      <c r="E144" s="609">
        <f t="shared" si="16"/>
        <v>-192</v>
      </c>
    </row>
    <row r="145" spans="1:5" s="421" customFormat="1" x14ac:dyDescent="0.2">
      <c r="A145" s="588"/>
      <c r="B145" s="592" t="s">
        <v>138</v>
      </c>
      <c r="C145" s="608">
        <f>SUM(C137+C144)</f>
        <v>12439</v>
      </c>
      <c r="D145" s="608">
        <f>SUM(D137+D144)</f>
        <v>12538</v>
      </c>
      <c r="E145" s="609">
        <f t="shared" si="16"/>
        <v>99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659</v>
      </c>
      <c r="C149" s="610">
        <v>23492</v>
      </c>
      <c r="D149" s="610">
        <v>25309</v>
      </c>
      <c r="E149" s="607">
        <f t="shared" ref="E149:E157" si="17">D149-C149</f>
        <v>1817</v>
      </c>
    </row>
    <row r="150" spans="1:5" s="421" customFormat="1" x14ac:dyDescent="0.2">
      <c r="A150" s="588">
        <v>2</v>
      </c>
      <c r="B150" s="587" t="s">
        <v>638</v>
      </c>
      <c r="C150" s="610">
        <v>25711</v>
      </c>
      <c r="D150" s="610">
        <v>25954</v>
      </c>
      <c r="E150" s="607">
        <f t="shared" si="17"/>
        <v>243</v>
      </c>
    </row>
    <row r="151" spans="1:5" s="421" customFormat="1" x14ac:dyDescent="0.2">
      <c r="A151" s="588">
        <v>3</v>
      </c>
      <c r="B151" s="587" t="s">
        <v>780</v>
      </c>
      <c r="C151" s="610">
        <f>C152+C153</f>
        <v>2707</v>
      </c>
      <c r="D151" s="610">
        <f>D152+D153</f>
        <v>3206</v>
      </c>
      <c r="E151" s="607">
        <f t="shared" si="17"/>
        <v>499</v>
      </c>
    </row>
    <row r="152" spans="1:5" s="421" customFormat="1" x14ac:dyDescent="0.2">
      <c r="A152" s="588">
        <v>4</v>
      </c>
      <c r="B152" s="587" t="s">
        <v>115</v>
      </c>
      <c r="C152" s="610">
        <v>1381</v>
      </c>
      <c r="D152" s="610">
        <v>1607</v>
      </c>
      <c r="E152" s="607">
        <f t="shared" si="17"/>
        <v>226</v>
      </c>
    </row>
    <row r="153" spans="1:5" s="421" customFormat="1" x14ac:dyDescent="0.2">
      <c r="A153" s="588">
        <v>5</v>
      </c>
      <c r="B153" s="587" t="s">
        <v>746</v>
      </c>
      <c r="C153" s="611">
        <v>1326</v>
      </c>
      <c r="D153" s="610">
        <v>1599</v>
      </c>
      <c r="E153" s="607">
        <f t="shared" si="17"/>
        <v>273</v>
      </c>
    </row>
    <row r="154" spans="1:5" s="421" customFormat="1" x14ac:dyDescent="0.2">
      <c r="A154" s="588">
        <v>6</v>
      </c>
      <c r="B154" s="587" t="s">
        <v>424</v>
      </c>
      <c r="C154" s="610">
        <v>54</v>
      </c>
      <c r="D154" s="610">
        <v>40</v>
      </c>
      <c r="E154" s="607">
        <f t="shared" si="17"/>
        <v>-14</v>
      </c>
    </row>
    <row r="155" spans="1:5" s="421" customFormat="1" x14ac:dyDescent="0.2">
      <c r="A155" s="588">
        <v>7</v>
      </c>
      <c r="B155" s="587" t="s">
        <v>761</v>
      </c>
      <c r="C155" s="610">
        <v>1324</v>
      </c>
      <c r="D155" s="610">
        <v>515</v>
      </c>
      <c r="E155" s="607">
        <f t="shared" si="17"/>
        <v>-809</v>
      </c>
    </row>
    <row r="156" spans="1:5" s="421" customFormat="1" x14ac:dyDescent="0.2">
      <c r="A156" s="588"/>
      <c r="B156" s="592" t="s">
        <v>811</v>
      </c>
      <c r="C156" s="608">
        <f>SUM(C150+C151+C154)</f>
        <v>28472</v>
      </c>
      <c r="D156" s="608">
        <f>SUM(D150+D151+D154)</f>
        <v>29200</v>
      </c>
      <c r="E156" s="609">
        <f t="shared" si="17"/>
        <v>728</v>
      </c>
    </row>
    <row r="157" spans="1:5" s="421" customFormat="1" x14ac:dyDescent="0.2">
      <c r="A157" s="588"/>
      <c r="B157" s="592" t="s">
        <v>140</v>
      </c>
      <c r="C157" s="608">
        <f>SUM(C149+C156)</f>
        <v>51964</v>
      </c>
      <c r="D157" s="608">
        <f>SUM(D149+D156)</f>
        <v>54509</v>
      </c>
      <c r="E157" s="609">
        <f t="shared" si="17"/>
        <v>2545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812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659</v>
      </c>
      <c r="C161" s="612">
        <f t="shared" ref="C161:D169" si="18">IF(C137=0,0,C149/C137)</f>
        <v>3.4090843128718618</v>
      </c>
      <c r="D161" s="612">
        <f t="shared" si="18"/>
        <v>3.5239487607908662</v>
      </c>
      <c r="E161" s="613">
        <f t="shared" ref="E161:E169" si="19">D161-C161</f>
        <v>0.11486444791900441</v>
      </c>
    </row>
    <row r="162" spans="1:5" s="421" customFormat="1" x14ac:dyDescent="0.2">
      <c r="A162" s="588">
        <v>2</v>
      </c>
      <c r="B162" s="587" t="s">
        <v>638</v>
      </c>
      <c r="C162" s="612">
        <f t="shared" si="18"/>
        <v>5.2600245499181666</v>
      </c>
      <c r="D162" s="612">
        <f t="shared" si="18"/>
        <v>5.7104510451045103</v>
      </c>
      <c r="E162" s="613">
        <f t="shared" si="19"/>
        <v>0.4504264951863437</v>
      </c>
    </row>
    <row r="163" spans="1:5" s="421" customFormat="1" x14ac:dyDescent="0.2">
      <c r="A163" s="588">
        <v>3</v>
      </c>
      <c r="B163" s="587" t="s">
        <v>780</v>
      </c>
      <c r="C163" s="612">
        <f t="shared" si="18"/>
        <v>4.1839258114374038</v>
      </c>
      <c r="D163" s="612">
        <f t="shared" si="18"/>
        <v>4.0225846925972393</v>
      </c>
      <c r="E163" s="613">
        <f t="shared" si="19"/>
        <v>-0.16134111884016455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3.7324324324324323</v>
      </c>
      <c r="D164" s="612">
        <f t="shared" si="18"/>
        <v>3.8629807692307692</v>
      </c>
      <c r="E164" s="613">
        <f t="shared" si="19"/>
        <v>0.13054833679833688</v>
      </c>
    </row>
    <row r="165" spans="1:5" s="421" customFormat="1" x14ac:dyDescent="0.2">
      <c r="A165" s="588">
        <v>5</v>
      </c>
      <c r="B165" s="587" t="s">
        <v>746</v>
      </c>
      <c r="C165" s="612">
        <f t="shared" si="18"/>
        <v>4.7870036101083029</v>
      </c>
      <c r="D165" s="612">
        <f t="shared" si="18"/>
        <v>4.1968503937007871</v>
      </c>
      <c r="E165" s="613">
        <f t="shared" si="19"/>
        <v>-0.59015321640751583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4.1538461538461542</v>
      </c>
      <c r="D166" s="612">
        <f t="shared" si="18"/>
        <v>2.8571428571428572</v>
      </c>
      <c r="E166" s="613">
        <f t="shared" si="19"/>
        <v>-1.296703296703297</v>
      </c>
    </row>
    <row r="167" spans="1:5" s="421" customFormat="1" x14ac:dyDescent="0.2">
      <c r="A167" s="588">
        <v>7</v>
      </c>
      <c r="B167" s="587" t="s">
        <v>761</v>
      </c>
      <c r="C167" s="612">
        <f t="shared" si="18"/>
        <v>3.8941176470588235</v>
      </c>
      <c r="D167" s="612">
        <f t="shared" si="18"/>
        <v>3.0838323353293413</v>
      </c>
      <c r="E167" s="613">
        <f t="shared" si="19"/>
        <v>-0.81028531172948215</v>
      </c>
    </row>
    <row r="168" spans="1:5" s="421" customFormat="1" x14ac:dyDescent="0.2">
      <c r="A168" s="588"/>
      <c r="B168" s="592" t="s">
        <v>813</v>
      </c>
      <c r="C168" s="614">
        <f t="shared" si="18"/>
        <v>5.1319394376351841</v>
      </c>
      <c r="D168" s="614">
        <f t="shared" si="18"/>
        <v>5.4518297236743836</v>
      </c>
      <c r="E168" s="615">
        <f t="shared" si="19"/>
        <v>0.31989028603919945</v>
      </c>
    </row>
    <row r="169" spans="1:5" s="421" customFormat="1" x14ac:dyDescent="0.2">
      <c r="A169" s="588"/>
      <c r="B169" s="592" t="s">
        <v>747</v>
      </c>
      <c r="C169" s="614">
        <f t="shared" si="18"/>
        <v>4.1775062304043731</v>
      </c>
      <c r="D169" s="614">
        <f t="shared" si="18"/>
        <v>4.3475035890891691</v>
      </c>
      <c r="E169" s="615">
        <f t="shared" si="19"/>
        <v>0.16999735868479604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814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659</v>
      </c>
      <c r="C173" s="617">
        <f t="shared" ref="C173:D181" si="20">IF(C137=0,0,C203/C137)</f>
        <v>0.87033999999999989</v>
      </c>
      <c r="D173" s="617">
        <f t="shared" si="20"/>
        <v>0.90366999999999997</v>
      </c>
      <c r="E173" s="618">
        <f t="shared" ref="E173:E181" si="21">D173-C173</f>
        <v>3.3330000000000082E-2</v>
      </c>
    </row>
    <row r="174" spans="1:5" s="421" customFormat="1" x14ac:dyDescent="0.2">
      <c r="A174" s="588">
        <v>2</v>
      </c>
      <c r="B174" s="587" t="s">
        <v>638</v>
      </c>
      <c r="C174" s="617">
        <f t="shared" si="20"/>
        <v>1.4593700000000001</v>
      </c>
      <c r="D174" s="617">
        <f t="shared" si="20"/>
        <v>1.57877</v>
      </c>
      <c r="E174" s="618">
        <f t="shared" si="21"/>
        <v>0.11939999999999995</v>
      </c>
    </row>
    <row r="175" spans="1:5" s="421" customFormat="1" x14ac:dyDescent="0.2">
      <c r="A175" s="588">
        <v>3</v>
      </c>
      <c r="B175" s="587" t="s">
        <v>780</v>
      </c>
      <c r="C175" s="617">
        <f t="shared" si="20"/>
        <v>1.0239293817619786</v>
      </c>
      <c r="D175" s="617">
        <f t="shared" si="20"/>
        <v>1.0759093099121706</v>
      </c>
      <c r="E175" s="618">
        <f t="shared" si="21"/>
        <v>5.1979928150192034E-2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0.92637999999999998</v>
      </c>
      <c r="D176" s="617">
        <f t="shared" si="20"/>
        <v>0.99914999999999998</v>
      </c>
      <c r="E176" s="618">
        <f t="shared" si="21"/>
        <v>7.2770000000000001E-2</v>
      </c>
    </row>
    <row r="177" spans="1:5" s="421" customFormat="1" x14ac:dyDescent="0.2">
      <c r="A177" s="588">
        <v>5</v>
      </c>
      <c r="B177" s="587" t="s">
        <v>746</v>
      </c>
      <c r="C177" s="617">
        <f t="shared" si="20"/>
        <v>1.1542300000000001</v>
      </c>
      <c r="D177" s="617">
        <f t="shared" si="20"/>
        <v>1.1597200000000001</v>
      </c>
      <c r="E177" s="618">
        <f t="shared" si="21"/>
        <v>5.4899999999999949E-3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0.69643999999999984</v>
      </c>
      <c r="D178" s="617">
        <f t="shared" si="20"/>
        <v>1.0708</v>
      </c>
      <c r="E178" s="618">
        <f t="shared" si="21"/>
        <v>0.37436000000000014</v>
      </c>
    </row>
    <row r="179" spans="1:5" s="421" customFormat="1" x14ac:dyDescent="0.2">
      <c r="A179" s="588">
        <v>7</v>
      </c>
      <c r="B179" s="587" t="s">
        <v>761</v>
      </c>
      <c r="C179" s="617">
        <f t="shared" si="20"/>
        <v>0.98687000000000002</v>
      </c>
      <c r="D179" s="617">
        <f t="shared" si="20"/>
        <v>1.0280499999999999</v>
      </c>
      <c r="E179" s="618">
        <f t="shared" si="21"/>
        <v>4.1179999999999883E-2</v>
      </c>
    </row>
    <row r="180" spans="1:5" s="421" customFormat="1" x14ac:dyDescent="0.2">
      <c r="A180" s="588"/>
      <c r="B180" s="592" t="s">
        <v>815</v>
      </c>
      <c r="C180" s="619">
        <f t="shared" si="20"/>
        <v>1.4068018366979091</v>
      </c>
      <c r="D180" s="619">
        <f t="shared" si="20"/>
        <v>1.502613997386109</v>
      </c>
      <c r="E180" s="620">
        <f t="shared" si="21"/>
        <v>9.5812160688199866E-2</v>
      </c>
    </row>
    <row r="181" spans="1:5" s="421" customFormat="1" x14ac:dyDescent="0.2">
      <c r="A181" s="588"/>
      <c r="B181" s="592" t="s">
        <v>726</v>
      </c>
      <c r="C181" s="619">
        <f t="shared" si="20"/>
        <v>1.1096108634134576</v>
      </c>
      <c r="D181" s="619">
        <f t="shared" si="20"/>
        <v>1.1595277165417133</v>
      </c>
      <c r="E181" s="620">
        <f t="shared" si="21"/>
        <v>4.9916853128255667E-2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816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817</v>
      </c>
      <c r="C185" s="589">
        <v>527794479</v>
      </c>
      <c r="D185" s="589">
        <v>561179954</v>
      </c>
      <c r="E185" s="590">
        <f>D185-C185</f>
        <v>33385475</v>
      </c>
    </row>
    <row r="186" spans="1:5" s="421" customFormat="1" ht="25.5" x14ac:dyDescent="0.2">
      <c r="A186" s="588">
        <v>2</v>
      </c>
      <c r="B186" s="587" t="s">
        <v>818</v>
      </c>
      <c r="C186" s="589">
        <v>209167420</v>
      </c>
      <c r="D186" s="589">
        <v>225546338</v>
      </c>
      <c r="E186" s="590">
        <f>D186-C186</f>
        <v>16378918</v>
      </c>
    </row>
    <row r="187" spans="1:5" s="421" customFormat="1" x14ac:dyDescent="0.2">
      <c r="A187" s="588"/>
      <c r="B187" s="587" t="s">
        <v>671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750</v>
      </c>
      <c r="C188" s="622">
        <f>+C185-C186</f>
        <v>318627059</v>
      </c>
      <c r="D188" s="622">
        <f>+D185-D186</f>
        <v>335633616</v>
      </c>
      <c r="E188" s="590">
        <f t="shared" ref="E188:E197" si="22">D188-C188</f>
        <v>17006557</v>
      </c>
    </row>
    <row r="189" spans="1:5" s="421" customFormat="1" x14ac:dyDescent="0.2">
      <c r="A189" s="588">
        <v>4</v>
      </c>
      <c r="B189" s="587" t="s">
        <v>673</v>
      </c>
      <c r="C189" s="623">
        <f>IF(C185=0,0,+C188/C185)</f>
        <v>0.60369532398992753</v>
      </c>
      <c r="D189" s="623">
        <f>IF(D185=0,0,+D188/D185)</f>
        <v>0.5980855403113704</v>
      </c>
      <c r="E189" s="599">
        <f t="shared" si="22"/>
        <v>-5.6097836785571342E-3</v>
      </c>
    </row>
    <row r="190" spans="1:5" s="421" customFormat="1" x14ac:dyDescent="0.2">
      <c r="A190" s="588">
        <v>5</v>
      </c>
      <c r="B190" s="587" t="s">
        <v>765</v>
      </c>
      <c r="C190" s="589">
        <v>19412473</v>
      </c>
      <c r="D190" s="589">
        <v>21974981</v>
      </c>
      <c r="E190" s="622">
        <f t="shared" si="22"/>
        <v>2562508</v>
      </c>
    </row>
    <row r="191" spans="1:5" s="421" customFormat="1" x14ac:dyDescent="0.2">
      <c r="A191" s="588">
        <v>6</v>
      </c>
      <c r="B191" s="587" t="s">
        <v>751</v>
      </c>
      <c r="C191" s="589">
        <v>9370250</v>
      </c>
      <c r="D191" s="589">
        <v>13096363</v>
      </c>
      <c r="E191" s="622">
        <f t="shared" si="22"/>
        <v>3726113</v>
      </c>
    </row>
    <row r="192" spans="1:5" ht="29.25" x14ac:dyDescent="0.2">
      <c r="A192" s="588">
        <v>7</v>
      </c>
      <c r="B192" s="624" t="s">
        <v>819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820</v>
      </c>
      <c r="C193" s="589">
        <v>14617978</v>
      </c>
      <c r="D193" s="589">
        <v>19751377</v>
      </c>
      <c r="E193" s="622">
        <f t="shared" si="22"/>
        <v>5133399</v>
      </c>
    </row>
    <row r="194" spans="1:5" s="421" customFormat="1" x14ac:dyDescent="0.2">
      <c r="A194" s="588">
        <v>9</v>
      </c>
      <c r="B194" s="587" t="s">
        <v>821</v>
      </c>
      <c r="C194" s="589">
        <v>14715765</v>
      </c>
      <c r="D194" s="589">
        <v>25084845</v>
      </c>
      <c r="E194" s="622">
        <f t="shared" si="22"/>
        <v>10369080</v>
      </c>
    </row>
    <row r="195" spans="1:5" s="421" customFormat="1" x14ac:dyDescent="0.2">
      <c r="A195" s="588">
        <v>10</v>
      </c>
      <c r="B195" s="587" t="s">
        <v>822</v>
      </c>
      <c r="C195" s="589">
        <f>+C193+C194</f>
        <v>29333743</v>
      </c>
      <c r="D195" s="589">
        <f>+D193+D194</f>
        <v>44836222</v>
      </c>
      <c r="E195" s="625">
        <f t="shared" si="22"/>
        <v>15502479</v>
      </c>
    </row>
    <row r="196" spans="1:5" s="421" customFormat="1" x14ac:dyDescent="0.2">
      <c r="A196" s="588">
        <v>11</v>
      </c>
      <c r="B196" s="587" t="s">
        <v>823</v>
      </c>
      <c r="C196" s="589">
        <v>22586617</v>
      </c>
      <c r="D196" s="589">
        <v>19028550</v>
      </c>
      <c r="E196" s="622">
        <f t="shared" si="22"/>
        <v>-3558067</v>
      </c>
    </row>
    <row r="197" spans="1:5" s="421" customFormat="1" x14ac:dyDescent="0.2">
      <c r="A197" s="588">
        <v>12</v>
      </c>
      <c r="B197" s="587" t="s">
        <v>713</v>
      </c>
      <c r="C197" s="589">
        <v>311019000</v>
      </c>
      <c r="D197" s="589">
        <v>317854000</v>
      </c>
      <c r="E197" s="622">
        <f t="shared" si="22"/>
        <v>6835000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824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825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659</v>
      </c>
      <c r="C203" s="629">
        <v>5997.5129399999996</v>
      </c>
      <c r="D203" s="629">
        <v>6490.1579400000001</v>
      </c>
      <c r="E203" s="630">
        <f t="shared" ref="E203:E211" si="23">D203-C203</f>
        <v>492.64500000000044</v>
      </c>
    </row>
    <row r="204" spans="1:5" s="421" customFormat="1" x14ac:dyDescent="0.2">
      <c r="A204" s="588">
        <v>2</v>
      </c>
      <c r="B204" s="587" t="s">
        <v>638</v>
      </c>
      <c r="C204" s="629">
        <v>7133.40056</v>
      </c>
      <c r="D204" s="629">
        <v>7175.50965</v>
      </c>
      <c r="E204" s="630">
        <f t="shared" si="23"/>
        <v>42.109089999999924</v>
      </c>
    </row>
    <row r="205" spans="1:5" s="421" customFormat="1" x14ac:dyDescent="0.2">
      <c r="A205" s="588">
        <v>3</v>
      </c>
      <c r="B205" s="587" t="s">
        <v>780</v>
      </c>
      <c r="C205" s="629">
        <f>C206+C207</f>
        <v>662.4823100000001</v>
      </c>
      <c r="D205" s="629">
        <f>D206+D207</f>
        <v>857.49972000000002</v>
      </c>
      <c r="E205" s="630">
        <f t="shared" si="23"/>
        <v>195.01740999999993</v>
      </c>
    </row>
    <row r="206" spans="1:5" s="421" customFormat="1" x14ac:dyDescent="0.2">
      <c r="A206" s="588">
        <v>4</v>
      </c>
      <c r="B206" s="587" t="s">
        <v>115</v>
      </c>
      <c r="C206" s="629">
        <v>342.76060000000001</v>
      </c>
      <c r="D206" s="629">
        <v>415.64639999999997</v>
      </c>
      <c r="E206" s="630">
        <f t="shared" si="23"/>
        <v>72.885799999999961</v>
      </c>
    </row>
    <row r="207" spans="1:5" s="421" customFormat="1" x14ac:dyDescent="0.2">
      <c r="A207" s="588">
        <v>5</v>
      </c>
      <c r="B207" s="587" t="s">
        <v>746</v>
      </c>
      <c r="C207" s="629">
        <v>319.72171000000003</v>
      </c>
      <c r="D207" s="629">
        <v>441.85332000000005</v>
      </c>
      <c r="E207" s="630">
        <f t="shared" si="23"/>
        <v>122.13161000000002</v>
      </c>
    </row>
    <row r="208" spans="1:5" s="421" customFormat="1" x14ac:dyDescent="0.2">
      <c r="A208" s="588">
        <v>6</v>
      </c>
      <c r="B208" s="587" t="s">
        <v>424</v>
      </c>
      <c r="C208" s="629">
        <v>9.0537199999999984</v>
      </c>
      <c r="D208" s="629">
        <v>14.991199999999999</v>
      </c>
      <c r="E208" s="630">
        <f t="shared" si="23"/>
        <v>5.9374800000000008</v>
      </c>
    </row>
    <row r="209" spans="1:5" s="421" customFormat="1" x14ac:dyDescent="0.2">
      <c r="A209" s="588">
        <v>7</v>
      </c>
      <c r="B209" s="587" t="s">
        <v>761</v>
      </c>
      <c r="C209" s="629">
        <v>335.53579999999999</v>
      </c>
      <c r="D209" s="629">
        <v>171.68434999999999</v>
      </c>
      <c r="E209" s="630">
        <f t="shared" si="23"/>
        <v>-163.85145</v>
      </c>
    </row>
    <row r="210" spans="1:5" s="421" customFormat="1" x14ac:dyDescent="0.2">
      <c r="A210" s="588"/>
      <c r="B210" s="592" t="s">
        <v>826</v>
      </c>
      <c r="C210" s="631">
        <f>C204+C205+C208</f>
        <v>7804.9365900000003</v>
      </c>
      <c r="D210" s="631">
        <f>D204+D205+D208</f>
        <v>8048.0005700000002</v>
      </c>
      <c r="E210" s="632">
        <f t="shared" si="23"/>
        <v>243.0639799999999</v>
      </c>
    </row>
    <row r="211" spans="1:5" s="421" customFormat="1" x14ac:dyDescent="0.2">
      <c r="A211" s="588"/>
      <c r="B211" s="592" t="s">
        <v>727</v>
      </c>
      <c r="C211" s="631">
        <f>C210+C203</f>
        <v>13802.44953</v>
      </c>
      <c r="D211" s="631">
        <f>D210+D203</f>
        <v>14538.158510000001</v>
      </c>
      <c r="E211" s="632">
        <f t="shared" si="23"/>
        <v>735.70898000000125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827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659</v>
      </c>
      <c r="C215" s="633">
        <f>IF(C14*C137=0,0,C25/C14*C137)</f>
        <v>15569.783063983328</v>
      </c>
      <c r="D215" s="633">
        <f>IF(D14*D137=0,0,D25/D14*D137)</f>
        <v>14531.878245531452</v>
      </c>
      <c r="E215" s="633">
        <f t="shared" ref="E215:E223" si="24">D215-C215</f>
        <v>-1037.9048184518761</v>
      </c>
    </row>
    <row r="216" spans="1:5" s="421" customFormat="1" x14ac:dyDescent="0.2">
      <c r="A216" s="588">
        <v>2</v>
      </c>
      <c r="B216" s="587" t="s">
        <v>638</v>
      </c>
      <c r="C216" s="633">
        <f>IF(C15*C138=0,0,C26/C15*C138)</f>
        <v>4337.1322494767555</v>
      </c>
      <c r="D216" s="633">
        <f>IF(D15*D138=0,0,D26/D15*D138)</f>
        <v>4260.0852864787812</v>
      </c>
      <c r="E216" s="633">
        <f t="shared" si="24"/>
        <v>-77.046962997974333</v>
      </c>
    </row>
    <row r="217" spans="1:5" s="421" customFormat="1" x14ac:dyDescent="0.2">
      <c r="A217" s="588">
        <v>3</v>
      </c>
      <c r="B217" s="587" t="s">
        <v>780</v>
      </c>
      <c r="C217" s="633">
        <f>C218+C219</f>
        <v>1068.267529509174</v>
      </c>
      <c r="D217" s="633">
        <f>D218+D219</f>
        <v>1383.6210533901385</v>
      </c>
      <c r="E217" s="633">
        <f t="shared" si="24"/>
        <v>315.35352388096453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795.204009993721</v>
      </c>
      <c r="D218" s="633">
        <f t="shared" si="25"/>
        <v>961.06556390414653</v>
      </c>
      <c r="E218" s="633">
        <f t="shared" si="24"/>
        <v>165.86155391042553</v>
      </c>
    </row>
    <row r="219" spans="1:5" s="421" customFormat="1" x14ac:dyDescent="0.2">
      <c r="A219" s="588">
        <v>5</v>
      </c>
      <c r="B219" s="587" t="s">
        <v>746</v>
      </c>
      <c r="C219" s="633">
        <f t="shared" si="25"/>
        <v>273.06351951545304</v>
      </c>
      <c r="D219" s="633">
        <f t="shared" si="25"/>
        <v>422.55548948599193</v>
      </c>
      <c r="E219" s="633">
        <f t="shared" si="24"/>
        <v>149.49196997053889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17.265715366573353</v>
      </c>
      <c r="D220" s="633">
        <f t="shared" si="25"/>
        <v>19.784518655509025</v>
      </c>
      <c r="E220" s="633">
        <f t="shared" si="24"/>
        <v>2.518803288935672</v>
      </c>
    </row>
    <row r="221" spans="1:5" s="421" customFormat="1" x14ac:dyDescent="0.2">
      <c r="A221" s="588">
        <v>7</v>
      </c>
      <c r="B221" s="587" t="s">
        <v>761</v>
      </c>
      <c r="C221" s="633">
        <f t="shared" si="25"/>
        <v>1382.1243210169637</v>
      </c>
      <c r="D221" s="633">
        <f t="shared" si="25"/>
        <v>926.87032001146792</v>
      </c>
      <c r="E221" s="633">
        <f t="shared" si="24"/>
        <v>-455.25400100549575</v>
      </c>
    </row>
    <row r="222" spans="1:5" s="421" customFormat="1" x14ac:dyDescent="0.2">
      <c r="A222" s="588"/>
      <c r="B222" s="592" t="s">
        <v>828</v>
      </c>
      <c r="C222" s="634">
        <f>C216+C218+C219+C220</f>
        <v>5422.6654943525027</v>
      </c>
      <c r="D222" s="634">
        <f>D216+D218+D219+D220</f>
        <v>5663.4908585244284</v>
      </c>
      <c r="E222" s="634">
        <f t="shared" si="24"/>
        <v>240.82536417192568</v>
      </c>
    </row>
    <row r="223" spans="1:5" s="421" customFormat="1" x14ac:dyDescent="0.2">
      <c r="A223" s="588"/>
      <c r="B223" s="592" t="s">
        <v>829</v>
      </c>
      <c r="C223" s="634">
        <f>C215+C222</f>
        <v>20992.448558335833</v>
      </c>
      <c r="D223" s="634">
        <f>D215+D222</f>
        <v>20195.369104055881</v>
      </c>
      <c r="E223" s="634">
        <f t="shared" si="24"/>
        <v>-797.07945427995219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830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659</v>
      </c>
      <c r="C227" s="636">
        <f t="shared" ref="C227:D235" si="26">IF(C203=0,0,C47/C203)</f>
        <v>13447.578822564408</v>
      </c>
      <c r="D227" s="636">
        <f t="shared" si="26"/>
        <v>13130.929291375611</v>
      </c>
      <c r="E227" s="636">
        <f t="shared" ref="E227:E235" si="27">D227-C227</f>
        <v>-316.64953118879748</v>
      </c>
    </row>
    <row r="228" spans="1:5" s="421" customFormat="1" x14ac:dyDescent="0.2">
      <c r="A228" s="588">
        <v>2</v>
      </c>
      <c r="B228" s="587" t="s">
        <v>638</v>
      </c>
      <c r="C228" s="636">
        <f t="shared" si="26"/>
        <v>8052.956022421934</v>
      </c>
      <c r="D228" s="636">
        <f t="shared" si="26"/>
        <v>8290.6186322249596</v>
      </c>
      <c r="E228" s="636">
        <f t="shared" si="27"/>
        <v>237.66260980302559</v>
      </c>
    </row>
    <row r="229" spans="1:5" s="421" customFormat="1" x14ac:dyDescent="0.2">
      <c r="A229" s="588">
        <v>3</v>
      </c>
      <c r="B229" s="587" t="s">
        <v>780</v>
      </c>
      <c r="C229" s="636">
        <f t="shared" si="26"/>
        <v>7713.2172782092839</v>
      </c>
      <c r="D229" s="636">
        <f t="shared" si="26"/>
        <v>6252.5408171561849</v>
      </c>
      <c r="E229" s="636">
        <f t="shared" si="27"/>
        <v>-1460.676461053099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7321.3607398283229</v>
      </c>
      <c r="D230" s="636">
        <f t="shared" si="26"/>
        <v>9078.5340616447065</v>
      </c>
      <c r="E230" s="636">
        <f t="shared" si="27"/>
        <v>1757.1733218163836</v>
      </c>
    </row>
    <row r="231" spans="1:5" s="421" customFormat="1" x14ac:dyDescent="0.2">
      <c r="A231" s="588">
        <v>5</v>
      </c>
      <c r="B231" s="587" t="s">
        <v>746</v>
      </c>
      <c r="C231" s="636">
        <f t="shared" si="26"/>
        <v>8133.3106844699405</v>
      </c>
      <c r="D231" s="636">
        <f t="shared" si="26"/>
        <v>3594.1610668445351</v>
      </c>
      <c r="E231" s="636">
        <f t="shared" si="27"/>
        <v>-4539.1496176254059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12389.8242932187</v>
      </c>
      <c r="D232" s="636">
        <f t="shared" si="26"/>
        <v>4619.0431719942371</v>
      </c>
      <c r="E232" s="636">
        <f t="shared" si="27"/>
        <v>-7770.7811212244633</v>
      </c>
    </row>
    <row r="233" spans="1:5" s="421" customFormat="1" x14ac:dyDescent="0.2">
      <c r="A233" s="588">
        <v>7</v>
      </c>
      <c r="B233" s="587" t="s">
        <v>761</v>
      </c>
      <c r="C233" s="636">
        <f t="shared" si="26"/>
        <v>11590.193952478394</v>
      </c>
      <c r="D233" s="636">
        <f t="shared" si="26"/>
        <v>1436.2229288808212</v>
      </c>
      <c r="E233" s="636">
        <f t="shared" si="27"/>
        <v>-10153.971023597573</v>
      </c>
    </row>
    <row r="234" spans="1:5" x14ac:dyDescent="0.2">
      <c r="A234" s="588"/>
      <c r="B234" s="592" t="s">
        <v>831</v>
      </c>
      <c r="C234" s="637">
        <f t="shared" si="26"/>
        <v>8029.1497922342505</v>
      </c>
      <c r="D234" s="637">
        <f t="shared" si="26"/>
        <v>8066.6260439889602</v>
      </c>
      <c r="E234" s="637">
        <f t="shared" si="27"/>
        <v>37.476251754709665</v>
      </c>
    </row>
    <row r="235" spans="1:5" s="421" customFormat="1" x14ac:dyDescent="0.2">
      <c r="A235" s="588"/>
      <c r="B235" s="592" t="s">
        <v>832</v>
      </c>
      <c r="C235" s="637">
        <f t="shared" si="26"/>
        <v>10383.594063393761</v>
      </c>
      <c r="D235" s="637">
        <f t="shared" si="26"/>
        <v>10327.443871018846</v>
      </c>
      <c r="E235" s="637">
        <f t="shared" si="27"/>
        <v>-56.150192374914695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833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659</v>
      </c>
      <c r="C239" s="636">
        <f t="shared" ref="C239:D247" si="28">IF(C215=0,0,C58/C215)</f>
        <v>9187.0282593009397</v>
      </c>
      <c r="D239" s="636">
        <f t="shared" si="28"/>
        <v>10402.240333006019</v>
      </c>
      <c r="E239" s="638">
        <f t="shared" ref="E239:E247" si="29">D239-C239</f>
        <v>1215.2120737050791</v>
      </c>
    </row>
    <row r="240" spans="1:5" s="421" customFormat="1" x14ac:dyDescent="0.2">
      <c r="A240" s="588">
        <v>2</v>
      </c>
      <c r="B240" s="587" t="s">
        <v>638</v>
      </c>
      <c r="C240" s="636">
        <f t="shared" si="28"/>
        <v>7138.7371237608222</v>
      </c>
      <c r="D240" s="636">
        <f t="shared" si="28"/>
        <v>8350.4659197571655</v>
      </c>
      <c r="E240" s="638">
        <f t="shared" si="29"/>
        <v>1211.7287959963433</v>
      </c>
    </row>
    <row r="241" spans="1:5" x14ac:dyDescent="0.2">
      <c r="A241" s="588">
        <v>3</v>
      </c>
      <c r="B241" s="587" t="s">
        <v>780</v>
      </c>
      <c r="C241" s="636">
        <f t="shared" si="28"/>
        <v>6391.2192511710773</v>
      </c>
      <c r="D241" s="636">
        <f t="shared" si="28"/>
        <v>4886.1940799723488</v>
      </c>
      <c r="E241" s="638">
        <f t="shared" si="29"/>
        <v>-1505.0251711987285</v>
      </c>
    </row>
    <row r="242" spans="1:5" x14ac:dyDescent="0.2">
      <c r="A242" s="588">
        <v>4</v>
      </c>
      <c r="B242" s="587" t="s">
        <v>115</v>
      </c>
      <c r="C242" s="636">
        <f t="shared" si="28"/>
        <v>5298.1699627410926</v>
      </c>
      <c r="D242" s="636">
        <f t="shared" si="28"/>
        <v>4871.2909668532566</v>
      </c>
      <c r="E242" s="638">
        <f t="shared" si="29"/>
        <v>-426.87899588783603</v>
      </c>
    </row>
    <row r="243" spans="1:5" x14ac:dyDescent="0.2">
      <c r="A243" s="588">
        <v>5</v>
      </c>
      <c r="B243" s="587" t="s">
        <v>746</v>
      </c>
      <c r="C243" s="636">
        <f t="shared" si="28"/>
        <v>9574.3510690817384</v>
      </c>
      <c r="D243" s="636">
        <f t="shared" si="28"/>
        <v>4920.089909443529</v>
      </c>
      <c r="E243" s="638">
        <f t="shared" si="29"/>
        <v>-4654.2611596382094</v>
      </c>
    </row>
    <row r="244" spans="1:5" x14ac:dyDescent="0.2">
      <c r="A244" s="588">
        <v>6</v>
      </c>
      <c r="B244" s="587" t="s">
        <v>424</v>
      </c>
      <c r="C244" s="636">
        <f t="shared" si="28"/>
        <v>15148.691753969833</v>
      </c>
      <c r="D244" s="636">
        <f t="shared" si="28"/>
        <v>13090.235072657963</v>
      </c>
      <c r="E244" s="638">
        <f t="shared" si="29"/>
        <v>-2058.4566813118709</v>
      </c>
    </row>
    <row r="245" spans="1:5" x14ac:dyDescent="0.2">
      <c r="A245" s="588">
        <v>7</v>
      </c>
      <c r="B245" s="587" t="s">
        <v>761</v>
      </c>
      <c r="C245" s="636">
        <f t="shared" si="28"/>
        <v>429.40927308428115</v>
      </c>
      <c r="D245" s="636">
        <f t="shared" si="28"/>
        <v>1849.6244436641241</v>
      </c>
      <c r="E245" s="638">
        <f t="shared" si="29"/>
        <v>1420.2151705798428</v>
      </c>
    </row>
    <row r="246" spans="1:5" ht="25.5" x14ac:dyDescent="0.2">
      <c r="A246" s="588"/>
      <c r="B246" s="592" t="s">
        <v>834</v>
      </c>
      <c r="C246" s="637">
        <f t="shared" si="28"/>
        <v>7016.9793876513995</v>
      </c>
      <c r="D246" s="637">
        <f t="shared" si="28"/>
        <v>7520.683455485846</v>
      </c>
      <c r="E246" s="639">
        <f t="shared" si="29"/>
        <v>503.70406783444651</v>
      </c>
    </row>
    <row r="247" spans="1:5" x14ac:dyDescent="0.2">
      <c r="A247" s="588"/>
      <c r="B247" s="592" t="s">
        <v>835</v>
      </c>
      <c r="C247" s="637">
        <f t="shared" si="28"/>
        <v>8626.4719666582751</v>
      </c>
      <c r="D247" s="637">
        <f t="shared" si="28"/>
        <v>9594.150569948597</v>
      </c>
      <c r="E247" s="639">
        <f t="shared" si="29"/>
        <v>967.67860329032192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763</v>
      </c>
      <c r="B249" s="626" t="s">
        <v>760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1463626.3871056477</v>
      </c>
      <c r="D251" s="622">
        <f>((IF((IF(D15=0,0,D26/D15)*D138)=0,0,D59/(IF(D15=0,0,D26/D15)*D138)))-(IF((IF(D17=0,0,D28/D17)*D140)=0,0,D61/(IF(D17=0,0,D28/D17)*D140))))*(IF(D17=0,0,D28/D17)*D140)</f>
        <v>3343715.2380337776</v>
      </c>
      <c r="E251" s="622">
        <f>D251-C251</f>
        <v>1880088.8509281299</v>
      </c>
    </row>
    <row r="252" spans="1:5" x14ac:dyDescent="0.2">
      <c r="A252" s="588">
        <v>2</v>
      </c>
      <c r="B252" s="587" t="s">
        <v>746</v>
      </c>
      <c r="C252" s="622">
        <f>IF(C231=0,0,(C228-C231)*C207)+IF(C243=0,0,(C240-C243)*C219)</f>
        <v>-690768.44604670838</v>
      </c>
      <c r="D252" s="622">
        <f>IF(D231=0,0,(D228-D231)*D207)+IF(D243=0,0,(D240-D243)*D219)</f>
        <v>3524669.5816615405</v>
      </c>
      <c r="E252" s="622">
        <f>D252-C252</f>
        <v>4215438.0277082492</v>
      </c>
    </row>
    <row r="253" spans="1:5" x14ac:dyDescent="0.2">
      <c r="A253" s="588">
        <v>3</v>
      </c>
      <c r="B253" s="587" t="s">
        <v>761</v>
      </c>
      <c r="C253" s="622">
        <f>IF(C233=0,0,(C228-C233)*C209+IF(C221=0,0,(C240-C245)*C221))</f>
        <v>8086255.241444679</v>
      </c>
      <c r="D253" s="622">
        <f>IF(D233=0,0,(D228-D233)*D209+IF(D221=0,0,(D240-D245)*D221))</f>
        <v>7202229.4902616106</v>
      </c>
      <c r="E253" s="622">
        <f>D253-C253</f>
        <v>-884025.75118306838</v>
      </c>
    </row>
    <row r="254" spans="1:5" ht="15" customHeight="1" x14ac:dyDescent="0.2">
      <c r="A254" s="588"/>
      <c r="B254" s="592" t="s">
        <v>762</v>
      </c>
      <c r="C254" s="640">
        <f>+C251+C252+C253</f>
        <v>8859113.1825036183</v>
      </c>
      <c r="D254" s="640">
        <f>+D251+D252+D253</f>
        <v>14070614.309956929</v>
      </c>
      <c r="E254" s="640">
        <f>D254-C254</f>
        <v>5211501.1274533104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836</v>
      </c>
      <c r="B256" s="626" t="s">
        <v>837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728</v>
      </c>
      <c r="C258" s="622">
        <f>+C44</f>
        <v>1081142538</v>
      </c>
      <c r="D258" s="625">
        <f>+D44</f>
        <v>1149848623</v>
      </c>
      <c r="E258" s="622">
        <f t="shared" ref="E258:E271" si="30">D258-C258</f>
        <v>68706085</v>
      </c>
    </row>
    <row r="259" spans="1:5" x14ac:dyDescent="0.2">
      <c r="A259" s="588">
        <v>2</v>
      </c>
      <c r="B259" s="587" t="s">
        <v>745</v>
      </c>
      <c r="C259" s="622">
        <f>+(C43-C76)</f>
        <v>396967568</v>
      </c>
      <c r="D259" s="625">
        <f>+(D43-D76)</f>
        <v>428477285</v>
      </c>
      <c r="E259" s="622">
        <f t="shared" si="30"/>
        <v>31509717</v>
      </c>
    </row>
    <row r="260" spans="1:5" x14ac:dyDescent="0.2">
      <c r="A260" s="588">
        <v>3</v>
      </c>
      <c r="B260" s="587" t="s">
        <v>749</v>
      </c>
      <c r="C260" s="622">
        <f>C195</f>
        <v>29333743</v>
      </c>
      <c r="D260" s="622">
        <f>D195</f>
        <v>44836222</v>
      </c>
      <c r="E260" s="622">
        <f t="shared" si="30"/>
        <v>15502479</v>
      </c>
    </row>
    <row r="261" spans="1:5" x14ac:dyDescent="0.2">
      <c r="A261" s="588">
        <v>4</v>
      </c>
      <c r="B261" s="587" t="s">
        <v>750</v>
      </c>
      <c r="C261" s="622">
        <f>C188</f>
        <v>318627059</v>
      </c>
      <c r="D261" s="622">
        <f>D188</f>
        <v>335633616</v>
      </c>
      <c r="E261" s="622">
        <f t="shared" si="30"/>
        <v>17006557</v>
      </c>
    </row>
    <row r="262" spans="1:5" x14ac:dyDescent="0.2">
      <c r="A262" s="588">
        <v>5</v>
      </c>
      <c r="B262" s="587" t="s">
        <v>751</v>
      </c>
      <c r="C262" s="622">
        <f>C191</f>
        <v>9370250</v>
      </c>
      <c r="D262" s="622">
        <f>D191</f>
        <v>13096363</v>
      </c>
      <c r="E262" s="622">
        <f t="shared" si="30"/>
        <v>3726113</v>
      </c>
    </row>
    <row r="263" spans="1:5" x14ac:dyDescent="0.2">
      <c r="A263" s="588">
        <v>6</v>
      </c>
      <c r="B263" s="587" t="s">
        <v>752</v>
      </c>
      <c r="C263" s="622">
        <f>+C259+C260+C261+C262</f>
        <v>754298620</v>
      </c>
      <c r="D263" s="622">
        <f>+D259+D260+D261+D262</f>
        <v>822043486</v>
      </c>
      <c r="E263" s="622">
        <f t="shared" si="30"/>
        <v>67744866</v>
      </c>
    </row>
    <row r="264" spans="1:5" x14ac:dyDescent="0.2">
      <c r="A264" s="588">
        <v>7</v>
      </c>
      <c r="B264" s="587" t="s">
        <v>657</v>
      </c>
      <c r="C264" s="622">
        <f>+C258-C263</f>
        <v>326843918</v>
      </c>
      <c r="D264" s="622">
        <f>+D258-D263</f>
        <v>327805137</v>
      </c>
      <c r="E264" s="622">
        <f t="shared" si="30"/>
        <v>961219</v>
      </c>
    </row>
    <row r="265" spans="1:5" x14ac:dyDescent="0.2">
      <c r="A265" s="588">
        <v>8</v>
      </c>
      <c r="B265" s="587" t="s">
        <v>838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839</v>
      </c>
      <c r="C266" s="622">
        <f>+C264+C265</f>
        <v>326843918</v>
      </c>
      <c r="D266" s="622">
        <f>+D264+D265</f>
        <v>327805137</v>
      </c>
      <c r="E266" s="641">
        <f t="shared" si="30"/>
        <v>961219</v>
      </c>
    </row>
    <row r="267" spans="1:5" x14ac:dyDescent="0.2">
      <c r="A267" s="588">
        <v>10</v>
      </c>
      <c r="B267" s="587" t="s">
        <v>840</v>
      </c>
      <c r="C267" s="642">
        <f>IF(C258=0,0,C266/C258)</f>
        <v>0.30231343834146684</v>
      </c>
      <c r="D267" s="642">
        <f>IF(D258=0,0,D266/D258)</f>
        <v>0.28508547163777403</v>
      </c>
      <c r="E267" s="643">
        <f t="shared" si="30"/>
        <v>-1.722796670369281E-2</v>
      </c>
    </row>
    <row r="268" spans="1:5" x14ac:dyDescent="0.2">
      <c r="A268" s="588">
        <v>11</v>
      </c>
      <c r="B268" s="587" t="s">
        <v>719</v>
      </c>
      <c r="C268" s="622">
        <f>+C260*C267</f>
        <v>8867984.7057549339</v>
      </c>
      <c r="D268" s="644">
        <f>+D260*D267</f>
        <v>12782155.49532594</v>
      </c>
      <c r="E268" s="622">
        <f t="shared" si="30"/>
        <v>3914170.7895710059</v>
      </c>
    </row>
    <row r="269" spans="1:5" x14ac:dyDescent="0.2">
      <c r="A269" s="588">
        <v>12</v>
      </c>
      <c r="B269" s="587" t="s">
        <v>841</v>
      </c>
      <c r="C269" s="622">
        <f>((C17+C18+C28+C29)*C267)-(C50+C51+C61+C62)</f>
        <v>6042930.6891690977</v>
      </c>
      <c r="D269" s="644">
        <f>((D17+D18+D28+D29)*D267)-(D50+D51+D61+D62)</f>
        <v>7608244.3586724848</v>
      </c>
      <c r="E269" s="622">
        <f t="shared" si="30"/>
        <v>1565313.6695033871</v>
      </c>
    </row>
    <row r="270" spans="1:5" s="648" customFormat="1" x14ac:dyDescent="0.2">
      <c r="A270" s="645">
        <v>13</v>
      </c>
      <c r="B270" s="646" t="s">
        <v>842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843</v>
      </c>
      <c r="C271" s="622">
        <f>+C268+C269+C270</f>
        <v>14910915.394924032</v>
      </c>
      <c r="D271" s="622">
        <f>+D268+D269+D270</f>
        <v>20390399.853998423</v>
      </c>
      <c r="E271" s="625">
        <f t="shared" si="30"/>
        <v>5479484.4590743911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844</v>
      </c>
      <c r="B273" s="626" t="s">
        <v>845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846</v>
      </c>
      <c r="C275" s="425"/>
      <c r="D275" s="425"/>
      <c r="E275" s="596"/>
    </row>
    <row r="276" spans="1:5" x14ac:dyDescent="0.2">
      <c r="A276" s="588">
        <v>1</v>
      </c>
      <c r="B276" s="587" t="s">
        <v>659</v>
      </c>
      <c r="C276" s="623">
        <f t="shared" ref="C276:D284" si="31">IF(C14=0,0,+C47/C14)</f>
        <v>0.45055613485493717</v>
      </c>
      <c r="D276" s="623">
        <f t="shared" si="31"/>
        <v>0.41973476703260981</v>
      </c>
      <c r="E276" s="650">
        <f t="shared" ref="E276:E284" si="32">D276-C276</f>
        <v>-3.0821367822327361E-2</v>
      </c>
    </row>
    <row r="277" spans="1:5" x14ac:dyDescent="0.2">
      <c r="A277" s="588">
        <v>2</v>
      </c>
      <c r="B277" s="587" t="s">
        <v>638</v>
      </c>
      <c r="C277" s="623">
        <f t="shared" si="31"/>
        <v>0.24784183523662071</v>
      </c>
      <c r="D277" s="623">
        <f t="shared" si="31"/>
        <v>0.24744400696462121</v>
      </c>
      <c r="E277" s="650">
        <f t="shared" si="32"/>
        <v>-3.9782827199949522E-4</v>
      </c>
    </row>
    <row r="278" spans="1:5" x14ac:dyDescent="0.2">
      <c r="A278" s="588">
        <v>3</v>
      </c>
      <c r="B278" s="587" t="s">
        <v>780</v>
      </c>
      <c r="C278" s="623">
        <f t="shared" si="31"/>
        <v>0.21740220895623735</v>
      </c>
      <c r="D278" s="623">
        <f t="shared" si="31"/>
        <v>0.2086778797521095</v>
      </c>
      <c r="E278" s="650">
        <f t="shared" si="32"/>
        <v>-8.7243292041278564E-3</v>
      </c>
    </row>
    <row r="279" spans="1:5" x14ac:dyDescent="0.2">
      <c r="A279" s="588">
        <v>4</v>
      </c>
      <c r="B279" s="587" t="s">
        <v>115</v>
      </c>
      <c r="C279" s="623">
        <f t="shared" si="31"/>
        <v>0.22806539378290658</v>
      </c>
      <c r="D279" s="623">
        <f t="shared" si="31"/>
        <v>0.30176000680696541</v>
      </c>
      <c r="E279" s="650">
        <f t="shared" si="32"/>
        <v>7.369461302405883E-2</v>
      </c>
    </row>
    <row r="280" spans="1:5" x14ac:dyDescent="0.2">
      <c r="A280" s="588">
        <v>5</v>
      </c>
      <c r="B280" s="587" t="s">
        <v>746</v>
      </c>
      <c r="C280" s="623">
        <f t="shared" si="31"/>
        <v>0.20801646983572561</v>
      </c>
      <c r="D280" s="623">
        <f t="shared" si="31"/>
        <v>0.120418376538885</v>
      </c>
      <c r="E280" s="650">
        <f t="shared" si="32"/>
        <v>-8.759809329684061E-2</v>
      </c>
    </row>
    <row r="281" spans="1:5" x14ac:dyDescent="0.2">
      <c r="A281" s="588">
        <v>6</v>
      </c>
      <c r="B281" s="587" t="s">
        <v>424</v>
      </c>
      <c r="C281" s="623">
        <f t="shared" si="31"/>
        <v>0.33948399788151623</v>
      </c>
      <c r="D281" s="623">
        <f t="shared" si="31"/>
        <v>0.1635501326209827</v>
      </c>
      <c r="E281" s="650">
        <f t="shared" si="32"/>
        <v>-0.17593386526053353</v>
      </c>
    </row>
    <row r="282" spans="1:5" x14ac:dyDescent="0.2">
      <c r="A282" s="588">
        <v>7</v>
      </c>
      <c r="B282" s="587" t="s">
        <v>761</v>
      </c>
      <c r="C282" s="623">
        <f t="shared" si="31"/>
        <v>0.58249311561939954</v>
      </c>
      <c r="D282" s="623">
        <f t="shared" si="31"/>
        <v>5.2599367895436525E-2</v>
      </c>
      <c r="E282" s="650">
        <f t="shared" si="32"/>
        <v>-0.52989374772396303</v>
      </c>
    </row>
    <row r="283" spans="1:5" ht="29.25" customHeight="1" x14ac:dyDescent="0.2">
      <c r="A283" s="588"/>
      <c r="B283" s="592" t="s">
        <v>847</v>
      </c>
      <c r="C283" s="651">
        <f t="shared" si="31"/>
        <v>0.24516132785376729</v>
      </c>
      <c r="D283" s="651">
        <f t="shared" si="31"/>
        <v>0.2435737923615357</v>
      </c>
      <c r="E283" s="652">
        <f t="shared" si="32"/>
        <v>-1.5875354922315899E-3</v>
      </c>
    </row>
    <row r="284" spans="1:5" x14ac:dyDescent="0.2">
      <c r="A284" s="588"/>
      <c r="B284" s="592" t="s">
        <v>848</v>
      </c>
      <c r="C284" s="651">
        <f t="shared" si="31"/>
        <v>0.32975643738055105</v>
      </c>
      <c r="D284" s="651">
        <f t="shared" si="31"/>
        <v>0.31974411750438114</v>
      </c>
      <c r="E284" s="652">
        <f t="shared" si="32"/>
        <v>-1.0012319876169906E-2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849</v>
      </c>
      <c r="C286" s="596"/>
      <c r="D286" s="596"/>
      <c r="E286" s="596"/>
    </row>
    <row r="287" spans="1:5" x14ac:dyDescent="0.2">
      <c r="A287" s="588">
        <v>1</v>
      </c>
      <c r="B287" s="587" t="s">
        <v>659</v>
      </c>
      <c r="C287" s="623">
        <f t="shared" ref="C287:D295" si="33">IF(C25=0,0,+C58/C25)</f>
        <v>0.35366405121734562</v>
      </c>
      <c r="D287" s="623">
        <f t="shared" si="33"/>
        <v>0.36795651734305018</v>
      </c>
      <c r="E287" s="650">
        <f t="shared" ref="E287:E295" si="34">D287-C287</f>
        <v>1.4292466125704562E-2</v>
      </c>
    </row>
    <row r="288" spans="1:5" x14ac:dyDescent="0.2">
      <c r="A288" s="588">
        <v>2</v>
      </c>
      <c r="B288" s="587" t="s">
        <v>638</v>
      </c>
      <c r="C288" s="623">
        <f t="shared" si="33"/>
        <v>0.1505480950122087</v>
      </c>
      <c r="D288" s="623">
        <f t="shared" si="33"/>
        <v>0.15786354251282905</v>
      </c>
      <c r="E288" s="650">
        <f t="shared" si="34"/>
        <v>7.3154475006203534E-3</v>
      </c>
    </row>
    <row r="289" spans="1:5" x14ac:dyDescent="0.2">
      <c r="A289" s="588">
        <v>3</v>
      </c>
      <c r="B289" s="587" t="s">
        <v>780</v>
      </c>
      <c r="C289" s="623">
        <f t="shared" si="33"/>
        <v>0.18980353764892247</v>
      </c>
      <c r="D289" s="623">
        <f t="shared" si="33"/>
        <v>0.15536027976538502</v>
      </c>
      <c r="E289" s="650">
        <f t="shared" si="34"/>
        <v>-3.4443257883537443E-2</v>
      </c>
    </row>
    <row r="290" spans="1:5" x14ac:dyDescent="0.2">
      <c r="A290" s="588">
        <v>4</v>
      </c>
      <c r="B290" s="587" t="s">
        <v>115</v>
      </c>
      <c r="C290" s="623">
        <f t="shared" si="33"/>
        <v>0.17815757843519656</v>
      </c>
      <c r="D290" s="623">
        <f t="shared" si="33"/>
        <v>0.16205384205784631</v>
      </c>
      <c r="E290" s="650">
        <f t="shared" si="34"/>
        <v>-1.6103736377350242E-2</v>
      </c>
    </row>
    <row r="291" spans="1:5" x14ac:dyDescent="0.2">
      <c r="A291" s="588">
        <v>5</v>
      </c>
      <c r="B291" s="587" t="s">
        <v>746</v>
      </c>
      <c r="C291" s="623">
        <f t="shared" si="33"/>
        <v>0.21215210712877808</v>
      </c>
      <c r="D291" s="623">
        <f t="shared" si="33"/>
        <v>0.14213961167308034</v>
      </c>
      <c r="E291" s="650">
        <f t="shared" si="34"/>
        <v>-7.0012495455697737E-2</v>
      </c>
    </row>
    <row r="292" spans="1:5" x14ac:dyDescent="0.2">
      <c r="A292" s="588">
        <v>6</v>
      </c>
      <c r="B292" s="587" t="s">
        <v>424</v>
      </c>
      <c r="C292" s="623">
        <f t="shared" si="33"/>
        <v>0.59599907029313115</v>
      </c>
      <c r="D292" s="623">
        <f t="shared" si="33"/>
        <v>0.43285053867315593</v>
      </c>
      <c r="E292" s="650">
        <f t="shared" si="34"/>
        <v>-0.16314853161997522</v>
      </c>
    </row>
    <row r="293" spans="1:5" x14ac:dyDescent="0.2">
      <c r="A293" s="588">
        <v>7</v>
      </c>
      <c r="B293" s="587" t="s">
        <v>761</v>
      </c>
      <c r="C293" s="623">
        <f t="shared" si="33"/>
        <v>2.1868125875558496E-2</v>
      </c>
      <c r="D293" s="623">
        <f t="shared" si="33"/>
        <v>6.5891286652744532E-2</v>
      </c>
      <c r="E293" s="650">
        <f t="shared" si="34"/>
        <v>4.4023160777186036E-2</v>
      </c>
    </row>
    <row r="294" spans="1:5" ht="29.25" customHeight="1" x14ac:dyDescent="0.2">
      <c r="A294" s="588"/>
      <c r="B294" s="592" t="s">
        <v>850</v>
      </c>
      <c r="C294" s="651">
        <f t="shared" si="33"/>
        <v>0.15718900797463364</v>
      </c>
      <c r="D294" s="651">
        <f t="shared" si="33"/>
        <v>0.15806987853809823</v>
      </c>
      <c r="E294" s="652">
        <f t="shared" si="34"/>
        <v>8.8087056346458636E-4</v>
      </c>
    </row>
    <row r="295" spans="1:5" x14ac:dyDescent="0.2">
      <c r="A295" s="588"/>
      <c r="B295" s="592" t="s">
        <v>851</v>
      </c>
      <c r="C295" s="651">
        <f t="shared" si="33"/>
        <v>0.28010008134947895</v>
      </c>
      <c r="D295" s="651">
        <f t="shared" si="33"/>
        <v>0.28482036805645161</v>
      </c>
      <c r="E295" s="652">
        <f t="shared" si="34"/>
        <v>4.7202867069726651E-3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852</v>
      </c>
      <c r="B297" s="579" t="s">
        <v>853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854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657</v>
      </c>
      <c r="C301" s="590">
        <f>+C48+C47+C50+C51+C52+C59+C58+C61+C62+C63</f>
        <v>324409802</v>
      </c>
      <c r="D301" s="590">
        <f>+D48+D47+D50+D51+D52+D59+D58+D61+D62+D63</f>
        <v>343899428</v>
      </c>
      <c r="E301" s="590">
        <f>D301-C301</f>
        <v>19489626</v>
      </c>
    </row>
    <row r="302" spans="1:5" ht="25.5" x14ac:dyDescent="0.2">
      <c r="A302" s="588">
        <v>2</v>
      </c>
      <c r="B302" s="587" t="s">
        <v>855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856</v>
      </c>
      <c r="C303" s="593">
        <f>+C301+C302</f>
        <v>324409802</v>
      </c>
      <c r="D303" s="593">
        <f>+D301+D302</f>
        <v>343899428</v>
      </c>
      <c r="E303" s="593">
        <f>D303-C303</f>
        <v>19489626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857</v>
      </c>
      <c r="C305" s="589">
        <v>-11427717</v>
      </c>
      <c r="D305" s="654">
        <v>-11692829</v>
      </c>
      <c r="E305" s="655">
        <f>D305-C305</f>
        <v>-265112</v>
      </c>
    </row>
    <row r="306" spans="1:5" x14ac:dyDescent="0.2">
      <c r="A306" s="588">
        <v>4</v>
      </c>
      <c r="B306" s="592" t="s">
        <v>858</v>
      </c>
      <c r="C306" s="593">
        <f>+C303+C305+C194+C190-C191</f>
        <v>337740073</v>
      </c>
      <c r="D306" s="593">
        <f>+D303+D305</f>
        <v>332206599</v>
      </c>
      <c r="E306" s="656">
        <f>D306-C306</f>
        <v>-5533474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859</v>
      </c>
      <c r="C308" s="589">
        <v>312982083</v>
      </c>
      <c r="D308" s="589">
        <v>332206599</v>
      </c>
      <c r="E308" s="590">
        <f>D308-C308</f>
        <v>19224516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860</v>
      </c>
      <c r="C310" s="657">
        <f>C306-C308</f>
        <v>24757990</v>
      </c>
      <c r="D310" s="658">
        <f>D306-D308</f>
        <v>0</v>
      </c>
      <c r="E310" s="656">
        <f>D310-C310</f>
        <v>-24757990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861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862</v>
      </c>
      <c r="C314" s="590">
        <f>+C14+C15+C16+C19+C25+C26+C27+C30</f>
        <v>1081142538</v>
      </c>
      <c r="D314" s="590">
        <f>+D14+D15+D16+D19+D25+D26+D27+D30</f>
        <v>1149848623</v>
      </c>
      <c r="E314" s="590">
        <f>D314-C314</f>
        <v>68706085</v>
      </c>
    </row>
    <row r="315" spans="1:5" x14ac:dyDescent="0.2">
      <c r="A315" s="588">
        <v>2</v>
      </c>
      <c r="B315" s="659" t="s">
        <v>863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864</v>
      </c>
      <c r="C316" s="657">
        <f>C314+C315</f>
        <v>1081142538</v>
      </c>
      <c r="D316" s="657">
        <f>D314+D315</f>
        <v>1149848623</v>
      </c>
      <c r="E316" s="593">
        <f>D316-C316</f>
        <v>68706085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865</v>
      </c>
      <c r="C318" s="589">
        <v>1081142538</v>
      </c>
      <c r="D318" s="589">
        <v>1149848623</v>
      </c>
      <c r="E318" s="590">
        <f>D318-C318</f>
        <v>68706085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860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866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867</v>
      </c>
      <c r="C324" s="589">
        <f>+C193+C194</f>
        <v>29333743</v>
      </c>
      <c r="D324" s="589">
        <f>+D193+D194</f>
        <v>44836222</v>
      </c>
      <c r="E324" s="590">
        <f>D324-C324</f>
        <v>15502479</v>
      </c>
    </row>
    <row r="325" spans="1:5" x14ac:dyDescent="0.2">
      <c r="A325" s="588">
        <v>2</v>
      </c>
      <c r="B325" s="587" t="s">
        <v>868</v>
      </c>
      <c r="C325" s="589">
        <v>1232722</v>
      </c>
      <c r="D325" s="589">
        <v>2121</v>
      </c>
      <c r="E325" s="590">
        <f>D325-C325</f>
        <v>-1230601</v>
      </c>
    </row>
    <row r="326" spans="1:5" x14ac:dyDescent="0.2">
      <c r="A326" s="588"/>
      <c r="B326" s="592" t="s">
        <v>869</v>
      </c>
      <c r="C326" s="657">
        <f>C324+C325</f>
        <v>30566465</v>
      </c>
      <c r="D326" s="657">
        <f>D324+D325</f>
        <v>44838343</v>
      </c>
      <c r="E326" s="593">
        <f>D326-C326</f>
        <v>14271878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870</v>
      </c>
      <c r="C328" s="589">
        <v>30566465</v>
      </c>
      <c r="D328" s="589">
        <v>44838343</v>
      </c>
      <c r="E328" s="590">
        <f>D328-C328</f>
        <v>14271878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871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FILING&amp;RGREENWICH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632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872</v>
      </c>
      <c r="B5" s="824"/>
      <c r="C5" s="825"/>
      <c r="D5" s="661"/>
    </row>
    <row r="6" spans="1:58" s="662" customFormat="1" ht="15.75" customHeight="1" x14ac:dyDescent="0.25">
      <c r="A6" s="823" t="s">
        <v>873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874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875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779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659</v>
      </c>
      <c r="C14" s="589">
        <v>203037279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638</v>
      </c>
      <c r="C15" s="591">
        <v>240415659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780</v>
      </c>
      <c r="C16" s="591">
        <v>25692958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12504838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746</v>
      </c>
      <c r="C18" s="591">
        <v>13188120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423387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761</v>
      </c>
      <c r="C20" s="591">
        <v>4687832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781</v>
      </c>
      <c r="C21" s="593">
        <f>SUM(C15+C16+C19)</f>
        <v>266532004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469569283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782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659</v>
      </c>
      <c r="C25" s="589">
        <v>410820526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638</v>
      </c>
      <c r="C26" s="591">
        <v>225344601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780</v>
      </c>
      <c r="C27" s="591">
        <v>43515891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28889349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746</v>
      </c>
      <c r="C29" s="591">
        <v>14626542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598322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761</v>
      </c>
      <c r="C31" s="594">
        <v>26018038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783</v>
      </c>
      <c r="C32" s="593">
        <f>SUM(C26+C27+C30)</f>
        <v>269458814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680279340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656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876</v>
      </c>
      <c r="C36" s="590">
        <f>SUM(C14+C25)</f>
        <v>613857805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877</v>
      </c>
      <c r="C37" s="594">
        <f>SUM(C21+C32)</f>
        <v>535990818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656</v>
      </c>
      <c r="C38" s="593">
        <f>SUM(+C36+C37)</f>
        <v>1149848623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792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659</v>
      </c>
      <c r="C41" s="589">
        <v>85221805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638</v>
      </c>
      <c r="C42" s="591">
        <v>59489414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780</v>
      </c>
      <c r="C43" s="591">
        <v>5361552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3773460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746</v>
      </c>
      <c r="C45" s="591">
        <v>1588092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69245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761</v>
      </c>
      <c r="C47" s="591">
        <v>246577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793</v>
      </c>
      <c r="C48" s="593">
        <f>SUM(C42+C43+C46)</f>
        <v>64920211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150142016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794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659</v>
      </c>
      <c r="C52" s="589">
        <v>151164090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638</v>
      </c>
      <c r="C53" s="591">
        <v>35573697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780</v>
      </c>
      <c r="C54" s="591">
        <v>6760641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4681630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746</v>
      </c>
      <c r="C56" s="591">
        <v>2079011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258984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761</v>
      </c>
      <c r="C58" s="591">
        <v>1714362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795</v>
      </c>
      <c r="C59" s="593">
        <f>SUM(C53+C54+C57)</f>
        <v>42593322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193757412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657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878</v>
      </c>
      <c r="C63" s="590">
        <f>SUM(C41+C52)</f>
        <v>236385895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879</v>
      </c>
      <c r="C64" s="594">
        <f>SUM(C48+C59)</f>
        <v>107513533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657</v>
      </c>
      <c r="C65" s="593">
        <f>SUM(+C63+C64)</f>
        <v>343899428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880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881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659</v>
      </c>
      <c r="C70" s="606">
        <v>7182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638</v>
      </c>
      <c r="C71" s="606">
        <v>4545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780</v>
      </c>
      <c r="C72" s="606">
        <v>797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416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746</v>
      </c>
      <c r="C74" s="606">
        <v>381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14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761</v>
      </c>
      <c r="C76" s="621">
        <v>167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810</v>
      </c>
      <c r="C77" s="608">
        <f>SUM(C71+C72+C75)</f>
        <v>5356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12538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814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659</v>
      </c>
      <c r="C81" s="617">
        <v>0.90366999999999997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638</v>
      </c>
      <c r="C82" s="617">
        <v>1.57877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780</v>
      </c>
      <c r="C83" s="617">
        <f>((C73*C84)+(C74*C85))/(C73+C74)</f>
        <v>1.0759093099121706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0.99914999999999998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746</v>
      </c>
      <c r="C85" s="617">
        <v>1.1597200000000001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1.0708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761</v>
      </c>
      <c r="C87" s="617">
        <v>1.0280499999999999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815</v>
      </c>
      <c r="C88" s="619">
        <f>((C71*C82)+(C73*C84)+(C74*C85)+(C75*C86))/(C71+C73+C74+C75)</f>
        <v>1.502613997386109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726</v>
      </c>
      <c r="C89" s="619">
        <f>((C70*C81)+(C71*C82)+(C73*C84)+(C74*C85)+(C75*C86))/(C70+C71+C73+C74+C75)</f>
        <v>1.1595277165417133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816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817</v>
      </c>
      <c r="C92" s="589">
        <v>561179954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818</v>
      </c>
      <c r="C93" s="622">
        <v>225546338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671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750</v>
      </c>
      <c r="C95" s="589">
        <f>+C92-C93</f>
        <v>335633616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673</v>
      </c>
      <c r="C96" s="681">
        <f>(+C92-C93)/C92</f>
        <v>0.5980855403113704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765</v>
      </c>
      <c r="C98" s="589">
        <v>21974981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751</v>
      </c>
      <c r="C99" s="589">
        <v>13096363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882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820</v>
      </c>
      <c r="C103" s="589">
        <v>19751377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821</v>
      </c>
      <c r="C104" s="589">
        <v>25084845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822</v>
      </c>
      <c r="C105" s="654">
        <f>+C103+C104</f>
        <v>44836222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823</v>
      </c>
      <c r="C107" s="589">
        <v>19028550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713</v>
      </c>
      <c r="C108" s="589">
        <v>317854000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853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854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657</v>
      </c>
      <c r="C114" s="590">
        <f>+C65</f>
        <v>343899428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855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856</v>
      </c>
      <c r="C116" s="593">
        <f>+C114+C115</f>
        <v>343899428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857</v>
      </c>
      <c r="C118" s="654">
        <v>-11692829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858</v>
      </c>
      <c r="C119" s="656">
        <f>+C116+C118</f>
        <v>332206599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859</v>
      </c>
      <c r="C121" s="589">
        <v>332206599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860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861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862</v>
      </c>
      <c r="C127" s="590">
        <f>C38</f>
        <v>1149848623</v>
      </c>
      <c r="D127" s="664"/>
      <c r="AR127" s="485"/>
    </row>
    <row r="128" spans="1:58" s="421" customFormat="1" ht="12.75" x14ac:dyDescent="0.2">
      <c r="A128" s="588">
        <v>2</v>
      </c>
      <c r="B128" s="659" t="s">
        <v>863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864</v>
      </c>
      <c r="C129" s="657">
        <f>C127+C128</f>
        <v>1149848623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865</v>
      </c>
      <c r="C131" s="589">
        <v>1149848623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860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866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867</v>
      </c>
      <c r="C137" s="589">
        <f>C105</f>
        <v>44836222</v>
      </c>
      <c r="D137" s="664"/>
      <c r="AR137" s="485"/>
    </row>
    <row r="138" spans="1:44" s="421" customFormat="1" ht="12.75" x14ac:dyDescent="0.2">
      <c r="A138" s="588">
        <v>2</v>
      </c>
      <c r="B138" s="669" t="s">
        <v>883</v>
      </c>
      <c r="C138" s="589">
        <v>2121</v>
      </c>
      <c r="D138" s="664"/>
      <c r="AR138" s="485"/>
    </row>
    <row r="139" spans="1:44" s="421" customFormat="1" ht="12.75" x14ac:dyDescent="0.2">
      <c r="A139" s="588"/>
      <c r="B139" s="671" t="s">
        <v>869</v>
      </c>
      <c r="C139" s="657">
        <f>C137+C138</f>
        <v>44838343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884</v>
      </c>
      <c r="C141" s="589">
        <v>44838343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871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FILING&amp;RGREENWICH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632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885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635</v>
      </c>
      <c r="D8" s="177" t="s">
        <v>635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886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887</v>
      </c>
      <c r="C12" s="185">
        <v>3588</v>
      </c>
      <c r="D12" s="185">
        <v>3619</v>
      </c>
      <c r="E12" s="185">
        <f>+D12-C12</f>
        <v>31</v>
      </c>
      <c r="F12" s="77">
        <f>IF(C12=0,0,+E12/C12)</f>
        <v>8.6399108138238579E-3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888</v>
      </c>
      <c r="C13" s="185">
        <v>3464</v>
      </c>
      <c r="D13" s="185">
        <v>3185</v>
      </c>
      <c r="E13" s="185">
        <f>+D13-C13</f>
        <v>-279</v>
      </c>
      <c r="F13" s="77">
        <f>IF(C13=0,0,+E13/C13)</f>
        <v>-8.0542725173210164E-2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889</v>
      </c>
      <c r="C15" s="76">
        <v>14617978</v>
      </c>
      <c r="D15" s="76">
        <v>19751377</v>
      </c>
      <c r="E15" s="76">
        <f>+D15-C15</f>
        <v>5133399</v>
      </c>
      <c r="F15" s="77">
        <f>IF(C15=0,0,+E15/C15)</f>
        <v>0.35117025076929242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890</v>
      </c>
      <c r="C16" s="79">
        <f>IF(C13=0,0,+C15/+C13)</f>
        <v>4219.9705542725169</v>
      </c>
      <c r="D16" s="79">
        <f>IF(D13=0,0,+D15/+D13)</f>
        <v>6201.3742543171111</v>
      </c>
      <c r="E16" s="79">
        <f>+D16-C16</f>
        <v>1981.4037000445942</v>
      </c>
      <c r="F16" s="80">
        <f>IF(C16=0,0,+E16/C16)</f>
        <v>0.46953021936101386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891</v>
      </c>
      <c r="C18" s="704">
        <v>0.31370599999999998</v>
      </c>
      <c r="D18" s="704">
        <v>0.28178900000000001</v>
      </c>
      <c r="E18" s="704">
        <f>+D18-C18</f>
        <v>-3.1916999999999973E-2</v>
      </c>
      <c r="F18" s="77">
        <f>IF(C18=0,0,+E18/C18)</f>
        <v>-0.10174175820672851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892</v>
      </c>
      <c r="C19" s="79">
        <f>+C15*C18</f>
        <v>4585747.4064679993</v>
      </c>
      <c r="D19" s="79">
        <f>+D15*D18</f>
        <v>5565720.773453</v>
      </c>
      <c r="E19" s="79">
        <f>+D19-C19</f>
        <v>979973.36698500067</v>
      </c>
      <c r="F19" s="80">
        <f>IF(C19=0,0,+E19/C19)</f>
        <v>0.21369981381939843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893</v>
      </c>
      <c r="C20" s="79">
        <f>IF(C13=0,0,+C19/C13)</f>
        <v>1323.8300826986142</v>
      </c>
      <c r="D20" s="79">
        <f>IF(D13=0,0,+D19/D13)</f>
        <v>1747.4790497497645</v>
      </c>
      <c r="E20" s="79">
        <f>+D20-C20</f>
        <v>423.64896705115029</v>
      </c>
      <c r="F20" s="80">
        <f>IF(C20=0,0,+E20/C20)</f>
        <v>0.32001763110530485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894</v>
      </c>
      <c r="C22" s="76">
        <v>1447842</v>
      </c>
      <c r="D22" s="76">
        <v>3000704</v>
      </c>
      <c r="E22" s="76">
        <f>+D22-C22</f>
        <v>1552862</v>
      </c>
      <c r="F22" s="77">
        <f>IF(C22=0,0,+E22/C22)</f>
        <v>1.0725355390988796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895</v>
      </c>
      <c r="C23" s="185">
        <v>3792001</v>
      </c>
      <c r="D23" s="185">
        <v>9159408</v>
      </c>
      <c r="E23" s="185">
        <f>+D23-C23</f>
        <v>5367407</v>
      </c>
      <c r="F23" s="77">
        <f>IF(C23=0,0,+E23/C23)</f>
        <v>1.415455059215438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896</v>
      </c>
      <c r="C24" s="185">
        <v>9378135</v>
      </c>
      <c r="D24" s="185">
        <v>7591265</v>
      </c>
      <c r="E24" s="185">
        <f>+D24-C24</f>
        <v>-1786870</v>
      </c>
      <c r="F24" s="77">
        <f>IF(C24=0,0,+E24/C24)</f>
        <v>-0.19053575151136126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897</v>
      </c>
      <c r="C25" s="79">
        <f>+C22+C23+C24</f>
        <v>14617978</v>
      </c>
      <c r="D25" s="79">
        <f>+D22+D23+D24</f>
        <v>19751377</v>
      </c>
      <c r="E25" s="79">
        <f>+E22+E23+E24</f>
        <v>5133399</v>
      </c>
      <c r="F25" s="80">
        <f>IF(C25=0,0,+E25/C25)</f>
        <v>0.35117025076929242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898</v>
      </c>
      <c r="C27" s="185">
        <v>799</v>
      </c>
      <c r="D27" s="185">
        <v>1191</v>
      </c>
      <c r="E27" s="185">
        <f>+D27-C27</f>
        <v>392</v>
      </c>
      <c r="F27" s="77">
        <f>IF(C27=0,0,+E27/C27)</f>
        <v>0.49061326658322901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899</v>
      </c>
      <c r="C28" s="185">
        <v>153</v>
      </c>
      <c r="D28" s="185">
        <v>353</v>
      </c>
      <c r="E28" s="185">
        <f>+D28-C28</f>
        <v>200</v>
      </c>
      <c r="F28" s="77">
        <f>IF(C28=0,0,+E28/C28)</f>
        <v>1.3071895424836601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900</v>
      </c>
      <c r="C29" s="185">
        <v>1330</v>
      </c>
      <c r="D29" s="185">
        <v>4301</v>
      </c>
      <c r="E29" s="185">
        <f>+D29-C29</f>
        <v>2971</v>
      </c>
      <c r="F29" s="77">
        <f>IF(C29=0,0,+E29/C29)</f>
        <v>2.2338345864661653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901</v>
      </c>
      <c r="C30" s="185">
        <v>11036</v>
      </c>
      <c r="D30" s="185">
        <v>11821</v>
      </c>
      <c r="E30" s="185">
        <f>+D30-C30</f>
        <v>785</v>
      </c>
      <c r="F30" s="77">
        <f>IF(C30=0,0,+E30/C30)</f>
        <v>7.1130844508880034E-2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902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903</v>
      </c>
      <c r="C33" s="76">
        <v>4912791</v>
      </c>
      <c r="D33" s="76">
        <v>6385577</v>
      </c>
      <c r="E33" s="76">
        <f>+D33-C33</f>
        <v>1472786</v>
      </c>
      <c r="F33" s="77">
        <f>IF(C33=0,0,+E33/C33)</f>
        <v>0.29978600758713325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904</v>
      </c>
      <c r="C34" s="185">
        <v>3234981</v>
      </c>
      <c r="D34" s="185">
        <v>10788114</v>
      </c>
      <c r="E34" s="185">
        <f>+D34-C34</f>
        <v>7553133</v>
      </c>
      <c r="F34" s="77">
        <f>IF(C34=0,0,+E34/C34)</f>
        <v>2.3348307146162526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905</v>
      </c>
      <c r="C35" s="185">
        <v>6567993</v>
      </c>
      <c r="D35" s="185">
        <v>7911154</v>
      </c>
      <c r="E35" s="185">
        <f>+D35-C35</f>
        <v>1343161</v>
      </c>
      <c r="F35" s="77">
        <f>IF(C35=0,0,+E35/C35)</f>
        <v>0.20450097921846142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906</v>
      </c>
      <c r="C36" s="79">
        <f>+C33+C34+C35</f>
        <v>14715765</v>
      </c>
      <c r="D36" s="79">
        <f>+D33+D34+D35</f>
        <v>25084845</v>
      </c>
      <c r="E36" s="79">
        <f>+E33+E34+E35</f>
        <v>10369080</v>
      </c>
      <c r="F36" s="80">
        <f>IF(C36=0,0,+E36/C36)</f>
        <v>0.70462391863419949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907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908</v>
      </c>
      <c r="C39" s="76">
        <f>+C25</f>
        <v>14617978</v>
      </c>
      <c r="D39" s="76">
        <f>+D25</f>
        <v>19751377</v>
      </c>
      <c r="E39" s="76">
        <f>+D39-C39</f>
        <v>5133399</v>
      </c>
      <c r="F39" s="77">
        <f>IF(C39=0,0,+E39/C39)</f>
        <v>0.35117025076929242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909</v>
      </c>
      <c r="C40" s="185">
        <f>+C36</f>
        <v>14715765</v>
      </c>
      <c r="D40" s="185">
        <f>+D36</f>
        <v>25084845</v>
      </c>
      <c r="E40" s="185">
        <f>+D40-C40</f>
        <v>10369080</v>
      </c>
      <c r="F40" s="77">
        <f>IF(C40=0,0,+E40/C40)</f>
        <v>0.70462391863419949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910</v>
      </c>
      <c r="C41" s="79">
        <f>+C39+C40</f>
        <v>29333743</v>
      </c>
      <c r="D41" s="79">
        <f>+D39+D40</f>
        <v>44836222</v>
      </c>
      <c r="E41" s="79">
        <f>+E39+E40</f>
        <v>15502479</v>
      </c>
      <c r="F41" s="80">
        <f>IF(C41=0,0,+E41/C41)</f>
        <v>0.52848622148220226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911</v>
      </c>
      <c r="C43" s="76">
        <f t="shared" ref="C43:D45" si="0">+C22+C33</f>
        <v>6360633</v>
      </c>
      <c r="D43" s="76">
        <f t="shared" si="0"/>
        <v>9386281</v>
      </c>
      <c r="E43" s="76">
        <f>+D43-C43</f>
        <v>3025648</v>
      </c>
      <c r="F43" s="77">
        <f>IF(C43=0,0,+E43/C43)</f>
        <v>0.47568347364169572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912</v>
      </c>
      <c r="C44" s="185">
        <f t="shared" si="0"/>
        <v>7026982</v>
      </c>
      <c r="D44" s="185">
        <f t="shared" si="0"/>
        <v>19947522</v>
      </c>
      <c r="E44" s="185">
        <f>+D44-C44</f>
        <v>12920540</v>
      </c>
      <c r="F44" s="77">
        <f>IF(C44=0,0,+E44/C44)</f>
        <v>1.8387040126187886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913</v>
      </c>
      <c r="C45" s="185">
        <f t="shared" si="0"/>
        <v>15946128</v>
      </c>
      <c r="D45" s="185">
        <f t="shared" si="0"/>
        <v>15502419</v>
      </c>
      <c r="E45" s="185">
        <f>+D45-C45</f>
        <v>-443709</v>
      </c>
      <c r="F45" s="77">
        <f>IF(C45=0,0,+E45/C45)</f>
        <v>-2.7825500961738171E-2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910</v>
      </c>
      <c r="C46" s="79">
        <f>+C43+C44+C45</f>
        <v>29333743</v>
      </c>
      <c r="D46" s="79">
        <f>+D43+D44+D45</f>
        <v>44836222</v>
      </c>
      <c r="E46" s="79">
        <f>+E43+E44+E45</f>
        <v>15502479</v>
      </c>
      <c r="F46" s="80">
        <f>IF(C46=0,0,+E46/C46)</f>
        <v>0.52848622148220226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914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FILING&amp;RGREENWICH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632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915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916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917</v>
      </c>
      <c r="D10" s="177" t="s">
        <v>917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918</v>
      </c>
      <c r="D11" s="693" t="s">
        <v>918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919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527794479</v>
      </c>
      <c r="D15" s="76">
        <v>561179954</v>
      </c>
      <c r="E15" s="76">
        <f>+D15-C15</f>
        <v>33385475</v>
      </c>
      <c r="F15" s="77">
        <f>IF(C15=0,0,E15/C15)</f>
        <v>6.3254687815709421E-2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920</v>
      </c>
      <c r="C17" s="76">
        <v>318627059</v>
      </c>
      <c r="D17" s="76">
        <v>335633616</v>
      </c>
      <c r="E17" s="76">
        <f>+D17-C17</f>
        <v>17006557</v>
      </c>
      <c r="F17" s="77">
        <f>IF(C17=0,0,E17/C17)</f>
        <v>5.3374490708273464E-2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921</v>
      </c>
      <c r="C19" s="79">
        <f>+C15-C17</f>
        <v>209167420</v>
      </c>
      <c r="D19" s="79">
        <f>+D15-D17</f>
        <v>225546338</v>
      </c>
      <c r="E19" s="79">
        <f>+D19-C19</f>
        <v>16378918</v>
      </c>
      <c r="F19" s="80">
        <f>IF(C19=0,0,E19/C19)</f>
        <v>7.8305302039868352E-2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922</v>
      </c>
      <c r="C21" s="720">
        <f>IF(C15=0,0,C17/C15)</f>
        <v>0.60369532398992753</v>
      </c>
      <c r="D21" s="720">
        <f>IF(D15=0,0,D17/D15)</f>
        <v>0.5980855403113704</v>
      </c>
      <c r="E21" s="720">
        <f>+D21-C21</f>
        <v>-5.6097836785571342E-3</v>
      </c>
      <c r="F21" s="80">
        <f>IF(C21=0,0,E21/C21)</f>
        <v>-9.2924086962958355E-3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923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FILING&amp;R&amp;12GREENWICH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sqref="A1:E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924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925</v>
      </c>
      <c r="B6" s="734" t="s">
        <v>926</v>
      </c>
      <c r="C6" s="734" t="s">
        <v>927</v>
      </c>
      <c r="D6" s="734" t="s">
        <v>928</v>
      </c>
      <c r="E6" s="734" t="s">
        <v>929</v>
      </c>
    </row>
    <row r="7" spans="1:6" ht="37.5" customHeight="1" x14ac:dyDescent="0.25">
      <c r="A7" s="735" t="s">
        <v>8</v>
      </c>
      <c r="B7" s="736" t="s">
        <v>9</v>
      </c>
      <c r="C7" s="737" t="s">
        <v>930</v>
      </c>
      <c r="D7" s="737" t="s">
        <v>931</v>
      </c>
      <c r="E7" s="737" t="s">
        <v>932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933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934</v>
      </c>
      <c r="C10" s="744">
        <v>422498886</v>
      </c>
      <c r="D10" s="744">
        <v>434620880</v>
      </c>
      <c r="E10" s="744">
        <v>469569283</v>
      </c>
    </row>
    <row r="11" spans="1:6" ht="26.1" customHeight="1" x14ac:dyDescent="0.25">
      <c r="A11" s="742">
        <v>2</v>
      </c>
      <c r="B11" s="743" t="s">
        <v>935</v>
      </c>
      <c r="C11" s="744">
        <v>549112159</v>
      </c>
      <c r="D11" s="744">
        <v>646521658</v>
      </c>
      <c r="E11" s="744">
        <v>680279340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971611045</v>
      </c>
      <c r="D12" s="744">
        <f>+D11+D10</f>
        <v>1081142538</v>
      </c>
      <c r="E12" s="744">
        <f>+E11+E10</f>
        <v>1149848623</v>
      </c>
    </row>
    <row r="13" spans="1:6" ht="26.1" customHeight="1" x14ac:dyDescent="0.25">
      <c r="A13" s="742">
        <v>4</v>
      </c>
      <c r="B13" s="743" t="s">
        <v>507</v>
      </c>
      <c r="C13" s="744">
        <v>304346000</v>
      </c>
      <c r="D13" s="744">
        <v>312982000</v>
      </c>
      <c r="E13" s="744">
        <v>332207000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936</v>
      </c>
      <c r="C16" s="744">
        <v>312559000</v>
      </c>
      <c r="D16" s="744">
        <v>311019000</v>
      </c>
      <c r="E16" s="744">
        <v>317854000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937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51919</v>
      </c>
      <c r="D19" s="747">
        <v>51964</v>
      </c>
      <c r="E19" s="747">
        <v>54509</v>
      </c>
    </row>
    <row r="20" spans="1:5" ht="26.1" customHeight="1" x14ac:dyDescent="0.25">
      <c r="A20" s="742">
        <v>2</v>
      </c>
      <c r="B20" s="743" t="s">
        <v>381</v>
      </c>
      <c r="C20" s="748">
        <v>13027</v>
      </c>
      <c r="D20" s="748">
        <v>12439</v>
      </c>
      <c r="E20" s="748">
        <v>12538</v>
      </c>
    </row>
    <row r="21" spans="1:5" ht="26.1" customHeight="1" x14ac:dyDescent="0.25">
      <c r="A21" s="742">
        <v>3</v>
      </c>
      <c r="B21" s="743" t="s">
        <v>938</v>
      </c>
      <c r="C21" s="749">
        <f>IF(C20=0,0,+C19/C20)</f>
        <v>3.9854916711445458</v>
      </c>
      <c r="D21" s="749">
        <f>IF(D20=0,0,+D19/D20)</f>
        <v>4.1775062304043731</v>
      </c>
      <c r="E21" s="749">
        <f>IF(E20=0,0,+E19/E20)</f>
        <v>4.3475035890891691</v>
      </c>
    </row>
    <row r="22" spans="1:5" ht="26.1" customHeight="1" x14ac:dyDescent="0.25">
      <c r="A22" s="742">
        <v>4</v>
      </c>
      <c r="B22" s="743" t="s">
        <v>939</v>
      </c>
      <c r="C22" s="748">
        <f>IF(C10=0,0,C19*(C12/C10))</f>
        <v>119396.93929833226</v>
      </c>
      <c r="D22" s="748">
        <f>IF(D10=0,0,D19*(D12/D10))</f>
        <v>129263.21175510943</v>
      </c>
      <c r="E22" s="748">
        <f>IF(E10=0,0,E19*(E12/E10))</f>
        <v>133477.85057547514</v>
      </c>
    </row>
    <row r="23" spans="1:5" ht="26.1" customHeight="1" x14ac:dyDescent="0.25">
      <c r="A23" s="742">
        <v>0</v>
      </c>
      <c r="B23" s="743" t="s">
        <v>940</v>
      </c>
      <c r="C23" s="748">
        <f>IF(C10=0,0,C20*(C12/C10))</f>
        <v>29957.894571146873</v>
      </c>
      <c r="D23" s="748">
        <f>IF(D10=0,0,D20*(D12/D10))</f>
        <v>30942.673601374147</v>
      </c>
      <c r="E23" s="748">
        <f>IF(E10=0,0,E20*(E12/E10))</f>
        <v>30702.182951720031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941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1.0475597297919705</v>
      </c>
      <c r="D26" s="750">
        <v>1.1096108634134576</v>
      </c>
      <c r="E26" s="750">
        <v>1.1595277165417133</v>
      </c>
    </row>
    <row r="27" spans="1:5" ht="26.1" customHeight="1" x14ac:dyDescent="0.25">
      <c r="A27" s="742">
        <v>2</v>
      </c>
      <c r="B27" s="743" t="s">
        <v>942</v>
      </c>
      <c r="C27" s="748">
        <f>C19*C26</f>
        <v>54388.253611069318</v>
      </c>
      <c r="D27" s="748">
        <f>D19*D26</f>
        <v>57659.818906416913</v>
      </c>
      <c r="E27" s="748">
        <f>E19*E26</f>
        <v>63204.696300972246</v>
      </c>
    </row>
    <row r="28" spans="1:5" ht="26.1" customHeight="1" x14ac:dyDescent="0.25">
      <c r="A28" s="742">
        <v>3</v>
      </c>
      <c r="B28" s="743" t="s">
        <v>943</v>
      </c>
      <c r="C28" s="748">
        <f>C20*C26</f>
        <v>13646.560600000001</v>
      </c>
      <c r="D28" s="748">
        <f>D20*D26</f>
        <v>13802.44953</v>
      </c>
      <c r="E28" s="748">
        <f>E20*E26</f>
        <v>14538.158510000001</v>
      </c>
    </row>
    <row r="29" spans="1:5" ht="26.1" customHeight="1" x14ac:dyDescent="0.25">
      <c r="A29" s="742">
        <v>4</v>
      </c>
      <c r="B29" s="743" t="s">
        <v>944</v>
      </c>
      <c r="C29" s="748">
        <f>C22*C26</f>
        <v>125075.42546934925</v>
      </c>
      <c r="D29" s="748">
        <f>D22*D26</f>
        <v>143431.86400318358</v>
      </c>
      <c r="E29" s="748">
        <f>E22*E26</f>
        <v>154771.26728667671</v>
      </c>
    </row>
    <row r="30" spans="1:5" ht="26.1" customHeight="1" x14ac:dyDescent="0.25">
      <c r="A30" s="742">
        <v>5</v>
      </c>
      <c r="B30" s="743" t="s">
        <v>945</v>
      </c>
      <c r="C30" s="748">
        <f>C23*C26</f>
        <v>31382.683942086958</v>
      </c>
      <c r="D30" s="748">
        <f>D23*D26</f>
        <v>34334.326771141568</v>
      </c>
      <c r="E30" s="748">
        <f>E23*E26</f>
        <v>35600.032090853849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946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947</v>
      </c>
      <c r="C33" s="744">
        <f>IF(C19=0,0,C12/C19)</f>
        <v>18713.978408675051</v>
      </c>
      <c r="D33" s="744">
        <f>IF(D19=0,0,D12/D19)</f>
        <v>20805.606535293664</v>
      </c>
      <c r="E33" s="744">
        <f>IF(E19=0,0,E12/E19)</f>
        <v>21094.65635032747</v>
      </c>
    </row>
    <row r="34" spans="1:5" ht="26.1" customHeight="1" x14ac:dyDescent="0.25">
      <c r="A34" s="742">
        <v>2</v>
      </c>
      <c r="B34" s="743" t="s">
        <v>948</v>
      </c>
      <c r="C34" s="744">
        <f>IF(C20=0,0,C12/C20)</f>
        <v>74584.405081753284</v>
      </c>
      <c r="D34" s="744">
        <f>IF(D20=0,0,D12/D20)</f>
        <v>86915.550928531229</v>
      </c>
      <c r="E34" s="744">
        <f>IF(E20=0,0,E12/E20)</f>
        <v>91709.094193651297</v>
      </c>
    </row>
    <row r="35" spans="1:5" ht="26.1" customHeight="1" x14ac:dyDescent="0.25">
      <c r="A35" s="742">
        <v>3</v>
      </c>
      <c r="B35" s="743" t="s">
        <v>949</v>
      </c>
      <c r="C35" s="744">
        <f>IF(C22=0,0,C12/C22)</f>
        <v>8137.6545388008244</v>
      </c>
      <c r="D35" s="744">
        <f>IF(D22=0,0,D12/D22)</f>
        <v>8363.8842275421448</v>
      </c>
      <c r="E35" s="744">
        <f>IF(E22=0,0,E12/E22)</f>
        <v>8614.5275642554443</v>
      </c>
    </row>
    <row r="36" spans="1:5" ht="26.1" customHeight="1" x14ac:dyDescent="0.25">
      <c r="A36" s="742">
        <v>4</v>
      </c>
      <c r="B36" s="743" t="s">
        <v>950</v>
      </c>
      <c r="C36" s="744">
        <f>IF(C23=0,0,C12/C23)</f>
        <v>32432.554387042292</v>
      </c>
      <c r="D36" s="744">
        <f>IF(D23=0,0,D12/D23)</f>
        <v>34940.178470938175</v>
      </c>
      <c r="E36" s="744">
        <f>IF(E23=0,0,E12/E23)</f>
        <v>37451.689503908121</v>
      </c>
    </row>
    <row r="37" spans="1:5" ht="26.1" customHeight="1" x14ac:dyDescent="0.25">
      <c r="A37" s="742">
        <v>5</v>
      </c>
      <c r="B37" s="743" t="s">
        <v>951</v>
      </c>
      <c r="C37" s="744">
        <f>IF(C29=0,0,C12/C29)</f>
        <v>7768.2009983496009</v>
      </c>
      <c r="D37" s="744">
        <f>IF(D29=0,0,D12/D29)</f>
        <v>7537.6733441601455</v>
      </c>
      <c r="E37" s="744">
        <f>IF(E29=0,0,E12/E29)</f>
        <v>7429.3416546766448</v>
      </c>
    </row>
    <row r="38" spans="1:5" ht="26.1" customHeight="1" x14ac:dyDescent="0.25">
      <c r="A38" s="742">
        <v>6</v>
      </c>
      <c r="B38" s="743" t="s">
        <v>952</v>
      </c>
      <c r="C38" s="744">
        <f>IF(C30=0,0,C12/C30)</f>
        <v>30960.10037869908</v>
      </c>
      <c r="D38" s="744">
        <f>IF(D30=0,0,D12/D30)</f>
        <v>31488.677357981978</v>
      </c>
      <c r="E38" s="744">
        <f>IF(E30=0,0,E12/E30)</f>
        <v>32299.089508276382</v>
      </c>
    </row>
    <row r="39" spans="1:5" ht="26.1" customHeight="1" x14ac:dyDescent="0.25">
      <c r="A39" s="742">
        <v>7</v>
      </c>
      <c r="B39" s="743" t="s">
        <v>953</v>
      </c>
      <c r="C39" s="744">
        <f>IF(C22=0,0,C10/C22)</f>
        <v>3538.6073418877118</v>
      </c>
      <c r="D39" s="744">
        <f>IF(D22=0,0,D10/D22)</f>
        <v>3362.2936804587066</v>
      </c>
      <c r="E39" s="744">
        <f>IF(E22=0,0,E10/E22)</f>
        <v>3517.9565821258243</v>
      </c>
    </row>
    <row r="40" spans="1:5" ht="26.1" customHeight="1" x14ac:dyDescent="0.25">
      <c r="A40" s="742">
        <v>8</v>
      </c>
      <c r="B40" s="743" t="s">
        <v>954</v>
      </c>
      <c r="C40" s="744">
        <f>IF(C23=0,0,C10/C23)</f>
        <v>14103.090088544415</v>
      </c>
      <c r="D40" s="744">
        <f>IF(D23=0,0,D10/D23)</f>
        <v>14046.002798565498</v>
      </c>
      <c r="E40" s="744">
        <f>IF(E23=0,0,E10/E23)</f>
        <v>15294.328867051887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955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956</v>
      </c>
      <c r="C43" s="744">
        <f>IF(C19=0,0,C13/C19)</f>
        <v>5861.9387892678978</v>
      </c>
      <c r="D43" s="744">
        <f>IF(D19=0,0,D13/D19)</f>
        <v>6023.0544222923563</v>
      </c>
      <c r="E43" s="744">
        <f>IF(E19=0,0,E13/E19)</f>
        <v>6094.5348474563834</v>
      </c>
    </row>
    <row r="44" spans="1:5" ht="26.1" customHeight="1" x14ac:dyDescent="0.25">
      <c r="A44" s="742">
        <v>2</v>
      </c>
      <c r="B44" s="743" t="s">
        <v>957</v>
      </c>
      <c r="C44" s="744">
        <f>IF(C20=0,0,C13/C20)</f>
        <v>23362.70822138635</v>
      </c>
      <c r="D44" s="744">
        <f>IF(D20=0,0,D13/D20)</f>
        <v>25161.347375190933</v>
      </c>
      <c r="E44" s="744">
        <f>IF(E20=0,0,E13/E20)</f>
        <v>26496.012123145636</v>
      </c>
    </row>
    <row r="45" spans="1:5" ht="26.1" customHeight="1" x14ac:dyDescent="0.25">
      <c r="A45" s="742">
        <v>3</v>
      </c>
      <c r="B45" s="743" t="s">
        <v>958</v>
      </c>
      <c r="C45" s="744">
        <f>IF(C22=0,0,C13/C22)</f>
        <v>2549.0268158343915</v>
      </c>
      <c r="D45" s="744">
        <f>IF(D22=0,0,D13/D22)</f>
        <v>2421.2766784175828</v>
      </c>
      <c r="E45" s="744">
        <f>IF(E22=0,0,E13/E22)</f>
        <v>2488.8548816730708</v>
      </c>
    </row>
    <row r="46" spans="1:5" ht="26.1" customHeight="1" x14ac:dyDescent="0.25">
      <c r="A46" s="742">
        <v>4</v>
      </c>
      <c r="B46" s="743" t="s">
        <v>959</v>
      </c>
      <c r="C46" s="744">
        <f>IF(C23=0,0,C13/C23)</f>
        <v>10159.125144032068</v>
      </c>
      <c r="D46" s="744">
        <f>IF(D23=0,0,D13/D23)</f>
        <v>10114.898409622259</v>
      </c>
      <c r="E46" s="744">
        <f>IF(E23=0,0,E13/E23)</f>
        <v>10820.305530795775</v>
      </c>
    </row>
    <row r="47" spans="1:5" ht="26.1" customHeight="1" x14ac:dyDescent="0.25">
      <c r="A47" s="742">
        <v>5</v>
      </c>
      <c r="B47" s="743" t="s">
        <v>960</v>
      </c>
      <c r="C47" s="744">
        <f>IF(C29=0,0,C13/C29)</f>
        <v>2433.2997378016712</v>
      </c>
      <c r="D47" s="744">
        <f>IF(D29=0,0,D13/D29)</f>
        <v>2182.0953257154429</v>
      </c>
      <c r="E47" s="744">
        <f>IF(E29=0,0,E13/E29)</f>
        <v>2146.438456077678</v>
      </c>
    </row>
    <row r="48" spans="1:5" ht="26.1" customHeight="1" x14ac:dyDescent="0.25">
      <c r="A48" s="742">
        <v>6</v>
      </c>
      <c r="B48" s="743" t="s">
        <v>961</v>
      </c>
      <c r="C48" s="744">
        <f>IF(C30=0,0,C13/C30)</f>
        <v>9697.8958384067682</v>
      </c>
      <c r="D48" s="744">
        <f>IF(D30=0,0,D13/D30)</f>
        <v>9115.7168185125247</v>
      </c>
      <c r="E48" s="744">
        <f>IF(E30=0,0,E13/E30)</f>
        <v>9331.6488915567206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962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963</v>
      </c>
      <c r="C51" s="744">
        <f>IF(C19=0,0,C16/C19)</f>
        <v>6020.1275063079029</v>
      </c>
      <c r="D51" s="744">
        <f>IF(D19=0,0,D16/D19)</f>
        <v>5985.2782695712413</v>
      </c>
      <c r="E51" s="744">
        <f>IF(E19=0,0,E16/E19)</f>
        <v>5831.2205323891467</v>
      </c>
    </row>
    <row r="52" spans="1:6" ht="26.1" customHeight="1" x14ac:dyDescent="0.25">
      <c r="A52" s="742">
        <v>2</v>
      </c>
      <c r="B52" s="743" t="s">
        <v>964</v>
      </c>
      <c r="C52" s="744">
        <f>IF(C20=0,0,C16/C20)</f>
        <v>23993.168035618331</v>
      </c>
      <c r="D52" s="744">
        <f>IF(D20=0,0,D16/D20)</f>
        <v>25003.53726183777</v>
      </c>
      <c r="E52" s="744">
        <f>IF(E20=0,0,E16/E20)</f>
        <v>25351.252193332271</v>
      </c>
    </row>
    <row r="53" spans="1:6" ht="26.1" customHeight="1" x14ac:dyDescent="0.25">
      <c r="A53" s="742">
        <v>3</v>
      </c>
      <c r="B53" s="743" t="s">
        <v>965</v>
      </c>
      <c r="C53" s="744">
        <f>IF(C22=0,0,C16/C22)</f>
        <v>2617.8141737705819</v>
      </c>
      <c r="D53" s="744">
        <f>IF(D22=0,0,D16/D22)</f>
        <v>2406.0906098266296</v>
      </c>
      <c r="E53" s="744">
        <f>IF(E22=0,0,E16/E22)</f>
        <v>2381.3239322449926</v>
      </c>
    </row>
    <row r="54" spans="1:6" ht="26.1" customHeight="1" x14ac:dyDescent="0.25">
      <c r="A54" s="742">
        <v>4</v>
      </c>
      <c r="B54" s="743" t="s">
        <v>966</v>
      </c>
      <c r="C54" s="744">
        <f>IF(C23=0,0,C16/C23)</f>
        <v>10433.276586166794</v>
      </c>
      <c r="D54" s="744">
        <f>IF(D23=0,0,D16/D23)</f>
        <v>10051.458513468204</v>
      </c>
      <c r="E54" s="744">
        <f>IF(E23=0,0,E16/E23)</f>
        <v>10352.814342219039</v>
      </c>
    </row>
    <row r="55" spans="1:6" ht="26.1" customHeight="1" x14ac:dyDescent="0.25">
      <c r="A55" s="742">
        <v>5</v>
      </c>
      <c r="B55" s="743" t="s">
        <v>967</v>
      </c>
      <c r="C55" s="744">
        <f>IF(C29=0,0,C16/C29)</f>
        <v>2498.9641156695093</v>
      </c>
      <c r="D55" s="744">
        <f>IF(D29=0,0,D16/D29)</f>
        <v>2168.4093849125234</v>
      </c>
      <c r="E55" s="744">
        <f>IF(E29=0,0,E16/E29)</f>
        <v>2053.7016047768839</v>
      </c>
    </row>
    <row r="56" spans="1:6" ht="26.1" customHeight="1" x14ac:dyDescent="0.25">
      <c r="A56" s="742">
        <v>6</v>
      </c>
      <c r="B56" s="743" t="s">
        <v>968</v>
      </c>
      <c r="C56" s="744">
        <f>IF(C30=0,0,C16/C30)</f>
        <v>9959.6006694899261</v>
      </c>
      <c r="D56" s="744">
        <f>IF(D30=0,0,D16/D30)</f>
        <v>9058.5437155393811</v>
      </c>
      <c r="E56" s="744">
        <f>IF(E30=0,0,E16/E30)</f>
        <v>8928.4750976856903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969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970</v>
      </c>
      <c r="C59" s="752">
        <v>38516535</v>
      </c>
      <c r="D59" s="752">
        <v>39074720</v>
      </c>
      <c r="E59" s="752">
        <v>39440686</v>
      </c>
    </row>
    <row r="60" spans="1:6" ht="26.1" customHeight="1" x14ac:dyDescent="0.25">
      <c r="A60" s="742">
        <v>2</v>
      </c>
      <c r="B60" s="743" t="s">
        <v>971</v>
      </c>
      <c r="C60" s="752">
        <v>11554960</v>
      </c>
      <c r="D60" s="752">
        <v>14296983</v>
      </c>
      <c r="E60" s="752">
        <v>12951118</v>
      </c>
    </row>
    <row r="61" spans="1:6" ht="26.1" customHeight="1" x14ac:dyDescent="0.25">
      <c r="A61" s="753">
        <v>3</v>
      </c>
      <c r="B61" s="754" t="s">
        <v>972</v>
      </c>
      <c r="C61" s="755">
        <f>C59+C60</f>
        <v>50071495</v>
      </c>
      <c r="D61" s="755">
        <f>D59+D60</f>
        <v>53371703</v>
      </c>
      <c r="E61" s="755">
        <f>E59+E60</f>
        <v>52391804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973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974</v>
      </c>
      <c r="C64" s="744">
        <v>9013899</v>
      </c>
      <c r="D64" s="744">
        <v>6590578</v>
      </c>
      <c r="E64" s="752">
        <v>8035783</v>
      </c>
      <c r="F64" s="756"/>
    </row>
    <row r="65" spans="1:6" ht="26.1" customHeight="1" x14ac:dyDescent="0.25">
      <c r="A65" s="742">
        <v>2</v>
      </c>
      <c r="B65" s="743" t="s">
        <v>975</v>
      </c>
      <c r="C65" s="752">
        <v>2704170</v>
      </c>
      <c r="D65" s="752">
        <v>2450740</v>
      </c>
      <c r="E65" s="752">
        <v>2220192</v>
      </c>
      <c r="F65" s="756"/>
    </row>
    <row r="66" spans="1:6" ht="26.1" customHeight="1" x14ac:dyDescent="0.25">
      <c r="A66" s="753">
        <v>3</v>
      </c>
      <c r="B66" s="754" t="s">
        <v>976</v>
      </c>
      <c r="C66" s="757">
        <f>C64+C65</f>
        <v>11718069</v>
      </c>
      <c r="D66" s="757">
        <f>D64+D65</f>
        <v>9041318</v>
      </c>
      <c r="E66" s="757">
        <f>E64+E65</f>
        <v>10255975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977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978</v>
      </c>
      <c r="C69" s="752">
        <v>67271694</v>
      </c>
      <c r="D69" s="752">
        <v>65784702</v>
      </c>
      <c r="E69" s="752">
        <v>65742531</v>
      </c>
    </row>
    <row r="70" spans="1:6" ht="26.1" customHeight="1" x14ac:dyDescent="0.25">
      <c r="A70" s="742">
        <v>2</v>
      </c>
      <c r="B70" s="743" t="s">
        <v>979</v>
      </c>
      <c r="C70" s="752">
        <v>24163937</v>
      </c>
      <c r="D70" s="752">
        <v>24098277</v>
      </c>
      <c r="E70" s="752">
        <v>21831690</v>
      </c>
    </row>
    <row r="71" spans="1:6" ht="26.1" customHeight="1" x14ac:dyDescent="0.25">
      <c r="A71" s="753">
        <v>3</v>
      </c>
      <c r="B71" s="754" t="s">
        <v>980</v>
      </c>
      <c r="C71" s="755">
        <f>C69+C70</f>
        <v>91435631</v>
      </c>
      <c r="D71" s="755">
        <f>D69+D70</f>
        <v>89882979</v>
      </c>
      <c r="E71" s="755">
        <f>E69+E70</f>
        <v>87574221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981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982</v>
      </c>
      <c r="C75" s="744">
        <f t="shared" ref="C75:E76" si="0">+C59+C64+C69</f>
        <v>114802128</v>
      </c>
      <c r="D75" s="744">
        <f t="shared" si="0"/>
        <v>111450000</v>
      </c>
      <c r="E75" s="744">
        <f t="shared" si="0"/>
        <v>113219000</v>
      </c>
    </row>
    <row r="76" spans="1:6" ht="26.1" customHeight="1" x14ac:dyDescent="0.25">
      <c r="A76" s="742">
        <v>2</v>
      </c>
      <c r="B76" s="743" t="s">
        <v>983</v>
      </c>
      <c r="C76" s="744">
        <f t="shared" si="0"/>
        <v>38423067</v>
      </c>
      <c r="D76" s="744">
        <f t="shared" si="0"/>
        <v>40846000</v>
      </c>
      <c r="E76" s="744">
        <f t="shared" si="0"/>
        <v>37003000</v>
      </c>
    </row>
    <row r="77" spans="1:6" ht="26.1" customHeight="1" x14ac:dyDescent="0.25">
      <c r="A77" s="753">
        <v>3</v>
      </c>
      <c r="B77" s="754" t="s">
        <v>981</v>
      </c>
      <c r="C77" s="757">
        <f>C75+C76</f>
        <v>153225195</v>
      </c>
      <c r="D77" s="757">
        <f>D75+D76</f>
        <v>152296000</v>
      </c>
      <c r="E77" s="757">
        <f>E75+E76</f>
        <v>150222000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984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430.3</v>
      </c>
      <c r="D80" s="749">
        <v>361.4</v>
      </c>
      <c r="E80" s="749">
        <v>359.3</v>
      </c>
    </row>
    <row r="81" spans="1:5" ht="26.1" customHeight="1" x14ac:dyDescent="0.25">
      <c r="A81" s="742">
        <v>2</v>
      </c>
      <c r="B81" s="743" t="s">
        <v>617</v>
      </c>
      <c r="C81" s="749">
        <v>47.3</v>
      </c>
      <c r="D81" s="749">
        <v>33.5</v>
      </c>
      <c r="E81" s="749">
        <v>43.5</v>
      </c>
    </row>
    <row r="82" spans="1:5" ht="26.1" customHeight="1" x14ac:dyDescent="0.25">
      <c r="A82" s="742">
        <v>3</v>
      </c>
      <c r="B82" s="743" t="s">
        <v>985</v>
      </c>
      <c r="C82" s="749">
        <v>1011.7</v>
      </c>
      <c r="D82" s="749">
        <v>1070.2</v>
      </c>
      <c r="E82" s="749">
        <v>1072.5</v>
      </c>
    </row>
    <row r="83" spans="1:5" ht="26.1" customHeight="1" x14ac:dyDescent="0.25">
      <c r="A83" s="753">
        <v>4</v>
      </c>
      <c r="B83" s="754" t="s">
        <v>984</v>
      </c>
      <c r="C83" s="759">
        <f>C80+C81+C82</f>
        <v>1489.3000000000002</v>
      </c>
      <c r="D83" s="759">
        <f>D80+D81+D82</f>
        <v>1465.1</v>
      </c>
      <c r="E83" s="759">
        <f>E80+E81+E82</f>
        <v>1475.3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986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987</v>
      </c>
      <c r="C86" s="752">
        <f>IF(C80=0,0,C59/C80)</f>
        <v>89510.887752730647</v>
      </c>
      <c r="D86" s="752">
        <f>IF(D80=0,0,D59/D80)</f>
        <v>108120.42058660764</v>
      </c>
      <c r="E86" s="752">
        <f>IF(E80=0,0,E59/E80)</f>
        <v>109770.90453659894</v>
      </c>
    </row>
    <row r="87" spans="1:5" ht="26.1" customHeight="1" x14ac:dyDescent="0.25">
      <c r="A87" s="742">
        <v>2</v>
      </c>
      <c r="B87" s="743" t="s">
        <v>988</v>
      </c>
      <c r="C87" s="752">
        <f>IF(C80=0,0,C60/C80)</f>
        <v>26853.26516383918</v>
      </c>
      <c r="D87" s="752">
        <f>IF(D80=0,0,D60/D80)</f>
        <v>39559.997232982845</v>
      </c>
      <c r="E87" s="752">
        <f>IF(E80=0,0,E60/E80)</f>
        <v>36045.41608683551</v>
      </c>
    </row>
    <row r="88" spans="1:5" ht="26.1" customHeight="1" x14ac:dyDescent="0.25">
      <c r="A88" s="753">
        <v>3</v>
      </c>
      <c r="B88" s="754" t="s">
        <v>989</v>
      </c>
      <c r="C88" s="755">
        <f>+C86+C87</f>
        <v>116364.15291656983</v>
      </c>
      <c r="D88" s="755">
        <f>+D86+D87</f>
        <v>147680.41781959048</v>
      </c>
      <c r="E88" s="755">
        <f>+E86+E87</f>
        <v>145816.32062343444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990</v>
      </c>
    </row>
    <row r="91" spans="1:5" ht="26.1" customHeight="1" x14ac:dyDescent="0.25">
      <c r="A91" s="742">
        <v>1</v>
      </c>
      <c r="B91" s="743" t="s">
        <v>991</v>
      </c>
      <c r="C91" s="744">
        <f>IF(C81=0,0,C64/C81)</f>
        <v>190568.68921775901</v>
      </c>
      <c r="D91" s="744">
        <f>IF(D81=0,0,D64/D81)</f>
        <v>196733.67164179104</v>
      </c>
      <c r="E91" s="744">
        <f>IF(E81=0,0,E64/E81)</f>
        <v>184730.64367816091</v>
      </c>
    </row>
    <row r="92" spans="1:5" ht="26.1" customHeight="1" x14ac:dyDescent="0.25">
      <c r="A92" s="742">
        <v>2</v>
      </c>
      <c r="B92" s="743" t="s">
        <v>992</v>
      </c>
      <c r="C92" s="744">
        <f>IF(C81=0,0,C65/C81)</f>
        <v>57170.613107822413</v>
      </c>
      <c r="D92" s="744">
        <f>IF(D81=0,0,D65/D81)</f>
        <v>73156.417910447766</v>
      </c>
      <c r="E92" s="744">
        <f>IF(E81=0,0,E65/E81)</f>
        <v>51038.896551724138</v>
      </c>
    </row>
    <row r="93" spans="1:5" ht="26.1" customHeight="1" x14ac:dyDescent="0.25">
      <c r="A93" s="753">
        <v>3</v>
      </c>
      <c r="B93" s="754" t="s">
        <v>993</v>
      </c>
      <c r="C93" s="757">
        <f>+C91+C92</f>
        <v>247739.30232558143</v>
      </c>
      <c r="D93" s="757">
        <f>+D91+D92</f>
        <v>269890.08955223882</v>
      </c>
      <c r="E93" s="757">
        <f>+E91+E92</f>
        <v>235769.54022988505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994</v>
      </c>
      <c r="B95" s="745" t="s">
        <v>995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996</v>
      </c>
      <c r="C96" s="752">
        <f>IF(C82=0,0,C69/C82)</f>
        <v>66493.717505189285</v>
      </c>
      <c r="D96" s="752">
        <f>IF(D82=0,0,D69/D82)</f>
        <v>61469.540272846192</v>
      </c>
      <c r="E96" s="752">
        <f>IF(E82=0,0,E69/E82)</f>
        <v>61298.397202797205</v>
      </c>
    </row>
    <row r="97" spans="1:5" ht="26.1" customHeight="1" x14ac:dyDescent="0.25">
      <c r="A97" s="742">
        <v>2</v>
      </c>
      <c r="B97" s="743" t="s">
        <v>997</v>
      </c>
      <c r="C97" s="752">
        <f>IF(C82=0,0,C70/C82)</f>
        <v>23884.488484728674</v>
      </c>
      <c r="D97" s="752">
        <f>IF(D82=0,0,D70/D82)</f>
        <v>22517.54531863203</v>
      </c>
      <c r="E97" s="752">
        <f>IF(E82=0,0,E70/E82)</f>
        <v>20355.888111888111</v>
      </c>
    </row>
    <row r="98" spans="1:5" ht="26.1" customHeight="1" x14ac:dyDescent="0.25">
      <c r="A98" s="753">
        <v>3</v>
      </c>
      <c r="B98" s="754" t="s">
        <v>998</v>
      </c>
      <c r="C98" s="757">
        <f>+C96+C97</f>
        <v>90378.205989917959</v>
      </c>
      <c r="D98" s="757">
        <f>+D96+D97</f>
        <v>83987.085591478215</v>
      </c>
      <c r="E98" s="757">
        <f>+E96+E97</f>
        <v>81654.285314685316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999</v>
      </c>
      <c r="B100" s="745" t="s">
        <v>1000</v>
      </c>
    </row>
    <row r="101" spans="1:5" ht="26.1" customHeight="1" x14ac:dyDescent="0.25">
      <c r="A101" s="742">
        <v>1</v>
      </c>
      <c r="B101" s="743" t="s">
        <v>1001</v>
      </c>
      <c r="C101" s="744">
        <f>IF(C83=0,0,C75/C83)</f>
        <v>77084.622305781231</v>
      </c>
      <c r="D101" s="744">
        <f>IF(D83=0,0,D75/D83)</f>
        <v>76069.892840079177</v>
      </c>
      <c r="E101" s="744">
        <f>IF(E83=0,0,E75/E83)</f>
        <v>76743.035314851222</v>
      </c>
    </row>
    <row r="102" spans="1:5" ht="26.1" customHeight="1" x14ac:dyDescent="0.25">
      <c r="A102" s="742">
        <v>2</v>
      </c>
      <c r="B102" s="743" t="s">
        <v>1002</v>
      </c>
      <c r="C102" s="761">
        <f>IF(C83=0,0,C76/C83)</f>
        <v>25799.413818572481</v>
      </c>
      <c r="D102" s="761">
        <f>IF(D83=0,0,D76/D83)</f>
        <v>27879.325643300799</v>
      </c>
      <c r="E102" s="761">
        <f>IF(E83=0,0,E76/E83)</f>
        <v>25081.678302718094</v>
      </c>
    </row>
    <row r="103" spans="1:5" ht="26.1" customHeight="1" x14ac:dyDescent="0.25">
      <c r="A103" s="753">
        <v>3</v>
      </c>
      <c r="B103" s="754" t="s">
        <v>1000</v>
      </c>
      <c r="C103" s="757">
        <f>+C101+C102</f>
        <v>102884.0361243537</v>
      </c>
      <c r="D103" s="757">
        <f>+D101+D102</f>
        <v>103949.21848337998</v>
      </c>
      <c r="E103" s="757">
        <f>+E101+E102</f>
        <v>101824.71361756932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1003</v>
      </c>
      <c r="B107" s="736" t="s">
        <v>1004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1005</v>
      </c>
      <c r="C108" s="744">
        <f>IF(C19=0,0,C77/C19)</f>
        <v>2951.2354821934168</v>
      </c>
      <c r="D108" s="744">
        <f>IF(D19=0,0,D77/D19)</f>
        <v>2930.7982449388037</v>
      </c>
      <c r="E108" s="744">
        <f>IF(E19=0,0,E77/E19)</f>
        <v>2755.9118677649562</v>
      </c>
    </row>
    <row r="109" spans="1:5" ht="26.1" customHeight="1" x14ac:dyDescent="0.25">
      <c r="A109" s="742">
        <v>2</v>
      </c>
      <c r="B109" s="743" t="s">
        <v>1006</v>
      </c>
      <c r="C109" s="744">
        <f>IF(C20=0,0,C77/C20)</f>
        <v>11762.124433868121</v>
      </c>
      <c r="D109" s="744">
        <f>IF(D20=0,0,D77/D20)</f>
        <v>12243.427928290055</v>
      </c>
      <c r="E109" s="744">
        <f>IF(E20=0,0,E77/E20)</f>
        <v>11981.336736321582</v>
      </c>
    </row>
    <row r="110" spans="1:5" ht="26.1" customHeight="1" x14ac:dyDescent="0.25">
      <c r="A110" s="742">
        <v>3</v>
      </c>
      <c r="B110" s="743" t="s">
        <v>1007</v>
      </c>
      <c r="C110" s="744">
        <f>IF(C22=0,0,C77/C22)</f>
        <v>1283.3259872528429</v>
      </c>
      <c r="D110" s="744">
        <f>IF(D22=0,0,D77/D22)</f>
        <v>1178.1851768353586</v>
      </c>
      <c r="E110" s="744">
        <f>IF(E22=0,0,E77/E22)</f>
        <v>1125.445153276999</v>
      </c>
    </row>
    <row r="111" spans="1:5" ht="26.1" customHeight="1" x14ac:dyDescent="0.25">
      <c r="A111" s="742">
        <v>4</v>
      </c>
      <c r="B111" s="743" t="s">
        <v>1008</v>
      </c>
      <c r="C111" s="744">
        <f>IF(C23=0,0,C77/C23)</f>
        <v>5114.6850335595564</v>
      </c>
      <c r="D111" s="744">
        <f>IF(D23=0,0,D77/D23)</f>
        <v>4921.8759167997887</v>
      </c>
      <c r="E111" s="744">
        <f>IF(E23=0,0,E77/E23)</f>
        <v>4892.8768431947638</v>
      </c>
    </row>
    <row r="112" spans="1:5" ht="26.1" customHeight="1" x14ac:dyDescent="0.25">
      <c r="A112" s="742">
        <v>5</v>
      </c>
      <c r="B112" s="743" t="s">
        <v>1009</v>
      </c>
      <c r="C112" s="744">
        <f>IF(C29=0,0,C77/C29)</f>
        <v>1225.0623527764778</v>
      </c>
      <c r="D112" s="744">
        <f>IF(D29=0,0,D77/D29)</f>
        <v>1061.8003262972284</v>
      </c>
      <c r="E112" s="744">
        <f>IF(E29=0,0,E77/E29)</f>
        <v>970.60651265295724</v>
      </c>
    </row>
    <row r="113" spans="1:7" ht="25.5" customHeight="1" x14ac:dyDescent="0.25">
      <c r="A113" s="742">
        <v>6</v>
      </c>
      <c r="B113" s="743" t="s">
        <v>1010</v>
      </c>
      <c r="C113" s="744">
        <f>IF(C30=0,0,C77/C30)</f>
        <v>4882.4758036233943</v>
      </c>
      <c r="D113" s="744">
        <f>IF(D30=0,0,D77/D30)</f>
        <v>4435.6774785520684</v>
      </c>
      <c r="E113" s="744">
        <f>IF(E30=0,0,E77/E30)</f>
        <v>4219.7152973520533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FILING&amp;R&amp;"Arial,Bold"&amp;12GREENWICH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1081143000</v>
      </c>
      <c r="D12" s="76">
        <v>1149849000</v>
      </c>
      <c r="E12" s="76">
        <f t="shared" ref="E12:E21" si="0">D12-C12</f>
        <v>68706000</v>
      </c>
      <c r="F12" s="77">
        <f t="shared" ref="F12:F21" si="1">IF(C12=0,0,E12/C12)</f>
        <v>6.3549410207530369E-2</v>
      </c>
    </row>
    <row r="13" spans="1:8" ht="23.1" customHeight="1" x14ac:dyDescent="0.2">
      <c r="A13" s="74">
        <v>2</v>
      </c>
      <c r="B13" s="75" t="s">
        <v>72</v>
      </c>
      <c r="C13" s="76">
        <v>715144000</v>
      </c>
      <c r="D13" s="76">
        <v>754434000</v>
      </c>
      <c r="E13" s="76">
        <f t="shared" si="0"/>
        <v>39290000</v>
      </c>
      <c r="F13" s="77">
        <f t="shared" si="1"/>
        <v>5.4939984115087312E-2</v>
      </c>
    </row>
    <row r="14" spans="1:8" ht="23.1" customHeight="1" x14ac:dyDescent="0.2">
      <c r="A14" s="74">
        <v>3</v>
      </c>
      <c r="B14" s="75" t="s">
        <v>73</v>
      </c>
      <c r="C14" s="76">
        <v>15851000</v>
      </c>
      <c r="D14" s="76">
        <v>19753000</v>
      </c>
      <c r="E14" s="76">
        <f t="shared" si="0"/>
        <v>3902000</v>
      </c>
      <c r="F14" s="77">
        <f t="shared" si="1"/>
        <v>0.24616743423127879</v>
      </c>
    </row>
    <row r="15" spans="1:8" ht="23.1" customHeight="1" x14ac:dyDescent="0.2">
      <c r="A15" s="74">
        <v>4</v>
      </c>
      <c r="B15" s="75" t="s">
        <v>74</v>
      </c>
      <c r="C15" s="76">
        <v>22450000</v>
      </c>
      <c r="D15" s="76">
        <v>18370000</v>
      </c>
      <c r="E15" s="76">
        <f t="shared" si="0"/>
        <v>-4080000</v>
      </c>
      <c r="F15" s="77">
        <f t="shared" si="1"/>
        <v>-0.18173719376391984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327698000</v>
      </c>
      <c r="D16" s="79">
        <f>D12-D13-D14-D15</f>
        <v>357292000</v>
      </c>
      <c r="E16" s="79">
        <f t="shared" si="0"/>
        <v>29594000</v>
      </c>
      <c r="F16" s="80">
        <f t="shared" si="1"/>
        <v>9.0308759894781168E-2</v>
      </c>
    </row>
    <row r="17" spans="1:7" ht="23.1" customHeight="1" x14ac:dyDescent="0.2">
      <c r="A17" s="74">
        <v>5</v>
      </c>
      <c r="B17" s="75" t="s">
        <v>76</v>
      </c>
      <c r="C17" s="76">
        <v>14716000</v>
      </c>
      <c r="D17" s="76">
        <v>25085000</v>
      </c>
      <c r="E17" s="76">
        <f t="shared" si="0"/>
        <v>10369000</v>
      </c>
      <c r="F17" s="77">
        <f t="shared" si="1"/>
        <v>0.70460723022560479</v>
      </c>
      <c r="G17" s="65"/>
    </row>
    <row r="18" spans="1:7" ht="31.5" customHeight="1" x14ac:dyDescent="0.25">
      <c r="A18" s="71"/>
      <c r="B18" s="81" t="s">
        <v>77</v>
      </c>
      <c r="C18" s="79">
        <f>C16-C17</f>
        <v>312982000</v>
      </c>
      <c r="D18" s="79">
        <f>D16-D17</f>
        <v>332207000</v>
      </c>
      <c r="E18" s="79">
        <f t="shared" si="0"/>
        <v>19225000</v>
      </c>
      <c r="F18" s="80">
        <f t="shared" si="1"/>
        <v>6.1425257682550437E-2</v>
      </c>
    </row>
    <row r="19" spans="1:7" ht="23.1" customHeight="1" x14ac:dyDescent="0.2">
      <c r="A19" s="74">
        <v>6</v>
      </c>
      <c r="B19" s="75" t="s">
        <v>78</v>
      </c>
      <c r="C19" s="76">
        <v>16176000</v>
      </c>
      <c r="D19" s="76">
        <v>14839000</v>
      </c>
      <c r="E19" s="76">
        <f t="shared" si="0"/>
        <v>-1337000</v>
      </c>
      <c r="F19" s="77">
        <f t="shared" si="1"/>
        <v>-8.2653313550939661E-2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3621000</v>
      </c>
      <c r="D20" s="76">
        <v>3009000</v>
      </c>
      <c r="E20" s="76">
        <f t="shared" si="0"/>
        <v>-612000</v>
      </c>
      <c r="F20" s="77">
        <f t="shared" si="1"/>
        <v>-0.16901408450704225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332779000</v>
      </c>
      <c r="D21" s="79">
        <f>SUM(D18:D20)</f>
        <v>350055000</v>
      </c>
      <c r="E21" s="79">
        <f t="shared" si="0"/>
        <v>17276000</v>
      </c>
      <c r="F21" s="80">
        <f t="shared" si="1"/>
        <v>5.1914333536671485E-2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111450000</v>
      </c>
      <c r="D24" s="76">
        <v>113219000</v>
      </c>
      <c r="E24" s="76">
        <f t="shared" ref="E24:E33" si="2">D24-C24</f>
        <v>1769000</v>
      </c>
      <c r="F24" s="77">
        <f t="shared" ref="F24:F33" si="3">IF(C24=0,0,E24/C24)</f>
        <v>1.5872588604755496E-2</v>
      </c>
    </row>
    <row r="25" spans="1:7" ht="23.1" customHeight="1" x14ac:dyDescent="0.2">
      <c r="A25" s="74">
        <v>2</v>
      </c>
      <c r="B25" s="75" t="s">
        <v>83</v>
      </c>
      <c r="C25" s="76">
        <v>40846000</v>
      </c>
      <c r="D25" s="76">
        <v>37003000</v>
      </c>
      <c r="E25" s="76">
        <f t="shared" si="2"/>
        <v>-3843000</v>
      </c>
      <c r="F25" s="77">
        <f t="shared" si="3"/>
        <v>-9.4085100132203892E-2</v>
      </c>
    </row>
    <row r="26" spans="1:7" ht="23.1" customHeight="1" x14ac:dyDescent="0.2">
      <c r="A26" s="74">
        <v>3</v>
      </c>
      <c r="B26" s="75" t="s">
        <v>84</v>
      </c>
      <c r="C26" s="76">
        <v>8762000</v>
      </c>
      <c r="D26" s="76">
        <v>9386000</v>
      </c>
      <c r="E26" s="76">
        <f t="shared" si="2"/>
        <v>624000</v>
      </c>
      <c r="F26" s="77">
        <f t="shared" si="3"/>
        <v>7.1216617210682495E-2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44914321</v>
      </c>
      <c r="D27" s="76">
        <v>46591780</v>
      </c>
      <c r="E27" s="76">
        <f t="shared" si="2"/>
        <v>1677459</v>
      </c>
      <c r="F27" s="77">
        <f t="shared" si="3"/>
        <v>3.734797638374629E-2</v>
      </c>
    </row>
    <row r="28" spans="1:7" ht="23.1" customHeight="1" x14ac:dyDescent="0.2">
      <c r="A28" s="74">
        <v>5</v>
      </c>
      <c r="B28" s="75" t="s">
        <v>86</v>
      </c>
      <c r="C28" s="76">
        <v>21233000</v>
      </c>
      <c r="D28" s="76">
        <v>24929000</v>
      </c>
      <c r="E28" s="76">
        <f t="shared" si="2"/>
        <v>3696000</v>
      </c>
      <c r="F28" s="77">
        <f t="shared" si="3"/>
        <v>0.17406866669806434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469000</v>
      </c>
      <c r="D30" s="76">
        <v>343000</v>
      </c>
      <c r="E30" s="76">
        <f t="shared" si="2"/>
        <v>-126000</v>
      </c>
      <c r="F30" s="77">
        <f t="shared" si="3"/>
        <v>-0.26865671641791045</v>
      </c>
    </row>
    <row r="31" spans="1:7" ht="23.1" customHeight="1" x14ac:dyDescent="0.2">
      <c r="A31" s="74">
        <v>8</v>
      </c>
      <c r="B31" s="75" t="s">
        <v>89</v>
      </c>
      <c r="C31" s="76">
        <v>-981253</v>
      </c>
      <c r="D31" s="76">
        <v>-1799000</v>
      </c>
      <c r="E31" s="76">
        <f t="shared" si="2"/>
        <v>-817747</v>
      </c>
      <c r="F31" s="77">
        <f t="shared" si="3"/>
        <v>0.83337019097011678</v>
      </c>
    </row>
    <row r="32" spans="1:7" ht="23.1" customHeight="1" x14ac:dyDescent="0.2">
      <c r="A32" s="74">
        <v>9</v>
      </c>
      <c r="B32" s="75" t="s">
        <v>90</v>
      </c>
      <c r="C32" s="76">
        <v>84325932</v>
      </c>
      <c r="D32" s="76">
        <v>88181220</v>
      </c>
      <c r="E32" s="76">
        <f t="shared" si="2"/>
        <v>3855288</v>
      </c>
      <c r="F32" s="77">
        <f t="shared" si="3"/>
        <v>4.5718889890241594E-2</v>
      </c>
    </row>
    <row r="33" spans="1:6" ht="23.1" customHeight="1" x14ac:dyDescent="0.25">
      <c r="A33" s="71"/>
      <c r="B33" s="78" t="s">
        <v>91</v>
      </c>
      <c r="C33" s="79">
        <f>SUM(C24:C32)</f>
        <v>311019000</v>
      </c>
      <c r="D33" s="79">
        <f>SUM(D24:D32)</f>
        <v>317854000</v>
      </c>
      <c r="E33" s="79">
        <f t="shared" si="2"/>
        <v>6835000</v>
      </c>
      <c r="F33" s="80">
        <f t="shared" si="3"/>
        <v>2.1976149367080467E-2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21760000</v>
      </c>
      <c r="D35" s="79">
        <f>+D21-D33</f>
        <v>32201000</v>
      </c>
      <c r="E35" s="79">
        <f>D35-C35</f>
        <v>10441000</v>
      </c>
      <c r="F35" s="80">
        <f>IF(C35=0,0,E35/C35)</f>
        <v>0.4798253676470588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304000</v>
      </c>
      <c r="D38" s="76">
        <v>718000</v>
      </c>
      <c r="E38" s="76">
        <f>D38-C38</f>
        <v>414000</v>
      </c>
      <c r="F38" s="77">
        <f>IF(C38=0,0,E38/C38)</f>
        <v>1.361842105263158</v>
      </c>
    </row>
    <row r="39" spans="1:6" ht="23.1" customHeight="1" x14ac:dyDescent="0.2">
      <c r="A39" s="85">
        <v>2</v>
      </c>
      <c r="B39" s="75" t="s">
        <v>95</v>
      </c>
      <c r="C39" s="76">
        <v>3284000</v>
      </c>
      <c r="D39" s="76">
        <v>2412000</v>
      </c>
      <c r="E39" s="76">
        <f>D39-C39</f>
        <v>-872000</v>
      </c>
      <c r="F39" s="77">
        <f>IF(C39=0,0,E39/C39)</f>
        <v>-0.26552984165651644</v>
      </c>
    </row>
    <row r="40" spans="1:6" ht="23.1" customHeight="1" x14ac:dyDescent="0.2">
      <c r="A40" s="85">
        <v>3</v>
      </c>
      <c r="B40" s="75" t="s">
        <v>96</v>
      </c>
      <c r="C40" s="76">
        <v>-3448000</v>
      </c>
      <c r="D40" s="76">
        <v>-4457000</v>
      </c>
      <c r="E40" s="76">
        <f>D40-C40</f>
        <v>-1009000</v>
      </c>
      <c r="F40" s="77">
        <f>IF(C40=0,0,E40/C40)</f>
        <v>0.29263341067285381</v>
      </c>
    </row>
    <row r="41" spans="1:6" ht="23.1" customHeight="1" x14ac:dyDescent="0.25">
      <c r="A41" s="83"/>
      <c r="B41" s="78" t="s">
        <v>97</v>
      </c>
      <c r="C41" s="79">
        <f>SUM(C38:C40)</f>
        <v>140000</v>
      </c>
      <c r="D41" s="79">
        <f>SUM(D38:D40)</f>
        <v>-1327000</v>
      </c>
      <c r="E41" s="79">
        <f>D41-C41</f>
        <v>-1467000</v>
      </c>
      <c r="F41" s="80">
        <f>IF(C41=0,0,E41/C41)</f>
        <v>-10.478571428571428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21900000</v>
      </c>
      <c r="D43" s="79">
        <f>D35+D41</f>
        <v>30874000</v>
      </c>
      <c r="E43" s="79">
        <f>D43-C43</f>
        <v>8974000</v>
      </c>
      <c r="F43" s="80">
        <f>IF(C43=0,0,E43/C43)</f>
        <v>0.40977168949771692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5019000</v>
      </c>
      <c r="D46" s="76">
        <v>6345000</v>
      </c>
      <c r="E46" s="76">
        <f>D46-C46</f>
        <v>1326000</v>
      </c>
      <c r="F46" s="77">
        <f>IF(C46=0,0,E46/C46)</f>
        <v>0.26419605499103405</v>
      </c>
    </row>
    <row r="47" spans="1:6" ht="23.1" customHeight="1" x14ac:dyDescent="0.2">
      <c r="A47" s="85"/>
      <c r="B47" s="75" t="s">
        <v>101</v>
      </c>
      <c r="C47" s="76">
        <v>1011000</v>
      </c>
      <c r="D47" s="76">
        <v>-847000</v>
      </c>
      <c r="E47" s="76">
        <f>D47-C47</f>
        <v>-1858000</v>
      </c>
      <c r="F47" s="77">
        <f>IF(C47=0,0,E47/C47)</f>
        <v>-1.837784371909001</v>
      </c>
    </row>
    <row r="48" spans="1:6" ht="23.1" customHeight="1" x14ac:dyDescent="0.25">
      <c r="A48" s="83"/>
      <c r="B48" s="78" t="s">
        <v>102</v>
      </c>
      <c r="C48" s="79">
        <f>SUM(C46:C47)</f>
        <v>6030000</v>
      </c>
      <c r="D48" s="79">
        <f>SUM(D46:D47)</f>
        <v>5498000</v>
      </c>
      <c r="E48" s="79">
        <f>D48-C48</f>
        <v>-532000</v>
      </c>
      <c r="F48" s="80">
        <f>IF(C48=0,0,E48/C48)</f>
        <v>-8.8225538971807627E-2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27930000</v>
      </c>
      <c r="D50" s="79">
        <f>D43+D48</f>
        <v>36372000</v>
      </c>
      <c r="E50" s="79">
        <f>D50-C50</f>
        <v>8442000</v>
      </c>
      <c r="F50" s="80">
        <f>IF(C50=0,0,E50/C50)</f>
        <v>0.30225563909774439</v>
      </c>
    </row>
    <row r="51" spans="1:6" ht="23.1" customHeight="1" x14ac:dyDescent="0.2">
      <c r="A51" s="85"/>
      <c r="B51" s="75" t="s">
        <v>104</v>
      </c>
      <c r="C51" s="76">
        <v>2430000</v>
      </c>
      <c r="D51" s="76">
        <v>2505000</v>
      </c>
      <c r="E51" s="76">
        <f>D51-C51</f>
        <v>75000</v>
      </c>
      <c r="F51" s="77">
        <f>IF(C51=0,0,E51/C51)</f>
        <v>3.0864197530864196E-2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FILING&amp;RGREENWICH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206829289</v>
      </c>
      <c r="D14" s="113">
        <v>209423489</v>
      </c>
      <c r="E14" s="113">
        <f t="shared" ref="E14:E25" si="0">D14-C14</f>
        <v>2594200</v>
      </c>
      <c r="F14" s="114">
        <f t="shared" ref="F14:F25" si="1">IF(C14=0,0,E14/C14)</f>
        <v>1.2542711008400749E-2</v>
      </c>
    </row>
    <row r="15" spans="1:6" x14ac:dyDescent="0.2">
      <c r="A15" s="115">
        <v>2</v>
      </c>
      <c r="B15" s="116" t="s">
        <v>114</v>
      </c>
      <c r="C15" s="113">
        <v>24951439</v>
      </c>
      <c r="D15" s="113">
        <v>30992170</v>
      </c>
      <c r="E15" s="113">
        <f t="shared" si="0"/>
        <v>6040731</v>
      </c>
      <c r="F15" s="114">
        <f t="shared" si="1"/>
        <v>0.24209950376008374</v>
      </c>
    </row>
    <row r="16" spans="1:6" x14ac:dyDescent="0.2">
      <c r="A16" s="115">
        <v>3</v>
      </c>
      <c r="B16" s="116" t="s">
        <v>115</v>
      </c>
      <c r="C16" s="113">
        <v>11003309</v>
      </c>
      <c r="D16" s="113">
        <v>12504838</v>
      </c>
      <c r="E16" s="113">
        <f t="shared" si="0"/>
        <v>1501529</v>
      </c>
      <c r="F16" s="114">
        <f t="shared" si="1"/>
        <v>0.13646158623737642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330425</v>
      </c>
      <c r="D18" s="113">
        <v>423387</v>
      </c>
      <c r="E18" s="113">
        <f t="shared" si="0"/>
        <v>92962</v>
      </c>
      <c r="F18" s="114">
        <f t="shared" si="1"/>
        <v>0.2813406975864417</v>
      </c>
    </row>
    <row r="19" spans="1:6" x14ac:dyDescent="0.2">
      <c r="A19" s="115">
        <v>6</v>
      </c>
      <c r="B19" s="116" t="s">
        <v>118</v>
      </c>
      <c r="C19" s="113">
        <v>67616810</v>
      </c>
      <c r="D19" s="113">
        <v>85029776</v>
      </c>
      <c r="E19" s="113">
        <f t="shared" si="0"/>
        <v>17412966</v>
      </c>
      <c r="F19" s="114">
        <f t="shared" si="1"/>
        <v>0.2575242162414938</v>
      </c>
    </row>
    <row r="20" spans="1:6" x14ac:dyDescent="0.2">
      <c r="A20" s="115">
        <v>7</v>
      </c>
      <c r="B20" s="116" t="s">
        <v>119</v>
      </c>
      <c r="C20" s="113">
        <v>101930621</v>
      </c>
      <c r="D20" s="113">
        <v>110740982</v>
      </c>
      <c r="E20" s="113">
        <f t="shared" si="0"/>
        <v>8810361</v>
      </c>
      <c r="F20" s="114">
        <f t="shared" si="1"/>
        <v>8.6434880054345992E-2</v>
      </c>
    </row>
    <row r="21" spans="1:6" x14ac:dyDescent="0.2">
      <c r="A21" s="115">
        <v>8</v>
      </c>
      <c r="B21" s="116" t="s">
        <v>120</v>
      </c>
      <c r="C21" s="113">
        <v>2781728</v>
      </c>
      <c r="D21" s="113">
        <v>2578689</v>
      </c>
      <c r="E21" s="113">
        <f t="shared" si="0"/>
        <v>-203039</v>
      </c>
      <c r="F21" s="114">
        <f t="shared" si="1"/>
        <v>-7.2990242036604591E-2</v>
      </c>
    </row>
    <row r="22" spans="1:6" x14ac:dyDescent="0.2">
      <c r="A22" s="115">
        <v>9</v>
      </c>
      <c r="B22" s="116" t="s">
        <v>121</v>
      </c>
      <c r="C22" s="113">
        <v>6676345</v>
      </c>
      <c r="D22" s="113">
        <v>4687832</v>
      </c>
      <c r="E22" s="113">
        <f t="shared" si="0"/>
        <v>-1988513</v>
      </c>
      <c r="F22" s="114">
        <f t="shared" si="1"/>
        <v>-0.29784455416848588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12500914</v>
      </c>
      <c r="D24" s="113">
        <v>13188120</v>
      </c>
      <c r="E24" s="113">
        <f t="shared" si="0"/>
        <v>687206</v>
      </c>
      <c r="F24" s="114">
        <f t="shared" si="1"/>
        <v>5.4972460413694552E-2</v>
      </c>
    </row>
    <row r="25" spans="1:6" ht="15.75" x14ac:dyDescent="0.25">
      <c r="A25" s="117"/>
      <c r="B25" s="118" t="s">
        <v>124</v>
      </c>
      <c r="C25" s="119">
        <f>SUM(C14:C24)</f>
        <v>434620880</v>
      </c>
      <c r="D25" s="119">
        <f>SUM(D14:D24)</f>
        <v>469569283</v>
      </c>
      <c r="E25" s="119">
        <f t="shared" si="0"/>
        <v>34948403</v>
      </c>
      <c r="F25" s="120">
        <f t="shared" si="1"/>
        <v>8.0411237950647932E-2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187819676</v>
      </c>
      <c r="D27" s="113">
        <v>203916011</v>
      </c>
      <c r="E27" s="113">
        <f t="shared" ref="E27:E38" si="2">D27-C27</f>
        <v>16096335</v>
      </c>
      <c r="F27" s="114">
        <f t="shared" ref="F27:F38" si="3">IF(C27=0,0,E27/C27)</f>
        <v>8.5701005042730455E-2</v>
      </c>
    </row>
    <row r="28" spans="1:6" x14ac:dyDescent="0.2">
      <c r="A28" s="115">
        <v>2</v>
      </c>
      <c r="B28" s="116" t="s">
        <v>114</v>
      </c>
      <c r="C28" s="113">
        <v>17839831</v>
      </c>
      <c r="D28" s="113">
        <v>21428590</v>
      </c>
      <c r="E28" s="113">
        <f t="shared" si="2"/>
        <v>3588759</v>
      </c>
      <c r="F28" s="114">
        <f t="shared" si="3"/>
        <v>0.2011655267362118</v>
      </c>
    </row>
    <row r="29" spans="1:6" x14ac:dyDescent="0.2">
      <c r="A29" s="115">
        <v>3</v>
      </c>
      <c r="B29" s="116" t="s">
        <v>115</v>
      </c>
      <c r="C29" s="113">
        <v>23648312</v>
      </c>
      <c r="D29" s="113">
        <v>28889349</v>
      </c>
      <c r="E29" s="113">
        <f t="shared" si="2"/>
        <v>5241037</v>
      </c>
      <c r="F29" s="114">
        <f t="shared" si="3"/>
        <v>0.22162414805758651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438848</v>
      </c>
      <c r="D31" s="113">
        <v>598322</v>
      </c>
      <c r="E31" s="113">
        <f t="shared" si="2"/>
        <v>159474</v>
      </c>
      <c r="F31" s="114">
        <f t="shared" si="3"/>
        <v>0.3633923362986729</v>
      </c>
    </row>
    <row r="32" spans="1:6" x14ac:dyDescent="0.2">
      <c r="A32" s="115">
        <v>6</v>
      </c>
      <c r="B32" s="116" t="s">
        <v>118</v>
      </c>
      <c r="C32" s="113">
        <v>146170493</v>
      </c>
      <c r="D32" s="113">
        <v>160764875</v>
      </c>
      <c r="E32" s="113">
        <f t="shared" si="2"/>
        <v>14594382</v>
      </c>
      <c r="F32" s="114">
        <f t="shared" si="3"/>
        <v>9.9844925610259788E-2</v>
      </c>
    </row>
    <row r="33" spans="1:6" x14ac:dyDescent="0.2">
      <c r="A33" s="115">
        <v>7</v>
      </c>
      <c r="B33" s="116" t="s">
        <v>119</v>
      </c>
      <c r="C33" s="113">
        <v>225836922</v>
      </c>
      <c r="D33" s="113">
        <v>218789075</v>
      </c>
      <c r="E33" s="113">
        <f t="shared" si="2"/>
        <v>-7047847</v>
      </c>
      <c r="F33" s="114">
        <f t="shared" si="3"/>
        <v>-3.120768268352506E-2</v>
      </c>
    </row>
    <row r="34" spans="1:6" x14ac:dyDescent="0.2">
      <c r="A34" s="115">
        <v>8</v>
      </c>
      <c r="B34" s="116" t="s">
        <v>120</v>
      </c>
      <c r="C34" s="113">
        <v>5304494</v>
      </c>
      <c r="D34" s="113">
        <v>5248538</v>
      </c>
      <c r="E34" s="113">
        <f t="shared" si="2"/>
        <v>-55956</v>
      </c>
      <c r="F34" s="114">
        <f t="shared" si="3"/>
        <v>-1.0548791270194669E-2</v>
      </c>
    </row>
    <row r="35" spans="1:6" x14ac:dyDescent="0.2">
      <c r="A35" s="115">
        <v>9</v>
      </c>
      <c r="B35" s="116" t="s">
        <v>121</v>
      </c>
      <c r="C35" s="113">
        <v>27139820</v>
      </c>
      <c r="D35" s="113">
        <v>26018038</v>
      </c>
      <c r="E35" s="113">
        <f t="shared" si="2"/>
        <v>-1121782</v>
      </c>
      <c r="F35" s="114">
        <f t="shared" si="3"/>
        <v>-4.1333435520206102E-2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12323262</v>
      </c>
      <c r="D37" s="113">
        <v>14626542</v>
      </c>
      <c r="E37" s="113">
        <f t="shared" si="2"/>
        <v>2303280</v>
      </c>
      <c r="F37" s="114">
        <f t="shared" si="3"/>
        <v>0.18690505809257321</v>
      </c>
    </row>
    <row r="38" spans="1:6" ht="15.75" x14ac:dyDescent="0.25">
      <c r="A38" s="117"/>
      <c r="B38" s="118" t="s">
        <v>126</v>
      </c>
      <c r="C38" s="119">
        <f>SUM(C27:C37)</f>
        <v>646521658</v>
      </c>
      <c r="D38" s="119">
        <f>SUM(D27:D37)</f>
        <v>680279340</v>
      </c>
      <c r="E38" s="119">
        <f t="shared" si="2"/>
        <v>33757682</v>
      </c>
      <c r="F38" s="120">
        <f t="shared" si="3"/>
        <v>5.2214309578473547E-2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394648965</v>
      </c>
      <c r="D41" s="119">
        <f t="shared" si="4"/>
        <v>413339500</v>
      </c>
      <c r="E41" s="123">
        <f t="shared" ref="E41:E52" si="5">D41-C41</f>
        <v>18690535</v>
      </c>
      <c r="F41" s="124">
        <f t="shared" ref="F41:F52" si="6">IF(C41=0,0,E41/C41)</f>
        <v>4.7359898688699206E-2</v>
      </c>
    </row>
    <row r="42" spans="1:6" ht="15.75" x14ac:dyDescent="0.25">
      <c r="A42" s="121">
        <v>2</v>
      </c>
      <c r="B42" s="122" t="s">
        <v>114</v>
      </c>
      <c r="C42" s="119">
        <f t="shared" si="4"/>
        <v>42791270</v>
      </c>
      <c r="D42" s="119">
        <f t="shared" si="4"/>
        <v>52420760</v>
      </c>
      <c r="E42" s="123">
        <f t="shared" si="5"/>
        <v>9629490</v>
      </c>
      <c r="F42" s="124">
        <f t="shared" si="6"/>
        <v>0.22503398473567154</v>
      </c>
    </row>
    <row r="43" spans="1:6" ht="15.75" x14ac:dyDescent="0.25">
      <c r="A43" s="121">
        <v>3</v>
      </c>
      <c r="B43" s="122" t="s">
        <v>115</v>
      </c>
      <c r="C43" s="119">
        <f t="shared" si="4"/>
        <v>34651621</v>
      </c>
      <c r="D43" s="119">
        <f t="shared" si="4"/>
        <v>41394187</v>
      </c>
      <c r="E43" s="123">
        <f t="shared" si="5"/>
        <v>6742566</v>
      </c>
      <c r="F43" s="124">
        <f t="shared" si="6"/>
        <v>0.19458154641596709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769273</v>
      </c>
      <c r="D45" s="119">
        <f t="shared" si="4"/>
        <v>1021709</v>
      </c>
      <c r="E45" s="123">
        <f t="shared" si="5"/>
        <v>252436</v>
      </c>
      <c r="F45" s="124">
        <f t="shared" si="6"/>
        <v>0.3281487846317237</v>
      </c>
    </row>
    <row r="46" spans="1:6" ht="15.75" x14ac:dyDescent="0.25">
      <c r="A46" s="121">
        <v>6</v>
      </c>
      <c r="B46" s="122" t="s">
        <v>118</v>
      </c>
      <c r="C46" s="119">
        <f t="shared" si="4"/>
        <v>213787303</v>
      </c>
      <c r="D46" s="119">
        <f t="shared" si="4"/>
        <v>245794651</v>
      </c>
      <c r="E46" s="123">
        <f t="shared" si="5"/>
        <v>32007348</v>
      </c>
      <c r="F46" s="124">
        <f t="shared" si="6"/>
        <v>0.14971585099232951</v>
      </c>
    </row>
    <row r="47" spans="1:6" ht="15.75" x14ac:dyDescent="0.25">
      <c r="A47" s="121">
        <v>7</v>
      </c>
      <c r="B47" s="122" t="s">
        <v>119</v>
      </c>
      <c r="C47" s="119">
        <f t="shared" si="4"/>
        <v>327767543</v>
      </c>
      <c r="D47" s="119">
        <f t="shared" si="4"/>
        <v>329530057</v>
      </c>
      <c r="E47" s="123">
        <f t="shared" si="5"/>
        <v>1762514</v>
      </c>
      <c r="F47" s="124">
        <f t="shared" si="6"/>
        <v>5.3773292616712811E-3</v>
      </c>
    </row>
    <row r="48" spans="1:6" ht="15.75" x14ac:dyDescent="0.25">
      <c r="A48" s="121">
        <v>8</v>
      </c>
      <c r="B48" s="122" t="s">
        <v>120</v>
      </c>
      <c r="C48" s="119">
        <f t="shared" si="4"/>
        <v>8086222</v>
      </c>
      <c r="D48" s="119">
        <f t="shared" si="4"/>
        <v>7827227</v>
      </c>
      <c r="E48" s="123">
        <f t="shared" si="5"/>
        <v>-258995</v>
      </c>
      <c r="F48" s="124">
        <f t="shared" si="6"/>
        <v>-3.2029172585170185E-2</v>
      </c>
    </row>
    <row r="49" spans="1:6" ht="15.75" x14ac:dyDescent="0.25">
      <c r="A49" s="121">
        <v>9</v>
      </c>
      <c r="B49" s="122" t="s">
        <v>121</v>
      </c>
      <c r="C49" s="119">
        <f t="shared" si="4"/>
        <v>33816165</v>
      </c>
      <c r="D49" s="119">
        <f t="shared" si="4"/>
        <v>30705870</v>
      </c>
      <c r="E49" s="123">
        <f t="shared" si="5"/>
        <v>-3110295</v>
      </c>
      <c r="F49" s="124">
        <f t="shared" si="6"/>
        <v>-9.1976573925517571E-2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24824176</v>
      </c>
      <c r="D51" s="119">
        <f t="shared" si="4"/>
        <v>27814662</v>
      </c>
      <c r="E51" s="123">
        <f t="shared" si="5"/>
        <v>2990486</v>
      </c>
      <c r="F51" s="124">
        <f t="shared" si="6"/>
        <v>0.12046667732294518</v>
      </c>
    </row>
    <row r="52" spans="1:6" ht="18.75" customHeight="1" thickBot="1" x14ac:dyDescent="0.3">
      <c r="A52" s="125"/>
      <c r="B52" s="126" t="s">
        <v>128</v>
      </c>
      <c r="C52" s="127">
        <f>SUM(C41:C51)</f>
        <v>1081142538</v>
      </c>
      <c r="D52" s="128">
        <f>SUM(D41:D51)</f>
        <v>1149848623</v>
      </c>
      <c r="E52" s="127">
        <f t="shared" si="5"/>
        <v>68706085</v>
      </c>
      <c r="F52" s="129">
        <f t="shared" si="6"/>
        <v>6.3549515984357652E-2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50875595</v>
      </c>
      <c r="D57" s="113">
        <v>52258379</v>
      </c>
      <c r="E57" s="113">
        <f t="shared" ref="E57:E68" si="7">D57-C57</f>
        <v>1382784</v>
      </c>
      <c r="F57" s="114">
        <f t="shared" ref="F57:F68" si="8">IF(C57=0,0,E57/C57)</f>
        <v>2.7179711608286843E-2</v>
      </c>
    </row>
    <row r="58" spans="1:6" x14ac:dyDescent="0.2">
      <c r="A58" s="115">
        <v>2</v>
      </c>
      <c r="B58" s="116" t="s">
        <v>114</v>
      </c>
      <c r="C58" s="113">
        <v>6569366</v>
      </c>
      <c r="D58" s="113">
        <v>7231035</v>
      </c>
      <c r="E58" s="113">
        <f t="shared" si="7"/>
        <v>661669</v>
      </c>
      <c r="F58" s="114">
        <f t="shared" si="8"/>
        <v>0.10072037392953902</v>
      </c>
    </row>
    <row r="59" spans="1:6" x14ac:dyDescent="0.2">
      <c r="A59" s="115">
        <v>3</v>
      </c>
      <c r="B59" s="116" t="s">
        <v>115</v>
      </c>
      <c r="C59" s="113">
        <v>2509474</v>
      </c>
      <c r="D59" s="113">
        <v>3773460</v>
      </c>
      <c r="E59" s="113">
        <f t="shared" si="7"/>
        <v>1263986</v>
      </c>
      <c r="F59" s="114">
        <f t="shared" si="8"/>
        <v>0.50368563292546564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112174</v>
      </c>
      <c r="D61" s="113">
        <v>69245</v>
      </c>
      <c r="E61" s="113">
        <f t="shared" si="7"/>
        <v>-42929</v>
      </c>
      <c r="F61" s="114">
        <f t="shared" si="8"/>
        <v>-0.38270009093016205</v>
      </c>
    </row>
    <row r="62" spans="1:6" x14ac:dyDescent="0.2">
      <c r="A62" s="115">
        <v>6</v>
      </c>
      <c r="B62" s="116" t="s">
        <v>118</v>
      </c>
      <c r="C62" s="113">
        <v>31088947</v>
      </c>
      <c r="D62" s="113">
        <v>35698747</v>
      </c>
      <c r="E62" s="113">
        <f t="shared" si="7"/>
        <v>4609800</v>
      </c>
      <c r="F62" s="114">
        <f t="shared" si="8"/>
        <v>0.148277778594431</v>
      </c>
    </row>
    <row r="63" spans="1:6" x14ac:dyDescent="0.2">
      <c r="A63" s="115">
        <v>7</v>
      </c>
      <c r="B63" s="116" t="s">
        <v>119</v>
      </c>
      <c r="C63" s="113">
        <v>42916594</v>
      </c>
      <c r="D63" s="113">
        <v>47720933</v>
      </c>
      <c r="E63" s="113">
        <f t="shared" si="7"/>
        <v>4804339</v>
      </c>
      <c r="F63" s="114">
        <f t="shared" si="8"/>
        <v>0.11194595265411789</v>
      </c>
    </row>
    <row r="64" spans="1:6" x14ac:dyDescent="0.2">
      <c r="A64" s="115">
        <v>8</v>
      </c>
      <c r="B64" s="116" t="s">
        <v>120</v>
      </c>
      <c r="C64" s="113">
        <v>2757562</v>
      </c>
      <c r="D64" s="113">
        <v>1555548</v>
      </c>
      <c r="E64" s="113">
        <f t="shared" si="7"/>
        <v>-1202014</v>
      </c>
      <c r="F64" s="114">
        <f t="shared" si="8"/>
        <v>-0.43589736150991348</v>
      </c>
    </row>
    <row r="65" spans="1:6" x14ac:dyDescent="0.2">
      <c r="A65" s="115">
        <v>9</v>
      </c>
      <c r="B65" s="116" t="s">
        <v>121</v>
      </c>
      <c r="C65" s="113">
        <v>3888925</v>
      </c>
      <c r="D65" s="113">
        <v>246577</v>
      </c>
      <c r="E65" s="113">
        <f t="shared" si="7"/>
        <v>-3642348</v>
      </c>
      <c r="F65" s="114">
        <f t="shared" si="8"/>
        <v>-0.93659507447430845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2600396</v>
      </c>
      <c r="D67" s="113">
        <v>1588091</v>
      </c>
      <c r="E67" s="113">
        <f t="shared" si="7"/>
        <v>-1012305</v>
      </c>
      <c r="F67" s="114">
        <f t="shared" si="8"/>
        <v>-0.38928878524655475</v>
      </c>
    </row>
    <row r="68" spans="1:6" ht="15.75" x14ac:dyDescent="0.25">
      <c r="A68" s="117"/>
      <c r="B68" s="118" t="s">
        <v>131</v>
      </c>
      <c r="C68" s="119">
        <f>SUM(C57:C67)</f>
        <v>143319033</v>
      </c>
      <c r="D68" s="119">
        <f>SUM(D57:D67)</f>
        <v>150142015</v>
      </c>
      <c r="E68" s="119">
        <f t="shared" si="7"/>
        <v>6822982</v>
      </c>
      <c r="F68" s="120">
        <f t="shared" si="8"/>
        <v>4.7606949734303607E-2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28173739</v>
      </c>
      <c r="D70" s="113">
        <v>31950176</v>
      </c>
      <c r="E70" s="113">
        <f t="shared" ref="E70:E81" si="9">D70-C70</f>
        <v>3776437</v>
      </c>
      <c r="F70" s="114">
        <f t="shared" ref="F70:F81" si="10">IF(C70=0,0,E70/C70)</f>
        <v>0.13404103019482078</v>
      </c>
    </row>
    <row r="71" spans="1:6" x14ac:dyDescent="0.2">
      <c r="A71" s="115">
        <v>2</v>
      </c>
      <c r="B71" s="116" t="s">
        <v>114</v>
      </c>
      <c r="C71" s="113">
        <v>2787908</v>
      </c>
      <c r="D71" s="113">
        <v>3623521</v>
      </c>
      <c r="E71" s="113">
        <f t="shared" si="9"/>
        <v>835613</v>
      </c>
      <c r="F71" s="114">
        <f t="shared" si="10"/>
        <v>0.29972760937591914</v>
      </c>
    </row>
    <row r="72" spans="1:6" x14ac:dyDescent="0.2">
      <c r="A72" s="115">
        <v>3</v>
      </c>
      <c r="B72" s="116" t="s">
        <v>115</v>
      </c>
      <c r="C72" s="113">
        <v>4213126</v>
      </c>
      <c r="D72" s="113">
        <v>4681630</v>
      </c>
      <c r="E72" s="113">
        <f t="shared" si="9"/>
        <v>468504</v>
      </c>
      <c r="F72" s="114">
        <f t="shared" si="10"/>
        <v>0.11120104169683033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261553</v>
      </c>
      <c r="D74" s="113">
        <v>258984</v>
      </c>
      <c r="E74" s="113">
        <f t="shared" si="9"/>
        <v>-2569</v>
      </c>
      <c r="F74" s="114">
        <f t="shared" si="10"/>
        <v>-9.8221010655584143E-3</v>
      </c>
    </row>
    <row r="75" spans="1:6" x14ac:dyDescent="0.2">
      <c r="A75" s="115">
        <v>6</v>
      </c>
      <c r="B75" s="116" t="s">
        <v>118</v>
      </c>
      <c r="C75" s="113">
        <v>63894528</v>
      </c>
      <c r="D75" s="113">
        <v>62613449</v>
      </c>
      <c r="E75" s="113">
        <f t="shared" si="9"/>
        <v>-1281079</v>
      </c>
      <c r="F75" s="114">
        <f t="shared" si="10"/>
        <v>-2.0049901612857988E-2</v>
      </c>
    </row>
    <row r="76" spans="1:6" x14ac:dyDescent="0.2">
      <c r="A76" s="115">
        <v>7</v>
      </c>
      <c r="B76" s="116" t="s">
        <v>119</v>
      </c>
      <c r="C76" s="113">
        <v>76452870</v>
      </c>
      <c r="D76" s="113">
        <v>85177239</v>
      </c>
      <c r="E76" s="113">
        <f t="shared" si="9"/>
        <v>8724369</v>
      </c>
      <c r="F76" s="114">
        <f t="shared" si="10"/>
        <v>0.11411434260087293</v>
      </c>
    </row>
    <row r="77" spans="1:6" x14ac:dyDescent="0.2">
      <c r="A77" s="115">
        <v>8</v>
      </c>
      <c r="B77" s="116" t="s">
        <v>120</v>
      </c>
      <c r="C77" s="113">
        <v>2099142</v>
      </c>
      <c r="D77" s="113">
        <v>1659040</v>
      </c>
      <c r="E77" s="113">
        <f t="shared" si="9"/>
        <v>-440102</v>
      </c>
      <c r="F77" s="114">
        <f t="shared" si="10"/>
        <v>-0.20965804123780096</v>
      </c>
    </row>
    <row r="78" spans="1:6" x14ac:dyDescent="0.2">
      <c r="A78" s="115">
        <v>9</v>
      </c>
      <c r="B78" s="116" t="s">
        <v>121</v>
      </c>
      <c r="C78" s="113">
        <v>593497</v>
      </c>
      <c r="D78" s="113">
        <v>1714362</v>
      </c>
      <c r="E78" s="113">
        <f t="shared" si="9"/>
        <v>1120865</v>
      </c>
      <c r="F78" s="114">
        <f t="shared" si="10"/>
        <v>1.8885773643337709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2614406</v>
      </c>
      <c r="D80" s="113">
        <v>2079011</v>
      </c>
      <c r="E80" s="113">
        <f t="shared" si="9"/>
        <v>-535395</v>
      </c>
      <c r="F80" s="114">
        <f t="shared" si="10"/>
        <v>-0.2047864792231964</v>
      </c>
    </row>
    <row r="81" spans="1:6" ht="15.75" x14ac:dyDescent="0.25">
      <c r="A81" s="117"/>
      <c r="B81" s="118" t="s">
        <v>133</v>
      </c>
      <c r="C81" s="119">
        <f>SUM(C70:C80)</f>
        <v>181090769</v>
      </c>
      <c r="D81" s="119">
        <f>SUM(D70:D80)</f>
        <v>193757412</v>
      </c>
      <c r="E81" s="119">
        <f t="shared" si="9"/>
        <v>12666643</v>
      </c>
      <c r="F81" s="120">
        <f t="shared" si="10"/>
        <v>6.994637589727172E-2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79049334</v>
      </c>
      <c r="D84" s="119">
        <f t="shared" si="11"/>
        <v>84208555</v>
      </c>
      <c r="E84" s="119">
        <f t="shared" ref="E84:E95" si="12">D84-C84</f>
        <v>5159221</v>
      </c>
      <c r="F84" s="120">
        <f t="shared" ref="F84:F95" si="13">IF(C84=0,0,E84/C84)</f>
        <v>6.5265837660314754E-2</v>
      </c>
    </row>
    <row r="85" spans="1:6" ht="15.75" x14ac:dyDescent="0.25">
      <c r="A85" s="130">
        <v>2</v>
      </c>
      <c r="B85" s="122" t="s">
        <v>114</v>
      </c>
      <c r="C85" s="119">
        <f t="shared" si="11"/>
        <v>9357274</v>
      </c>
      <c r="D85" s="119">
        <f t="shared" si="11"/>
        <v>10854556</v>
      </c>
      <c r="E85" s="119">
        <f t="shared" si="12"/>
        <v>1497282</v>
      </c>
      <c r="F85" s="120">
        <f t="shared" si="13"/>
        <v>0.16001262760928023</v>
      </c>
    </row>
    <row r="86" spans="1:6" ht="15.75" x14ac:dyDescent="0.25">
      <c r="A86" s="130">
        <v>3</v>
      </c>
      <c r="B86" s="122" t="s">
        <v>115</v>
      </c>
      <c r="C86" s="119">
        <f t="shared" si="11"/>
        <v>6722600</v>
      </c>
      <c r="D86" s="119">
        <f t="shared" si="11"/>
        <v>8455090</v>
      </c>
      <c r="E86" s="119">
        <f t="shared" si="12"/>
        <v>1732490</v>
      </c>
      <c r="F86" s="120">
        <f t="shared" si="13"/>
        <v>0.2577113021747538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373727</v>
      </c>
      <c r="D88" s="119">
        <f t="shared" si="11"/>
        <v>328229</v>
      </c>
      <c r="E88" s="119">
        <f t="shared" si="12"/>
        <v>-45498</v>
      </c>
      <c r="F88" s="120">
        <f t="shared" si="13"/>
        <v>-0.12174127103473927</v>
      </c>
    </row>
    <row r="89" spans="1:6" ht="15.75" x14ac:dyDescent="0.25">
      <c r="A89" s="130">
        <v>6</v>
      </c>
      <c r="B89" s="122" t="s">
        <v>118</v>
      </c>
      <c r="C89" s="119">
        <f t="shared" si="11"/>
        <v>94983475</v>
      </c>
      <c r="D89" s="119">
        <f t="shared" si="11"/>
        <v>98312196</v>
      </c>
      <c r="E89" s="119">
        <f t="shared" si="12"/>
        <v>3328721</v>
      </c>
      <c r="F89" s="120">
        <f t="shared" si="13"/>
        <v>3.5045264452579779E-2</v>
      </c>
    </row>
    <row r="90" spans="1:6" ht="15.75" x14ac:dyDescent="0.25">
      <c r="A90" s="130">
        <v>7</v>
      </c>
      <c r="B90" s="122" t="s">
        <v>119</v>
      </c>
      <c r="C90" s="119">
        <f t="shared" si="11"/>
        <v>119369464</v>
      </c>
      <c r="D90" s="119">
        <f t="shared" si="11"/>
        <v>132898172</v>
      </c>
      <c r="E90" s="119">
        <f t="shared" si="12"/>
        <v>13528708</v>
      </c>
      <c r="F90" s="120">
        <f t="shared" si="13"/>
        <v>0.11333474698353341</v>
      </c>
    </row>
    <row r="91" spans="1:6" ht="15.75" x14ac:dyDescent="0.25">
      <c r="A91" s="130">
        <v>8</v>
      </c>
      <c r="B91" s="122" t="s">
        <v>120</v>
      </c>
      <c r="C91" s="119">
        <f t="shared" si="11"/>
        <v>4856704</v>
      </c>
      <c r="D91" s="119">
        <f t="shared" si="11"/>
        <v>3214588</v>
      </c>
      <c r="E91" s="119">
        <f t="shared" si="12"/>
        <v>-1642116</v>
      </c>
      <c r="F91" s="120">
        <f t="shared" si="13"/>
        <v>-0.33811325540942994</v>
      </c>
    </row>
    <row r="92" spans="1:6" ht="15.75" x14ac:dyDescent="0.25">
      <c r="A92" s="130">
        <v>9</v>
      </c>
      <c r="B92" s="122" t="s">
        <v>121</v>
      </c>
      <c r="C92" s="119">
        <f t="shared" si="11"/>
        <v>4482422</v>
      </c>
      <c r="D92" s="119">
        <f t="shared" si="11"/>
        <v>1960939</v>
      </c>
      <c r="E92" s="119">
        <f t="shared" si="12"/>
        <v>-2521483</v>
      </c>
      <c r="F92" s="120">
        <f t="shared" si="13"/>
        <v>-0.56252691067463079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5214802</v>
      </c>
      <c r="D94" s="119">
        <f t="shared" si="11"/>
        <v>3667102</v>
      </c>
      <c r="E94" s="119">
        <f t="shared" si="12"/>
        <v>-1547700</v>
      </c>
      <c r="F94" s="120">
        <f t="shared" si="13"/>
        <v>-0.29678979182718729</v>
      </c>
    </row>
    <row r="95" spans="1:6" ht="18.75" customHeight="1" thickBot="1" x14ac:dyDescent="0.3">
      <c r="A95" s="131"/>
      <c r="B95" s="132" t="s">
        <v>134</v>
      </c>
      <c r="C95" s="128">
        <f>SUM(C84:C94)</f>
        <v>324409802</v>
      </c>
      <c r="D95" s="128">
        <f>SUM(D84:D94)</f>
        <v>343899427</v>
      </c>
      <c r="E95" s="128">
        <f t="shared" si="12"/>
        <v>19489625</v>
      </c>
      <c r="F95" s="129">
        <f t="shared" si="13"/>
        <v>6.0077176706269809E-2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4376</v>
      </c>
      <c r="D100" s="133">
        <v>3927</v>
      </c>
      <c r="E100" s="133">
        <f t="shared" ref="E100:E111" si="14">D100-C100</f>
        <v>-449</v>
      </c>
      <c r="F100" s="114">
        <f t="shared" ref="F100:F111" si="15">IF(C100=0,0,E100/C100)</f>
        <v>-0.10260511882998172</v>
      </c>
    </row>
    <row r="101" spans="1:6" x14ac:dyDescent="0.2">
      <c r="A101" s="115">
        <v>2</v>
      </c>
      <c r="B101" s="116" t="s">
        <v>114</v>
      </c>
      <c r="C101" s="133">
        <v>512</v>
      </c>
      <c r="D101" s="133">
        <v>618</v>
      </c>
      <c r="E101" s="133">
        <f t="shared" si="14"/>
        <v>106</v>
      </c>
      <c r="F101" s="114">
        <f t="shared" si="15"/>
        <v>0.20703125</v>
      </c>
    </row>
    <row r="102" spans="1:6" x14ac:dyDescent="0.2">
      <c r="A102" s="115">
        <v>3</v>
      </c>
      <c r="B102" s="116" t="s">
        <v>115</v>
      </c>
      <c r="C102" s="133">
        <v>370</v>
      </c>
      <c r="D102" s="133">
        <v>416</v>
      </c>
      <c r="E102" s="133">
        <f t="shared" si="14"/>
        <v>46</v>
      </c>
      <c r="F102" s="114">
        <f t="shared" si="15"/>
        <v>0.12432432432432433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13</v>
      </c>
      <c r="D104" s="133">
        <v>14</v>
      </c>
      <c r="E104" s="133">
        <f t="shared" si="14"/>
        <v>1</v>
      </c>
      <c r="F104" s="114">
        <f t="shared" si="15"/>
        <v>7.6923076923076927E-2</v>
      </c>
    </row>
    <row r="105" spans="1:6" x14ac:dyDescent="0.2">
      <c r="A105" s="115">
        <v>6</v>
      </c>
      <c r="B105" s="116" t="s">
        <v>118</v>
      </c>
      <c r="C105" s="133">
        <v>2532</v>
      </c>
      <c r="D105" s="133">
        <v>2868</v>
      </c>
      <c r="E105" s="133">
        <f t="shared" si="14"/>
        <v>336</v>
      </c>
      <c r="F105" s="114">
        <f t="shared" si="15"/>
        <v>0.13270142180094788</v>
      </c>
    </row>
    <row r="106" spans="1:6" x14ac:dyDescent="0.2">
      <c r="A106" s="115">
        <v>7</v>
      </c>
      <c r="B106" s="116" t="s">
        <v>119</v>
      </c>
      <c r="C106" s="133">
        <v>3977</v>
      </c>
      <c r="D106" s="133">
        <v>4111</v>
      </c>
      <c r="E106" s="133">
        <f t="shared" si="14"/>
        <v>134</v>
      </c>
      <c r="F106" s="114">
        <f t="shared" si="15"/>
        <v>3.3693738999245659E-2</v>
      </c>
    </row>
    <row r="107" spans="1:6" x14ac:dyDescent="0.2">
      <c r="A107" s="115">
        <v>8</v>
      </c>
      <c r="B107" s="116" t="s">
        <v>120</v>
      </c>
      <c r="C107" s="133">
        <v>42</v>
      </c>
      <c r="D107" s="133">
        <v>36</v>
      </c>
      <c r="E107" s="133">
        <f t="shared" si="14"/>
        <v>-6</v>
      </c>
      <c r="F107" s="114">
        <f t="shared" si="15"/>
        <v>-0.14285714285714285</v>
      </c>
    </row>
    <row r="108" spans="1:6" x14ac:dyDescent="0.2">
      <c r="A108" s="115">
        <v>9</v>
      </c>
      <c r="B108" s="116" t="s">
        <v>121</v>
      </c>
      <c r="C108" s="133">
        <v>340</v>
      </c>
      <c r="D108" s="133">
        <v>167</v>
      </c>
      <c r="E108" s="133">
        <f t="shared" si="14"/>
        <v>-173</v>
      </c>
      <c r="F108" s="114">
        <f t="shared" si="15"/>
        <v>-0.50882352941176467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277</v>
      </c>
      <c r="D110" s="133">
        <v>381</v>
      </c>
      <c r="E110" s="133">
        <f t="shared" si="14"/>
        <v>104</v>
      </c>
      <c r="F110" s="114">
        <f t="shared" si="15"/>
        <v>0.37545126353790614</v>
      </c>
    </row>
    <row r="111" spans="1:6" ht="15.75" x14ac:dyDescent="0.25">
      <c r="A111" s="117"/>
      <c r="B111" s="118" t="s">
        <v>138</v>
      </c>
      <c r="C111" s="134">
        <f>SUM(C100:C110)</f>
        <v>12439</v>
      </c>
      <c r="D111" s="134">
        <f>SUM(D100:D110)</f>
        <v>12538</v>
      </c>
      <c r="E111" s="134">
        <f t="shared" si="14"/>
        <v>99</v>
      </c>
      <c r="F111" s="120">
        <f t="shared" si="15"/>
        <v>7.9588391349786954E-3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22771</v>
      </c>
      <c r="D113" s="133">
        <v>22270</v>
      </c>
      <c r="E113" s="133">
        <f t="shared" ref="E113:E124" si="16">D113-C113</f>
        <v>-501</v>
      </c>
      <c r="F113" s="114">
        <f t="shared" ref="F113:F124" si="17">IF(C113=0,0,E113/C113)</f>
        <v>-2.2001668789249484E-2</v>
      </c>
    </row>
    <row r="114" spans="1:6" x14ac:dyDescent="0.2">
      <c r="A114" s="115">
        <v>2</v>
      </c>
      <c r="B114" s="116" t="s">
        <v>114</v>
      </c>
      <c r="C114" s="133">
        <v>2940</v>
      </c>
      <c r="D114" s="133">
        <v>3684</v>
      </c>
      <c r="E114" s="133">
        <f t="shared" si="16"/>
        <v>744</v>
      </c>
      <c r="F114" s="114">
        <f t="shared" si="17"/>
        <v>0.2530612244897959</v>
      </c>
    </row>
    <row r="115" spans="1:6" x14ac:dyDescent="0.2">
      <c r="A115" s="115">
        <v>3</v>
      </c>
      <c r="B115" s="116" t="s">
        <v>115</v>
      </c>
      <c r="C115" s="133">
        <v>1381</v>
      </c>
      <c r="D115" s="133">
        <v>1607</v>
      </c>
      <c r="E115" s="133">
        <f t="shared" si="16"/>
        <v>226</v>
      </c>
      <c r="F115" s="114">
        <f t="shared" si="17"/>
        <v>0.16364952932657495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54</v>
      </c>
      <c r="D117" s="133">
        <v>40</v>
      </c>
      <c r="E117" s="133">
        <f t="shared" si="16"/>
        <v>-14</v>
      </c>
      <c r="F117" s="114">
        <f t="shared" si="17"/>
        <v>-0.25925925925925924</v>
      </c>
    </row>
    <row r="118" spans="1:6" x14ac:dyDescent="0.2">
      <c r="A118" s="115">
        <v>6</v>
      </c>
      <c r="B118" s="116" t="s">
        <v>118</v>
      </c>
      <c r="C118" s="133">
        <v>8457</v>
      </c>
      <c r="D118" s="133">
        <v>10317</v>
      </c>
      <c r="E118" s="133">
        <f t="shared" si="16"/>
        <v>1860</v>
      </c>
      <c r="F118" s="114">
        <f t="shared" si="17"/>
        <v>0.2199361475700603</v>
      </c>
    </row>
    <row r="119" spans="1:6" x14ac:dyDescent="0.2">
      <c r="A119" s="115">
        <v>7</v>
      </c>
      <c r="B119" s="116" t="s">
        <v>119</v>
      </c>
      <c r="C119" s="133">
        <v>13581</v>
      </c>
      <c r="D119" s="133">
        <v>14324</v>
      </c>
      <c r="E119" s="133">
        <f t="shared" si="16"/>
        <v>743</v>
      </c>
      <c r="F119" s="114">
        <f t="shared" si="17"/>
        <v>5.4708784331050732E-2</v>
      </c>
    </row>
    <row r="120" spans="1:6" x14ac:dyDescent="0.2">
      <c r="A120" s="115">
        <v>8</v>
      </c>
      <c r="B120" s="116" t="s">
        <v>120</v>
      </c>
      <c r="C120" s="133">
        <v>130</v>
      </c>
      <c r="D120" s="133">
        <v>153</v>
      </c>
      <c r="E120" s="133">
        <f t="shared" si="16"/>
        <v>23</v>
      </c>
      <c r="F120" s="114">
        <f t="shared" si="17"/>
        <v>0.17692307692307693</v>
      </c>
    </row>
    <row r="121" spans="1:6" x14ac:dyDescent="0.2">
      <c r="A121" s="115">
        <v>9</v>
      </c>
      <c r="B121" s="116" t="s">
        <v>121</v>
      </c>
      <c r="C121" s="133">
        <v>1324</v>
      </c>
      <c r="D121" s="133">
        <v>515</v>
      </c>
      <c r="E121" s="133">
        <f t="shared" si="16"/>
        <v>-809</v>
      </c>
      <c r="F121" s="114">
        <f t="shared" si="17"/>
        <v>-0.61102719033232633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1326</v>
      </c>
      <c r="D123" s="133">
        <v>1599</v>
      </c>
      <c r="E123" s="133">
        <f t="shared" si="16"/>
        <v>273</v>
      </c>
      <c r="F123" s="114">
        <f t="shared" si="17"/>
        <v>0.20588235294117646</v>
      </c>
    </row>
    <row r="124" spans="1:6" ht="15.75" x14ac:dyDescent="0.25">
      <c r="A124" s="117"/>
      <c r="B124" s="118" t="s">
        <v>140</v>
      </c>
      <c r="C124" s="134">
        <f>SUM(C113:C123)</f>
        <v>51964</v>
      </c>
      <c r="D124" s="134">
        <f>SUM(D113:D123)</f>
        <v>54509</v>
      </c>
      <c r="E124" s="134">
        <f t="shared" si="16"/>
        <v>2545</v>
      </c>
      <c r="F124" s="120">
        <f t="shared" si="17"/>
        <v>4.897621430220922E-2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75054</v>
      </c>
      <c r="D126" s="133">
        <v>74609</v>
      </c>
      <c r="E126" s="133">
        <f t="shared" ref="E126:E137" si="18">D126-C126</f>
        <v>-445</v>
      </c>
      <c r="F126" s="114">
        <f t="shared" ref="F126:F137" si="19">IF(C126=0,0,E126/C126)</f>
        <v>-5.9290644069603217E-3</v>
      </c>
    </row>
    <row r="127" spans="1:6" x14ac:dyDescent="0.2">
      <c r="A127" s="115">
        <v>2</v>
      </c>
      <c r="B127" s="116" t="s">
        <v>114</v>
      </c>
      <c r="C127" s="133">
        <v>6538</v>
      </c>
      <c r="D127" s="133">
        <v>7873</v>
      </c>
      <c r="E127" s="133">
        <f t="shared" si="18"/>
        <v>1335</v>
      </c>
      <c r="F127" s="114">
        <f t="shared" si="19"/>
        <v>0.2041908840624044</v>
      </c>
    </row>
    <row r="128" spans="1:6" x14ac:dyDescent="0.2">
      <c r="A128" s="115">
        <v>3</v>
      </c>
      <c r="B128" s="116" t="s">
        <v>115</v>
      </c>
      <c r="C128" s="133">
        <v>18071</v>
      </c>
      <c r="D128" s="133">
        <v>20521</v>
      </c>
      <c r="E128" s="133">
        <f t="shared" si="18"/>
        <v>2450</v>
      </c>
      <c r="F128" s="114">
        <f t="shared" si="19"/>
        <v>0.13557633777876155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200</v>
      </c>
      <c r="D130" s="133">
        <v>186</v>
      </c>
      <c r="E130" s="133">
        <f t="shared" si="18"/>
        <v>-14</v>
      </c>
      <c r="F130" s="114">
        <f t="shared" si="19"/>
        <v>-7.0000000000000007E-2</v>
      </c>
    </row>
    <row r="131" spans="1:6" x14ac:dyDescent="0.2">
      <c r="A131" s="115">
        <v>6</v>
      </c>
      <c r="B131" s="116" t="s">
        <v>118</v>
      </c>
      <c r="C131" s="133">
        <v>63955</v>
      </c>
      <c r="D131" s="133">
        <v>61491</v>
      </c>
      <c r="E131" s="133">
        <f t="shared" si="18"/>
        <v>-2464</v>
      </c>
      <c r="F131" s="114">
        <f t="shared" si="19"/>
        <v>-3.8527089359706043E-2</v>
      </c>
    </row>
    <row r="132" spans="1:6" x14ac:dyDescent="0.2">
      <c r="A132" s="115">
        <v>7</v>
      </c>
      <c r="B132" s="116" t="s">
        <v>119</v>
      </c>
      <c r="C132" s="133">
        <v>107774</v>
      </c>
      <c r="D132" s="133">
        <v>102888</v>
      </c>
      <c r="E132" s="133">
        <f t="shared" si="18"/>
        <v>-4886</v>
      </c>
      <c r="F132" s="114">
        <f t="shared" si="19"/>
        <v>-4.533560970178336E-2</v>
      </c>
    </row>
    <row r="133" spans="1:6" x14ac:dyDescent="0.2">
      <c r="A133" s="115">
        <v>8</v>
      </c>
      <c r="B133" s="116" t="s">
        <v>120</v>
      </c>
      <c r="C133" s="133">
        <v>2632</v>
      </c>
      <c r="D133" s="133">
        <v>2342</v>
      </c>
      <c r="E133" s="133">
        <f t="shared" si="18"/>
        <v>-290</v>
      </c>
      <c r="F133" s="114">
        <f t="shared" si="19"/>
        <v>-0.11018237082066869</v>
      </c>
    </row>
    <row r="134" spans="1:6" x14ac:dyDescent="0.2">
      <c r="A134" s="115">
        <v>9</v>
      </c>
      <c r="B134" s="116" t="s">
        <v>121</v>
      </c>
      <c r="C134" s="133">
        <v>18429</v>
      </c>
      <c r="D134" s="133">
        <v>15234</v>
      </c>
      <c r="E134" s="133">
        <f t="shared" si="18"/>
        <v>-3195</v>
      </c>
      <c r="F134" s="114">
        <f t="shared" si="19"/>
        <v>-0.1733680612078789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3977</v>
      </c>
      <c r="D136" s="133">
        <v>4716</v>
      </c>
      <c r="E136" s="133">
        <f t="shared" si="18"/>
        <v>739</v>
      </c>
      <c r="F136" s="114">
        <f t="shared" si="19"/>
        <v>0.18581845612270556</v>
      </c>
    </row>
    <row r="137" spans="1:6" ht="15.75" x14ac:dyDescent="0.25">
      <c r="A137" s="117"/>
      <c r="B137" s="118" t="s">
        <v>142</v>
      </c>
      <c r="C137" s="134">
        <f>SUM(C126:C136)</f>
        <v>296630</v>
      </c>
      <c r="D137" s="134">
        <f>SUM(D126:D136)</f>
        <v>289860</v>
      </c>
      <c r="E137" s="134">
        <f t="shared" si="18"/>
        <v>-6770</v>
      </c>
      <c r="F137" s="120">
        <f t="shared" si="19"/>
        <v>-2.2823045544954994E-2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23425796</v>
      </c>
      <c r="D142" s="113">
        <v>24415563</v>
      </c>
      <c r="E142" s="113">
        <f t="shared" ref="E142:E153" si="20">D142-C142</f>
        <v>989767</v>
      </c>
      <c r="F142" s="114">
        <f t="shared" ref="F142:F153" si="21">IF(C142=0,0,E142/C142)</f>
        <v>4.2251157655432497E-2</v>
      </c>
    </row>
    <row r="143" spans="1:6" x14ac:dyDescent="0.2">
      <c r="A143" s="115">
        <v>2</v>
      </c>
      <c r="B143" s="116" t="s">
        <v>114</v>
      </c>
      <c r="C143" s="113">
        <v>2982791</v>
      </c>
      <c r="D143" s="113">
        <v>4028412</v>
      </c>
      <c r="E143" s="113">
        <f t="shared" si="20"/>
        <v>1045621</v>
      </c>
      <c r="F143" s="114">
        <f t="shared" si="21"/>
        <v>0.35055121193539873</v>
      </c>
    </row>
    <row r="144" spans="1:6" x14ac:dyDescent="0.2">
      <c r="A144" s="115">
        <v>3</v>
      </c>
      <c r="B144" s="116" t="s">
        <v>115</v>
      </c>
      <c r="C144" s="113">
        <v>10096234</v>
      </c>
      <c r="D144" s="113">
        <v>11915030</v>
      </c>
      <c r="E144" s="113">
        <f t="shared" si="20"/>
        <v>1818796</v>
      </c>
      <c r="F144" s="114">
        <f t="shared" si="21"/>
        <v>0.18014598314579475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238335</v>
      </c>
      <c r="D146" s="113">
        <v>283226</v>
      </c>
      <c r="E146" s="113">
        <f t="shared" si="20"/>
        <v>44891</v>
      </c>
      <c r="F146" s="114">
        <f t="shared" si="21"/>
        <v>0.18835252900329369</v>
      </c>
    </row>
    <row r="147" spans="1:6" x14ac:dyDescent="0.2">
      <c r="A147" s="115">
        <v>6</v>
      </c>
      <c r="B147" s="116" t="s">
        <v>118</v>
      </c>
      <c r="C147" s="113">
        <v>28524745</v>
      </c>
      <c r="D147" s="113">
        <v>29069416</v>
      </c>
      <c r="E147" s="113">
        <f t="shared" si="20"/>
        <v>544671</v>
      </c>
      <c r="F147" s="114">
        <f t="shared" si="21"/>
        <v>1.9094684282015491E-2</v>
      </c>
    </row>
    <row r="148" spans="1:6" x14ac:dyDescent="0.2">
      <c r="A148" s="115">
        <v>7</v>
      </c>
      <c r="B148" s="116" t="s">
        <v>119</v>
      </c>
      <c r="C148" s="113">
        <v>39970077</v>
      </c>
      <c r="D148" s="113">
        <v>40127663</v>
      </c>
      <c r="E148" s="113">
        <f t="shared" si="20"/>
        <v>157586</v>
      </c>
      <c r="F148" s="114">
        <f t="shared" si="21"/>
        <v>3.942599360016244E-3</v>
      </c>
    </row>
    <row r="149" spans="1:6" x14ac:dyDescent="0.2">
      <c r="A149" s="115">
        <v>8</v>
      </c>
      <c r="B149" s="116" t="s">
        <v>120</v>
      </c>
      <c r="C149" s="113">
        <v>2430909</v>
      </c>
      <c r="D149" s="113">
        <v>1915846</v>
      </c>
      <c r="E149" s="113">
        <f t="shared" si="20"/>
        <v>-515063</v>
      </c>
      <c r="F149" s="114">
        <f t="shared" si="21"/>
        <v>-0.21188082318178098</v>
      </c>
    </row>
    <row r="150" spans="1:6" x14ac:dyDescent="0.2">
      <c r="A150" s="115">
        <v>9</v>
      </c>
      <c r="B150" s="116" t="s">
        <v>121</v>
      </c>
      <c r="C150" s="113">
        <v>14953253</v>
      </c>
      <c r="D150" s="113">
        <v>14060319</v>
      </c>
      <c r="E150" s="113">
        <f t="shared" si="20"/>
        <v>-892934</v>
      </c>
      <c r="F150" s="114">
        <f t="shared" si="21"/>
        <v>-5.9715033243936955E-2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9598187</v>
      </c>
      <c r="D152" s="113">
        <v>12139391</v>
      </c>
      <c r="E152" s="113">
        <f t="shared" si="20"/>
        <v>2541204</v>
      </c>
      <c r="F152" s="114">
        <f t="shared" si="21"/>
        <v>0.26475875079324879</v>
      </c>
    </row>
    <row r="153" spans="1:6" ht="33.75" customHeight="1" x14ac:dyDescent="0.25">
      <c r="A153" s="117"/>
      <c r="B153" s="118" t="s">
        <v>146</v>
      </c>
      <c r="C153" s="119">
        <f>SUM(C142:C152)</f>
        <v>132220327</v>
      </c>
      <c r="D153" s="119">
        <f>SUM(D142:D152)</f>
        <v>137954866</v>
      </c>
      <c r="E153" s="119">
        <f t="shared" si="20"/>
        <v>5734539</v>
      </c>
      <c r="F153" s="120">
        <f t="shared" si="21"/>
        <v>4.3371084689572729E-2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3228129</v>
      </c>
      <c r="D155" s="113">
        <v>4145666</v>
      </c>
      <c r="E155" s="113">
        <f t="shared" ref="E155:E166" si="22">D155-C155</f>
        <v>917537</v>
      </c>
      <c r="F155" s="114">
        <f t="shared" ref="F155:F166" si="23">IF(C155=0,0,E155/C155)</f>
        <v>0.28423182592765034</v>
      </c>
    </row>
    <row r="156" spans="1:6" x14ac:dyDescent="0.2">
      <c r="A156" s="115">
        <v>2</v>
      </c>
      <c r="B156" s="116" t="s">
        <v>114</v>
      </c>
      <c r="C156" s="113">
        <v>483885</v>
      </c>
      <c r="D156" s="113">
        <v>663677</v>
      </c>
      <c r="E156" s="113">
        <f t="shared" si="22"/>
        <v>179792</v>
      </c>
      <c r="F156" s="114">
        <f t="shared" si="23"/>
        <v>0.37155935811194807</v>
      </c>
    </row>
    <row r="157" spans="1:6" x14ac:dyDescent="0.2">
      <c r="A157" s="115">
        <v>3</v>
      </c>
      <c r="B157" s="116" t="s">
        <v>115</v>
      </c>
      <c r="C157" s="113">
        <v>1265732</v>
      </c>
      <c r="D157" s="113">
        <v>1859975</v>
      </c>
      <c r="E157" s="113">
        <f t="shared" si="22"/>
        <v>594243</v>
      </c>
      <c r="F157" s="114">
        <f t="shared" si="23"/>
        <v>0.46948564151020911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131235</v>
      </c>
      <c r="D159" s="113">
        <v>173692</v>
      </c>
      <c r="E159" s="113">
        <f t="shared" si="22"/>
        <v>42457</v>
      </c>
      <c r="F159" s="114">
        <f t="shared" si="23"/>
        <v>0.32351887834800169</v>
      </c>
    </row>
    <row r="160" spans="1:6" x14ac:dyDescent="0.2">
      <c r="A160" s="115">
        <v>6</v>
      </c>
      <c r="B160" s="116" t="s">
        <v>118</v>
      </c>
      <c r="C160" s="113">
        <v>11933928</v>
      </c>
      <c r="D160" s="113">
        <v>14592549</v>
      </c>
      <c r="E160" s="113">
        <f t="shared" si="22"/>
        <v>2658621</v>
      </c>
      <c r="F160" s="114">
        <f t="shared" si="23"/>
        <v>0.22277836769251499</v>
      </c>
    </row>
    <row r="161" spans="1:6" x14ac:dyDescent="0.2">
      <c r="A161" s="115">
        <v>7</v>
      </c>
      <c r="B161" s="116" t="s">
        <v>119</v>
      </c>
      <c r="C161" s="113">
        <v>14141829</v>
      </c>
      <c r="D161" s="113">
        <v>16047880</v>
      </c>
      <c r="E161" s="113">
        <f t="shared" si="22"/>
        <v>1906051</v>
      </c>
      <c r="F161" s="114">
        <f t="shared" si="23"/>
        <v>0.13478108100444433</v>
      </c>
    </row>
    <row r="162" spans="1:6" x14ac:dyDescent="0.2">
      <c r="A162" s="115">
        <v>8</v>
      </c>
      <c r="B162" s="116" t="s">
        <v>120</v>
      </c>
      <c r="C162" s="113">
        <v>760704</v>
      </c>
      <c r="D162" s="113">
        <v>460648</v>
      </c>
      <c r="E162" s="113">
        <f t="shared" si="22"/>
        <v>-300056</v>
      </c>
      <c r="F162" s="114">
        <f t="shared" si="23"/>
        <v>-0.39444514554938581</v>
      </c>
    </row>
    <row r="163" spans="1:6" x14ac:dyDescent="0.2">
      <c r="A163" s="115">
        <v>9</v>
      </c>
      <c r="B163" s="116" t="s">
        <v>121</v>
      </c>
      <c r="C163" s="113">
        <v>11912879</v>
      </c>
      <c r="D163" s="113">
        <v>14777186</v>
      </c>
      <c r="E163" s="113">
        <f t="shared" si="22"/>
        <v>2864307</v>
      </c>
      <c r="F163" s="114">
        <f t="shared" si="23"/>
        <v>0.2404378488189127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1900203</v>
      </c>
      <c r="D165" s="113">
        <v>2149539</v>
      </c>
      <c r="E165" s="113">
        <f t="shared" si="22"/>
        <v>249336</v>
      </c>
      <c r="F165" s="114">
        <f t="shared" si="23"/>
        <v>0.13121545434882484</v>
      </c>
    </row>
    <row r="166" spans="1:6" ht="33.75" customHeight="1" x14ac:dyDescent="0.25">
      <c r="A166" s="117"/>
      <c r="B166" s="118" t="s">
        <v>148</v>
      </c>
      <c r="C166" s="119">
        <f>SUM(C155:C165)</f>
        <v>45758524</v>
      </c>
      <c r="D166" s="119">
        <f>SUM(D155:D165)</f>
        <v>54870812</v>
      </c>
      <c r="E166" s="119">
        <f t="shared" si="22"/>
        <v>9112288</v>
      </c>
      <c r="F166" s="120">
        <f t="shared" si="23"/>
        <v>0.19913859109616386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5153</v>
      </c>
      <c r="D168" s="133">
        <v>4854</v>
      </c>
      <c r="E168" s="133">
        <f t="shared" ref="E168:E179" si="24">D168-C168</f>
        <v>-299</v>
      </c>
      <c r="F168" s="114">
        <f t="shared" ref="F168:F179" si="25">IF(C168=0,0,E168/C168)</f>
        <v>-5.8024451775664662E-2</v>
      </c>
    </row>
    <row r="169" spans="1:6" x14ac:dyDescent="0.2">
      <c r="A169" s="115">
        <v>2</v>
      </c>
      <c r="B169" s="116" t="s">
        <v>114</v>
      </c>
      <c r="C169" s="133">
        <v>643</v>
      </c>
      <c r="D169" s="133">
        <v>751</v>
      </c>
      <c r="E169" s="133">
        <f t="shared" si="24"/>
        <v>108</v>
      </c>
      <c r="F169" s="114">
        <f t="shared" si="25"/>
        <v>0.16796267496111975</v>
      </c>
    </row>
    <row r="170" spans="1:6" x14ac:dyDescent="0.2">
      <c r="A170" s="115">
        <v>3</v>
      </c>
      <c r="B170" s="116" t="s">
        <v>115</v>
      </c>
      <c r="C170" s="133">
        <v>3184</v>
      </c>
      <c r="D170" s="133">
        <v>3341</v>
      </c>
      <c r="E170" s="133">
        <f t="shared" si="24"/>
        <v>157</v>
      </c>
      <c r="F170" s="114">
        <f t="shared" si="25"/>
        <v>4.9309045226130652E-2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73</v>
      </c>
      <c r="D172" s="133">
        <v>78</v>
      </c>
      <c r="E172" s="133">
        <f t="shared" si="24"/>
        <v>5</v>
      </c>
      <c r="F172" s="114">
        <f t="shared" si="25"/>
        <v>6.8493150684931503E-2</v>
      </c>
    </row>
    <row r="173" spans="1:6" x14ac:dyDescent="0.2">
      <c r="A173" s="115">
        <v>6</v>
      </c>
      <c r="B173" s="116" t="s">
        <v>118</v>
      </c>
      <c r="C173" s="133">
        <v>7417</v>
      </c>
      <c r="D173" s="133">
        <v>6658</v>
      </c>
      <c r="E173" s="133">
        <f t="shared" si="24"/>
        <v>-759</v>
      </c>
      <c r="F173" s="114">
        <f t="shared" si="25"/>
        <v>-0.10233247943912634</v>
      </c>
    </row>
    <row r="174" spans="1:6" x14ac:dyDescent="0.2">
      <c r="A174" s="115">
        <v>7</v>
      </c>
      <c r="B174" s="116" t="s">
        <v>119</v>
      </c>
      <c r="C174" s="133">
        <v>10620</v>
      </c>
      <c r="D174" s="133">
        <v>9524</v>
      </c>
      <c r="E174" s="133">
        <f t="shared" si="24"/>
        <v>-1096</v>
      </c>
      <c r="F174" s="114">
        <f t="shared" si="25"/>
        <v>-0.1032015065913371</v>
      </c>
    </row>
    <row r="175" spans="1:6" x14ac:dyDescent="0.2">
      <c r="A175" s="115">
        <v>8</v>
      </c>
      <c r="B175" s="116" t="s">
        <v>120</v>
      </c>
      <c r="C175" s="133">
        <v>789</v>
      </c>
      <c r="D175" s="133">
        <v>583</v>
      </c>
      <c r="E175" s="133">
        <f t="shared" si="24"/>
        <v>-206</v>
      </c>
      <c r="F175" s="114">
        <f t="shared" si="25"/>
        <v>-0.26108998732572875</v>
      </c>
    </row>
    <row r="176" spans="1:6" x14ac:dyDescent="0.2">
      <c r="A176" s="115">
        <v>9</v>
      </c>
      <c r="B176" s="116" t="s">
        <v>121</v>
      </c>
      <c r="C176" s="133">
        <v>3883</v>
      </c>
      <c r="D176" s="133">
        <v>3368</v>
      </c>
      <c r="E176" s="133">
        <f t="shared" si="24"/>
        <v>-515</v>
      </c>
      <c r="F176" s="114">
        <f t="shared" si="25"/>
        <v>-0.13262941024980685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3163</v>
      </c>
      <c r="D178" s="133">
        <v>3447</v>
      </c>
      <c r="E178" s="133">
        <f t="shared" si="24"/>
        <v>284</v>
      </c>
      <c r="F178" s="114">
        <f t="shared" si="25"/>
        <v>8.9788175782484977E-2</v>
      </c>
    </row>
    <row r="179" spans="1:6" ht="33.75" customHeight="1" x14ac:dyDescent="0.25">
      <c r="A179" s="117"/>
      <c r="B179" s="118" t="s">
        <v>150</v>
      </c>
      <c r="C179" s="134">
        <f>SUM(C168:C178)</f>
        <v>34925</v>
      </c>
      <c r="D179" s="134">
        <f>SUM(D168:D178)</f>
        <v>32604</v>
      </c>
      <c r="E179" s="134">
        <f t="shared" si="24"/>
        <v>-2321</v>
      </c>
      <c r="F179" s="120">
        <f t="shared" si="25"/>
        <v>-6.6456692913385823E-2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FILING&amp;RGREENWICH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39074720</v>
      </c>
      <c r="D15" s="157">
        <v>39440686</v>
      </c>
      <c r="E15" s="157">
        <f>+D15-C15</f>
        <v>365966</v>
      </c>
      <c r="F15" s="161">
        <f>IF(C15=0,0,E15/C15)</f>
        <v>9.3657996781550835E-3</v>
      </c>
    </row>
    <row r="16" spans="1:6" ht="15" customHeight="1" x14ac:dyDescent="0.2">
      <c r="A16" s="147">
        <v>2</v>
      </c>
      <c r="B16" s="160" t="s">
        <v>157</v>
      </c>
      <c r="C16" s="157">
        <v>6590578</v>
      </c>
      <c r="D16" s="157">
        <v>8035783</v>
      </c>
      <c r="E16" s="157">
        <f>+D16-C16</f>
        <v>1445205</v>
      </c>
      <c r="F16" s="161">
        <f>IF(C16=0,0,E16/C16)</f>
        <v>0.21928349835173788</v>
      </c>
    </row>
    <row r="17" spans="1:6" ht="15" customHeight="1" x14ac:dyDescent="0.2">
      <c r="A17" s="147">
        <v>3</v>
      </c>
      <c r="B17" s="160" t="s">
        <v>158</v>
      </c>
      <c r="C17" s="157">
        <v>65784702</v>
      </c>
      <c r="D17" s="157">
        <v>65742531</v>
      </c>
      <c r="E17" s="157">
        <f>+D17-C17</f>
        <v>-42171</v>
      </c>
      <c r="F17" s="161">
        <f>IF(C17=0,0,E17/C17)</f>
        <v>-6.4104569478782463E-4</v>
      </c>
    </row>
    <row r="18" spans="1:6" ht="15.75" customHeight="1" x14ac:dyDescent="0.25">
      <c r="A18" s="147"/>
      <c r="B18" s="162" t="s">
        <v>159</v>
      </c>
      <c r="C18" s="158">
        <f>SUM(C15:C17)</f>
        <v>111450000</v>
      </c>
      <c r="D18" s="158">
        <f>SUM(D15:D17)</f>
        <v>113219000</v>
      </c>
      <c r="E18" s="158">
        <f>+D18-C18</f>
        <v>1769000</v>
      </c>
      <c r="F18" s="159">
        <f>IF(C18=0,0,E18/C18)</f>
        <v>1.5872588604755496E-2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14296983</v>
      </c>
      <c r="D21" s="157">
        <v>12951118</v>
      </c>
      <c r="E21" s="157">
        <f>+D21-C21</f>
        <v>-1345865</v>
      </c>
      <c r="F21" s="161">
        <f>IF(C21=0,0,E21/C21)</f>
        <v>-9.4136294349654051E-2</v>
      </c>
    </row>
    <row r="22" spans="1:6" ht="15" customHeight="1" x14ac:dyDescent="0.2">
      <c r="A22" s="147">
        <v>2</v>
      </c>
      <c r="B22" s="160" t="s">
        <v>162</v>
      </c>
      <c r="C22" s="157">
        <v>2450740</v>
      </c>
      <c r="D22" s="157">
        <v>2220192</v>
      </c>
      <c r="E22" s="157">
        <f>+D22-C22</f>
        <v>-230548</v>
      </c>
      <c r="F22" s="161">
        <f>IF(C22=0,0,E22/C22)</f>
        <v>-9.4072810661269657E-2</v>
      </c>
    </row>
    <row r="23" spans="1:6" ht="15" customHeight="1" x14ac:dyDescent="0.2">
      <c r="A23" s="147">
        <v>3</v>
      </c>
      <c r="B23" s="160" t="s">
        <v>163</v>
      </c>
      <c r="C23" s="157">
        <v>24098277</v>
      </c>
      <c r="D23" s="157">
        <v>21831690</v>
      </c>
      <c r="E23" s="157">
        <f>+D23-C23</f>
        <v>-2266587</v>
      </c>
      <c r="F23" s="161">
        <f>IF(C23=0,0,E23/C23)</f>
        <v>-9.4055977529015872E-2</v>
      </c>
    </row>
    <row r="24" spans="1:6" ht="15.75" customHeight="1" x14ac:dyDescent="0.25">
      <c r="A24" s="147"/>
      <c r="B24" s="162" t="s">
        <v>164</v>
      </c>
      <c r="C24" s="158">
        <f>SUM(C21:C23)</f>
        <v>40846000</v>
      </c>
      <c r="D24" s="158">
        <f>SUM(D21:D23)</f>
        <v>37003000</v>
      </c>
      <c r="E24" s="158">
        <f>+D24-C24</f>
        <v>-3843000</v>
      </c>
      <c r="F24" s="159">
        <f>IF(C24=0,0,E24/C24)</f>
        <v>-9.4085100132203892E-2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1395278</v>
      </c>
      <c r="D27" s="157">
        <v>1316590</v>
      </c>
      <c r="E27" s="157">
        <f>+D27-C27</f>
        <v>-78688</v>
      </c>
      <c r="F27" s="161">
        <f>IF(C27=0,0,E27/C27)</f>
        <v>-5.6395929700031107E-2</v>
      </c>
    </row>
    <row r="28" spans="1:6" ht="15" customHeight="1" x14ac:dyDescent="0.2">
      <c r="A28" s="147">
        <v>2</v>
      </c>
      <c r="B28" s="160" t="s">
        <v>167</v>
      </c>
      <c r="C28" s="157">
        <v>8762000</v>
      </c>
      <c r="D28" s="157">
        <v>9386000</v>
      </c>
      <c r="E28" s="157">
        <f>+D28-C28</f>
        <v>624000</v>
      </c>
      <c r="F28" s="161">
        <f>IF(C28=0,0,E28/C28)</f>
        <v>7.1216617210682495E-2</v>
      </c>
    </row>
    <row r="29" spans="1:6" ht="15" customHeight="1" x14ac:dyDescent="0.2">
      <c r="A29" s="147">
        <v>3</v>
      </c>
      <c r="B29" s="160" t="s">
        <v>168</v>
      </c>
      <c r="C29" s="157">
        <v>302853</v>
      </c>
      <c r="D29" s="157">
        <v>426759</v>
      </c>
      <c r="E29" s="157">
        <f>+D29-C29</f>
        <v>123906</v>
      </c>
      <c r="F29" s="161">
        <f>IF(C29=0,0,E29/C29)</f>
        <v>0.40912918148408634</v>
      </c>
    </row>
    <row r="30" spans="1:6" ht="15.75" customHeight="1" x14ac:dyDescent="0.25">
      <c r="A30" s="147"/>
      <c r="B30" s="162" t="s">
        <v>169</v>
      </c>
      <c r="C30" s="158">
        <f>SUM(C27:C29)</f>
        <v>10460131</v>
      </c>
      <c r="D30" s="158">
        <f>SUM(D27:D29)</f>
        <v>11129349</v>
      </c>
      <c r="E30" s="158">
        <f>+D30-C30</f>
        <v>669218</v>
      </c>
      <c r="F30" s="159">
        <f>IF(C30=0,0,E30/C30)</f>
        <v>6.397797503683271E-2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24826423</v>
      </c>
      <c r="D33" s="157">
        <v>25770602</v>
      </c>
      <c r="E33" s="157">
        <f>+D33-C33</f>
        <v>944179</v>
      </c>
      <c r="F33" s="161">
        <f>IF(C33=0,0,E33/C33)</f>
        <v>3.8031213759630214E-2</v>
      </c>
    </row>
    <row r="34" spans="1:6" ht="15" customHeight="1" x14ac:dyDescent="0.2">
      <c r="A34" s="147">
        <v>2</v>
      </c>
      <c r="B34" s="160" t="s">
        <v>173</v>
      </c>
      <c r="C34" s="157">
        <v>20087898</v>
      </c>
      <c r="D34" s="157">
        <v>20821178</v>
      </c>
      <c r="E34" s="157">
        <f>+D34-C34</f>
        <v>733280</v>
      </c>
      <c r="F34" s="161">
        <f>IF(C34=0,0,E34/C34)</f>
        <v>3.6503570458193288E-2</v>
      </c>
    </row>
    <row r="35" spans="1:6" ht="15.75" customHeight="1" x14ac:dyDescent="0.25">
      <c r="A35" s="147"/>
      <c r="B35" s="162" t="s">
        <v>174</v>
      </c>
      <c r="C35" s="158">
        <f>SUM(C33:C34)</f>
        <v>44914321</v>
      </c>
      <c r="D35" s="158">
        <f>SUM(D33:D34)</f>
        <v>46591780</v>
      </c>
      <c r="E35" s="158">
        <f>+D35-C35</f>
        <v>1677459</v>
      </c>
      <c r="F35" s="159">
        <f>IF(C35=0,0,E35/C35)</f>
        <v>3.734797638374629E-2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5574621</v>
      </c>
      <c r="D38" s="157">
        <v>5982629</v>
      </c>
      <c r="E38" s="157">
        <f>+D38-C38</f>
        <v>408008</v>
      </c>
      <c r="F38" s="161">
        <f>IF(C38=0,0,E38/C38)</f>
        <v>7.3190267105153875E-2</v>
      </c>
    </row>
    <row r="39" spans="1:6" ht="15" customHeight="1" x14ac:dyDescent="0.2">
      <c r="A39" s="147">
        <v>2</v>
      </c>
      <c r="B39" s="160" t="s">
        <v>178</v>
      </c>
      <c r="C39" s="157">
        <v>15658379</v>
      </c>
      <c r="D39" s="157">
        <v>18946371</v>
      </c>
      <c r="E39" s="157">
        <f>+D39-C39</f>
        <v>3287992</v>
      </c>
      <c r="F39" s="161">
        <f>IF(C39=0,0,E39/C39)</f>
        <v>0.20998291074701922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21233000</v>
      </c>
      <c r="D41" s="158">
        <f>SUM(D38:D40)</f>
        <v>24929000</v>
      </c>
      <c r="E41" s="158">
        <f>+D41-C41</f>
        <v>3696000</v>
      </c>
      <c r="F41" s="159">
        <f>IF(C41=0,0,E41/C41)</f>
        <v>0.17406866669806434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469000</v>
      </c>
      <c r="D47" s="157">
        <v>343000</v>
      </c>
      <c r="E47" s="157">
        <f>+D47-C47</f>
        <v>-126000</v>
      </c>
      <c r="F47" s="161">
        <f>IF(C47=0,0,E47/C47)</f>
        <v>-0.26865671641791045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-981253</v>
      </c>
      <c r="D50" s="157">
        <v>-1799000</v>
      </c>
      <c r="E50" s="157">
        <f>+D50-C50</f>
        <v>-817747</v>
      </c>
      <c r="F50" s="161">
        <f>IF(C50=0,0,E50/C50)</f>
        <v>0.83337019097011678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121509</v>
      </c>
      <c r="D53" s="157">
        <v>107105</v>
      </c>
      <c r="E53" s="157">
        <f t="shared" ref="E53:E59" si="0">+D53-C53</f>
        <v>-14404</v>
      </c>
      <c r="F53" s="161">
        <f t="shared" ref="F53:F59" si="1">IF(C53=0,0,E53/C53)</f>
        <v>-0.11854265939148541</v>
      </c>
    </row>
    <row r="54" spans="1:6" ht="15" customHeight="1" x14ac:dyDescent="0.2">
      <c r="A54" s="147">
        <v>2</v>
      </c>
      <c r="B54" s="160" t="s">
        <v>189</v>
      </c>
      <c r="C54" s="157">
        <v>349096</v>
      </c>
      <c r="D54" s="157">
        <v>401012</v>
      </c>
      <c r="E54" s="157">
        <f t="shared" si="0"/>
        <v>51916</v>
      </c>
      <c r="F54" s="161">
        <f t="shared" si="1"/>
        <v>0.14871553956504802</v>
      </c>
    </row>
    <row r="55" spans="1:6" ht="15" customHeight="1" x14ac:dyDescent="0.2">
      <c r="A55" s="147">
        <v>3</v>
      </c>
      <c r="B55" s="160" t="s">
        <v>190</v>
      </c>
      <c r="C55" s="157">
        <v>56225</v>
      </c>
      <c r="D55" s="157">
        <v>22325</v>
      </c>
      <c r="E55" s="157">
        <f t="shared" si="0"/>
        <v>-33900</v>
      </c>
      <c r="F55" s="161">
        <f t="shared" si="1"/>
        <v>-0.60293463761671851</v>
      </c>
    </row>
    <row r="56" spans="1:6" ht="15" customHeight="1" x14ac:dyDescent="0.2">
      <c r="A56" s="147">
        <v>4</v>
      </c>
      <c r="B56" s="160" t="s">
        <v>191</v>
      </c>
      <c r="C56" s="157">
        <v>1853170</v>
      </c>
      <c r="D56" s="157">
        <v>1848818</v>
      </c>
      <c r="E56" s="157">
        <f t="shared" si="0"/>
        <v>-4352</v>
      </c>
      <c r="F56" s="161">
        <f t="shared" si="1"/>
        <v>-2.3484084028988165E-3</v>
      </c>
    </row>
    <row r="57" spans="1:6" ht="15" customHeight="1" x14ac:dyDescent="0.2">
      <c r="A57" s="147">
        <v>5</v>
      </c>
      <c r="B57" s="160" t="s">
        <v>192</v>
      </c>
      <c r="C57" s="157">
        <v>2366</v>
      </c>
      <c r="D57" s="157">
        <v>6733</v>
      </c>
      <c r="E57" s="157">
        <f t="shared" si="0"/>
        <v>4367</v>
      </c>
      <c r="F57" s="161">
        <f t="shared" si="1"/>
        <v>1.8457311918850381</v>
      </c>
    </row>
    <row r="58" spans="1:6" ht="15" customHeight="1" x14ac:dyDescent="0.2">
      <c r="A58" s="147">
        <v>6</v>
      </c>
      <c r="B58" s="160" t="s">
        <v>193</v>
      </c>
      <c r="C58" s="157">
        <v>35542</v>
      </c>
      <c r="D58" s="157">
        <v>30591</v>
      </c>
      <c r="E58" s="157">
        <f t="shared" si="0"/>
        <v>-4951</v>
      </c>
      <c r="F58" s="161">
        <f t="shared" si="1"/>
        <v>-0.13929998311856395</v>
      </c>
    </row>
    <row r="59" spans="1:6" ht="15.75" customHeight="1" x14ac:dyDescent="0.25">
      <c r="A59" s="147"/>
      <c r="B59" s="162" t="s">
        <v>194</v>
      </c>
      <c r="C59" s="158">
        <f>SUM(C53:C58)</f>
        <v>2417908</v>
      </c>
      <c r="D59" s="158">
        <f>SUM(D53:D58)</f>
        <v>2416584</v>
      </c>
      <c r="E59" s="158">
        <f t="shared" si="0"/>
        <v>-1324</v>
      </c>
      <c r="F59" s="159">
        <f t="shared" si="1"/>
        <v>-5.4758080125463825E-4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358254</v>
      </c>
      <c r="D62" s="157">
        <v>226469</v>
      </c>
      <c r="E62" s="157">
        <f t="shared" ref="E62:E90" si="2">+D62-C62</f>
        <v>-131785</v>
      </c>
      <c r="F62" s="161">
        <f t="shared" ref="F62:F90" si="3">IF(C62=0,0,E62/C62)</f>
        <v>-0.36785353408475552</v>
      </c>
    </row>
    <row r="63" spans="1:6" ht="15" customHeight="1" x14ac:dyDescent="0.2">
      <c r="A63" s="147">
        <v>2</v>
      </c>
      <c r="B63" s="160" t="s">
        <v>198</v>
      </c>
      <c r="C63" s="157">
        <v>-6451</v>
      </c>
      <c r="D63" s="157">
        <v>399021</v>
      </c>
      <c r="E63" s="157">
        <f t="shared" si="2"/>
        <v>405472</v>
      </c>
      <c r="F63" s="161">
        <f t="shared" si="3"/>
        <v>-62.854131142458534</v>
      </c>
    </row>
    <row r="64" spans="1:6" ht="15" customHeight="1" x14ac:dyDescent="0.2">
      <c r="A64" s="147">
        <v>3</v>
      </c>
      <c r="B64" s="160" t="s">
        <v>199</v>
      </c>
      <c r="C64" s="157">
        <v>1538469</v>
      </c>
      <c r="D64" s="157">
        <v>1608699</v>
      </c>
      <c r="E64" s="157">
        <f t="shared" si="2"/>
        <v>70230</v>
      </c>
      <c r="F64" s="161">
        <f t="shared" si="3"/>
        <v>4.5649278600998787E-2</v>
      </c>
    </row>
    <row r="65" spans="1:6" ht="15" customHeight="1" x14ac:dyDescent="0.2">
      <c r="A65" s="147">
        <v>4</v>
      </c>
      <c r="B65" s="160" t="s">
        <v>200</v>
      </c>
      <c r="C65" s="157">
        <v>445312</v>
      </c>
      <c r="D65" s="157">
        <v>515738</v>
      </c>
      <c r="E65" s="157">
        <f t="shared" si="2"/>
        <v>70426</v>
      </c>
      <c r="F65" s="161">
        <f t="shared" si="3"/>
        <v>0.15814979160678355</v>
      </c>
    </row>
    <row r="66" spans="1:6" ht="15" customHeight="1" x14ac:dyDescent="0.2">
      <c r="A66" s="147">
        <v>5</v>
      </c>
      <c r="B66" s="160" t="s">
        <v>201</v>
      </c>
      <c r="C66" s="157">
        <v>1649021</v>
      </c>
      <c r="D66" s="157">
        <v>1415156</v>
      </c>
      <c r="E66" s="157">
        <f t="shared" si="2"/>
        <v>-233865</v>
      </c>
      <c r="F66" s="161">
        <f t="shared" si="3"/>
        <v>-0.14182051047257738</v>
      </c>
    </row>
    <row r="67" spans="1:6" ht="15" customHeight="1" x14ac:dyDescent="0.2">
      <c r="A67" s="147">
        <v>6</v>
      </c>
      <c r="B67" s="160" t="s">
        <v>202</v>
      </c>
      <c r="C67" s="157">
        <v>6048748</v>
      </c>
      <c r="D67" s="157">
        <v>6262035</v>
      </c>
      <c r="E67" s="157">
        <f t="shared" si="2"/>
        <v>213287</v>
      </c>
      <c r="F67" s="161">
        <f t="shared" si="3"/>
        <v>3.526134664561989E-2</v>
      </c>
    </row>
    <row r="68" spans="1:6" ht="15" customHeight="1" x14ac:dyDescent="0.2">
      <c r="A68" s="147">
        <v>7</v>
      </c>
      <c r="B68" s="160" t="s">
        <v>203</v>
      </c>
      <c r="C68" s="157">
        <v>933969</v>
      </c>
      <c r="D68" s="157">
        <v>819249</v>
      </c>
      <c r="E68" s="157">
        <f t="shared" si="2"/>
        <v>-114720</v>
      </c>
      <c r="F68" s="161">
        <f t="shared" si="3"/>
        <v>-0.12283062928212821</v>
      </c>
    </row>
    <row r="69" spans="1:6" ht="15" customHeight="1" x14ac:dyDescent="0.2">
      <c r="A69" s="147">
        <v>8</v>
      </c>
      <c r="B69" s="160" t="s">
        <v>204</v>
      </c>
      <c r="C69" s="157">
        <v>520609</v>
      </c>
      <c r="D69" s="157">
        <v>540832</v>
      </c>
      <c r="E69" s="157">
        <f t="shared" si="2"/>
        <v>20223</v>
      </c>
      <c r="F69" s="161">
        <f t="shared" si="3"/>
        <v>3.8844891271568489E-2</v>
      </c>
    </row>
    <row r="70" spans="1:6" ht="15" customHeight="1" x14ac:dyDescent="0.2">
      <c r="A70" s="147">
        <v>9</v>
      </c>
      <c r="B70" s="160" t="s">
        <v>205</v>
      </c>
      <c r="C70" s="157">
        <v>149113</v>
      </c>
      <c r="D70" s="157">
        <v>58202</v>
      </c>
      <c r="E70" s="157">
        <f t="shared" si="2"/>
        <v>-90911</v>
      </c>
      <c r="F70" s="161">
        <f t="shared" si="3"/>
        <v>-0.60967856591980574</v>
      </c>
    </row>
    <row r="71" spans="1:6" ht="15" customHeight="1" x14ac:dyDescent="0.2">
      <c r="A71" s="147">
        <v>10</v>
      </c>
      <c r="B71" s="160" t="s">
        <v>206</v>
      </c>
      <c r="C71" s="157">
        <v>248818</v>
      </c>
      <c r="D71" s="157">
        <v>267722</v>
      </c>
      <c r="E71" s="157">
        <f t="shared" si="2"/>
        <v>18904</v>
      </c>
      <c r="F71" s="161">
        <f t="shared" si="3"/>
        <v>7.5975210796646542E-2</v>
      </c>
    </row>
    <row r="72" spans="1:6" ht="15" customHeight="1" x14ac:dyDescent="0.2">
      <c r="A72" s="147">
        <v>11</v>
      </c>
      <c r="B72" s="160" t="s">
        <v>207</v>
      </c>
      <c r="C72" s="157">
        <v>168875</v>
      </c>
      <c r="D72" s="157">
        <v>120026</v>
      </c>
      <c r="E72" s="157">
        <f t="shared" si="2"/>
        <v>-48849</v>
      </c>
      <c r="F72" s="161">
        <f t="shared" si="3"/>
        <v>-0.28926128793486305</v>
      </c>
    </row>
    <row r="73" spans="1:6" ht="15" customHeight="1" x14ac:dyDescent="0.2">
      <c r="A73" s="147">
        <v>12</v>
      </c>
      <c r="B73" s="160" t="s">
        <v>208</v>
      </c>
      <c r="C73" s="157">
        <v>2578416</v>
      </c>
      <c r="D73" s="157">
        <v>2952492</v>
      </c>
      <c r="E73" s="157">
        <f t="shared" si="2"/>
        <v>374076</v>
      </c>
      <c r="F73" s="161">
        <f t="shared" si="3"/>
        <v>0.14507976990524415</v>
      </c>
    </row>
    <row r="74" spans="1:6" ht="15" customHeight="1" x14ac:dyDescent="0.2">
      <c r="A74" s="147">
        <v>13</v>
      </c>
      <c r="B74" s="160" t="s">
        <v>209</v>
      </c>
      <c r="C74" s="157">
        <v>320291</v>
      </c>
      <c r="D74" s="157">
        <v>288086</v>
      </c>
      <c r="E74" s="157">
        <f t="shared" si="2"/>
        <v>-32205</v>
      </c>
      <c r="F74" s="161">
        <f t="shared" si="3"/>
        <v>-0.10054918808208785</v>
      </c>
    </row>
    <row r="75" spans="1:6" ht="15" customHeight="1" x14ac:dyDescent="0.2">
      <c r="A75" s="147">
        <v>14</v>
      </c>
      <c r="B75" s="160" t="s">
        <v>210</v>
      </c>
      <c r="C75" s="157">
        <v>277792</v>
      </c>
      <c r="D75" s="157">
        <v>290128</v>
      </c>
      <c r="E75" s="157">
        <f t="shared" si="2"/>
        <v>12336</v>
      </c>
      <c r="F75" s="161">
        <f t="shared" si="3"/>
        <v>4.440732634489114E-2</v>
      </c>
    </row>
    <row r="76" spans="1:6" ht="15" customHeight="1" x14ac:dyDescent="0.2">
      <c r="A76" s="147">
        <v>15</v>
      </c>
      <c r="B76" s="160" t="s">
        <v>211</v>
      </c>
      <c r="C76" s="157">
        <v>0</v>
      </c>
      <c r="D76" s="157">
        <v>3935</v>
      </c>
      <c r="E76" s="157">
        <f t="shared" si="2"/>
        <v>3935</v>
      </c>
      <c r="F76" s="161">
        <f t="shared" si="3"/>
        <v>0</v>
      </c>
    </row>
    <row r="77" spans="1:6" ht="15" customHeight="1" x14ac:dyDescent="0.2">
      <c r="A77" s="147">
        <v>16</v>
      </c>
      <c r="B77" s="160" t="s">
        <v>212</v>
      </c>
      <c r="C77" s="157">
        <v>41000242</v>
      </c>
      <c r="D77" s="157">
        <v>40491319</v>
      </c>
      <c r="E77" s="157">
        <f t="shared" si="2"/>
        <v>-508923</v>
      </c>
      <c r="F77" s="161">
        <f t="shared" si="3"/>
        <v>-1.2412682832457427E-2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109955</v>
      </c>
      <c r="D79" s="157">
        <v>158745</v>
      </c>
      <c r="E79" s="157">
        <f t="shared" si="2"/>
        <v>48790</v>
      </c>
      <c r="F79" s="161">
        <f t="shared" si="3"/>
        <v>0.4437269792187713</v>
      </c>
    </row>
    <row r="80" spans="1:6" ht="15" customHeight="1" x14ac:dyDescent="0.2">
      <c r="A80" s="147">
        <v>19</v>
      </c>
      <c r="B80" s="160" t="s">
        <v>215</v>
      </c>
      <c r="C80" s="157">
        <v>2228629</v>
      </c>
      <c r="D80" s="157">
        <v>2222560</v>
      </c>
      <c r="E80" s="157">
        <f t="shared" si="2"/>
        <v>-6069</v>
      </c>
      <c r="F80" s="161">
        <f t="shared" si="3"/>
        <v>-2.7231988814647931E-3</v>
      </c>
    </row>
    <row r="81" spans="1:6" ht="15" customHeight="1" x14ac:dyDescent="0.2">
      <c r="A81" s="147">
        <v>20</v>
      </c>
      <c r="B81" s="160" t="s">
        <v>216</v>
      </c>
      <c r="C81" s="157">
        <v>1385070</v>
      </c>
      <c r="D81" s="157">
        <v>1273162</v>
      </c>
      <c r="E81" s="157">
        <f t="shared" si="2"/>
        <v>-111908</v>
      </c>
      <c r="F81" s="161">
        <f t="shared" si="3"/>
        <v>-8.0795916451876074E-2</v>
      </c>
    </row>
    <row r="82" spans="1:6" ht="15" customHeight="1" x14ac:dyDescent="0.2">
      <c r="A82" s="147">
        <v>21</v>
      </c>
      <c r="B82" s="160" t="s">
        <v>217</v>
      </c>
      <c r="C82" s="157">
        <v>399657</v>
      </c>
      <c r="D82" s="157">
        <v>648884</v>
      </c>
      <c r="E82" s="157">
        <f t="shared" si="2"/>
        <v>249227</v>
      </c>
      <c r="F82" s="161">
        <f t="shared" si="3"/>
        <v>0.62360223891987376</v>
      </c>
    </row>
    <row r="83" spans="1:6" ht="15" customHeight="1" x14ac:dyDescent="0.2">
      <c r="A83" s="147">
        <v>22</v>
      </c>
      <c r="B83" s="160" t="s">
        <v>218</v>
      </c>
      <c r="C83" s="157">
        <v>704988</v>
      </c>
      <c r="D83" s="157">
        <v>88087</v>
      </c>
      <c r="E83" s="157">
        <f t="shared" si="2"/>
        <v>-616901</v>
      </c>
      <c r="F83" s="161">
        <f t="shared" si="3"/>
        <v>-0.87505177393090383</v>
      </c>
    </row>
    <row r="84" spans="1:6" ht="15" customHeight="1" x14ac:dyDescent="0.2">
      <c r="A84" s="147">
        <v>23</v>
      </c>
      <c r="B84" s="160" t="s">
        <v>219</v>
      </c>
      <c r="C84" s="157">
        <v>1183583</v>
      </c>
      <c r="D84" s="157">
        <v>1121961</v>
      </c>
      <c r="E84" s="157">
        <f t="shared" si="2"/>
        <v>-61622</v>
      </c>
      <c r="F84" s="161">
        <f t="shared" si="3"/>
        <v>-5.2063944818403103E-2</v>
      </c>
    </row>
    <row r="85" spans="1:6" ht="15" customHeight="1" x14ac:dyDescent="0.2">
      <c r="A85" s="147">
        <v>24</v>
      </c>
      <c r="B85" s="160" t="s">
        <v>220</v>
      </c>
      <c r="C85" s="157">
        <v>2947697</v>
      </c>
      <c r="D85" s="157">
        <v>3303520</v>
      </c>
      <c r="E85" s="157">
        <f t="shared" si="2"/>
        <v>355823</v>
      </c>
      <c r="F85" s="161">
        <f t="shared" si="3"/>
        <v>0.12071220345917508</v>
      </c>
    </row>
    <row r="86" spans="1:6" ht="15" customHeight="1" x14ac:dyDescent="0.2">
      <c r="A86" s="147">
        <v>25</v>
      </c>
      <c r="B86" s="160" t="s">
        <v>221</v>
      </c>
      <c r="C86" s="157">
        <v>195377</v>
      </c>
      <c r="D86" s="157">
        <v>217155</v>
      </c>
      <c r="E86" s="157">
        <f t="shared" si="2"/>
        <v>21778</v>
      </c>
      <c r="F86" s="161">
        <f t="shared" si="3"/>
        <v>0.11146654928676354</v>
      </c>
    </row>
    <row r="87" spans="1:6" ht="15" customHeight="1" x14ac:dyDescent="0.2">
      <c r="A87" s="147">
        <v>26</v>
      </c>
      <c r="B87" s="160" t="s">
        <v>222</v>
      </c>
      <c r="C87" s="157">
        <v>980816</v>
      </c>
      <c r="D87" s="157">
        <v>952349</v>
      </c>
      <c r="E87" s="157">
        <f t="shared" si="2"/>
        <v>-28467</v>
      </c>
      <c r="F87" s="161">
        <f t="shared" si="3"/>
        <v>-2.902379243405491E-2</v>
      </c>
    </row>
    <row r="88" spans="1:6" ht="15" customHeight="1" x14ac:dyDescent="0.2">
      <c r="A88" s="147">
        <v>27</v>
      </c>
      <c r="B88" s="160" t="s">
        <v>223</v>
      </c>
      <c r="C88" s="157">
        <v>6179031</v>
      </c>
      <c r="D88" s="157">
        <v>8844006</v>
      </c>
      <c r="E88" s="157">
        <f t="shared" si="2"/>
        <v>2664975</v>
      </c>
      <c r="F88" s="161">
        <f t="shared" si="3"/>
        <v>0.43129335327820817</v>
      </c>
    </row>
    <row r="89" spans="1:6" ht="15" customHeight="1" x14ac:dyDescent="0.2">
      <c r="A89" s="147">
        <v>28</v>
      </c>
      <c r="B89" s="160" t="s">
        <v>224</v>
      </c>
      <c r="C89" s="157">
        <v>7597134</v>
      </c>
      <c r="D89" s="157">
        <v>8414965</v>
      </c>
      <c r="E89" s="157">
        <f t="shared" si="2"/>
        <v>817831</v>
      </c>
      <c r="F89" s="161">
        <f t="shared" si="3"/>
        <v>0.10764993746325917</v>
      </c>
    </row>
    <row r="90" spans="1:6" ht="15.75" customHeight="1" x14ac:dyDescent="0.25">
      <c r="A90" s="147"/>
      <c r="B90" s="162" t="s">
        <v>225</v>
      </c>
      <c r="C90" s="158">
        <f>SUM(C62:C89)</f>
        <v>80143415</v>
      </c>
      <c r="D90" s="158">
        <f>SUM(D62:D89)</f>
        <v>83504503</v>
      </c>
      <c r="E90" s="158">
        <f t="shared" si="2"/>
        <v>3361088</v>
      </c>
      <c r="F90" s="159">
        <f t="shared" si="3"/>
        <v>4.1938417523136491E-2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66478</v>
      </c>
      <c r="D93" s="157">
        <v>516784</v>
      </c>
      <c r="E93" s="157">
        <f>+D93-C93</f>
        <v>450306</v>
      </c>
      <c r="F93" s="161">
        <f>IF(C93=0,0,E93/C93)</f>
        <v>6.7737597400643823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311019000</v>
      </c>
      <c r="D95" s="158">
        <f>+D93+D90+D59+D50+D47+D44+D41+D35+D30+D24+D18</f>
        <v>317854000</v>
      </c>
      <c r="E95" s="158">
        <f>+D95-C95</f>
        <v>6835000</v>
      </c>
      <c r="F95" s="159">
        <f>IF(C95=0,0,E95/C95)</f>
        <v>2.1976149367080467E-2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81439033</v>
      </c>
      <c r="D103" s="157">
        <v>78431050</v>
      </c>
      <c r="E103" s="157">
        <f t="shared" ref="E103:E121" si="4">D103-C103</f>
        <v>-3007983</v>
      </c>
      <c r="F103" s="161">
        <f t="shared" ref="F103:F121" si="5">IF(C103=0,0,E103/C103)</f>
        <v>-3.6935396813957751E-2</v>
      </c>
    </row>
    <row r="104" spans="1:6" ht="15" customHeight="1" x14ac:dyDescent="0.2">
      <c r="A104" s="147">
        <v>2</v>
      </c>
      <c r="B104" s="169" t="s">
        <v>234</v>
      </c>
      <c r="C104" s="157">
        <v>6993380</v>
      </c>
      <c r="D104" s="157">
        <v>7914826</v>
      </c>
      <c r="E104" s="157">
        <f t="shared" si="4"/>
        <v>921446</v>
      </c>
      <c r="F104" s="161">
        <f t="shared" si="5"/>
        <v>0.13175974993493847</v>
      </c>
    </row>
    <row r="105" spans="1:6" ht="15" customHeight="1" x14ac:dyDescent="0.2">
      <c r="A105" s="147">
        <v>3</v>
      </c>
      <c r="B105" s="169" t="s">
        <v>235</v>
      </c>
      <c r="C105" s="157">
        <v>7242717</v>
      </c>
      <c r="D105" s="157">
        <v>8023774</v>
      </c>
      <c r="E105" s="157">
        <f t="shared" si="4"/>
        <v>781057</v>
      </c>
      <c r="F105" s="161">
        <f t="shared" si="5"/>
        <v>0.10784033119062915</v>
      </c>
    </row>
    <row r="106" spans="1:6" ht="15" customHeight="1" x14ac:dyDescent="0.2">
      <c r="A106" s="147">
        <v>4</v>
      </c>
      <c r="B106" s="169" t="s">
        <v>236</v>
      </c>
      <c r="C106" s="157">
        <v>3114554</v>
      </c>
      <c r="D106" s="157">
        <v>3089948</v>
      </c>
      <c r="E106" s="157">
        <f t="shared" si="4"/>
        <v>-24606</v>
      </c>
      <c r="F106" s="161">
        <f t="shared" si="5"/>
        <v>-7.9003285863722388E-3</v>
      </c>
    </row>
    <row r="107" spans="1:6" ht="15" customHeight="1" x14ac:dyDescent="0.2">
      <c r="A107" s="147">
        <v>5</v>
      </c>
      <c r="B107" s="169" t="s">
        <v>237</v>
      </c>
      <c r="C107" s="157">
        <v>19279222</v>
      </c>
      <c r="D107" s="157">
        <v>20677631</v>
      </c>
      <c r="E107" s="157">
        <f t="shared" si="4"/>
        <v>1398409</v>
      </c>
      <c r="F107" s="161">
        <f t="shared" si="5"/>
        <v>7.2534514100205907E-2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0</v>
      </c>
      <c r="E108" s="157">
        <f t="shared" si="4"/>
        <v>0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1624418</v>
      </c>
      <c r="D109" s="157">
        <v>1770592</v>
      </c>
      <c r="E109" s="157">
        <f t="shared" si="4"/>
        <v>146174</v>
      </c>
      <c r="F109" s="161">
        <f t="shared" si="5"/>
        <v>8.9985459407615528E-2</v>
      </c>
    </row>
    <row r="110" spans="1:6" ht="15" customHeight="1" x14ac:dyDescent="0.2">
      <c r="A110" s="147">
        <v>8</v>
      </c>
      <c r="B110" s="169" t="s">
        <v>240</v>
      </c>
      <c r="C110" s="157">
        <v>3582495</v>
      </c>
      <c r="D110" s="157">
        <v>4065522</v>
      </c>
      <c r="E110" s="157">
        <f t="shared" si="4"/>
        <v>483027</v>
      </c>
      <c r="F110" s="161">
        <f t="shared" si="5"/>
        <v>0.13482977645467753</v>
      </c>
    </row>
    <row r="111" spans="1:6" ht="15" customHeight="1" x14ac:dyDescent="0.2">
      <c r="A111" s="147">
        <v>9</v>
      </c>
      <c r="B111" s="169" t="s">
        <v>241</v>
      </c>
      <c r="C111" s="157">
        <v>0</v>
      </c>
      <c r="D111" s="157">
        <v>0</v>
      </c>
      <c r="E111" s="157">
        <f t="shared" si="4"/>
        <v>0</v>
      </c>
      <c r="F111" s="161">
        <f t="shared" si="5"/>
        <v>0</v>
      </c>
    </row>
    <row r="112" spans="1:6" ht="15" customHeight="1" x14ac:dyDescent="0.2">
      <c r="A112" s="147">
        <v>10</v>
      </c>
      <c r="B112" s="169" t="s">
        <v>242</v>
      </c>
      <c r="C112" s="157">
        <v>4927350</v>
      </c>
      <c r="D112" s="157">
        <v>4964079</v>
      </c>
      <c r="E112" s="157">
        <f t="shared" si="4"/>
        <v>36729</v>
      </c>
      <c r="F112" s="161">
        <f t="shared" si="5"/>
        <v>7.4541081920301991E-3</v>
      </c>
    </row>
    <row r="113" spans="1:6" ht="15" customHeight="1" x14ac:dyDescent="0.2">
      <c r="A113" s="147">
        <v>11</v>
      </c>
      <c r="B113" s="169" t="s">
        <v>243</v>
      </c>
      <c r="C113" s="157">
        <v>2511957</v>
      </c>
      <c r="D113" s="157">
        <v>2704698</v>
      </c>
      <c r="E113" s="157">
        <f t="shared" si="4"/>
        <v>192741</v>
      </c>
      <c r="F113" s="161">
        <f t="shared" si="5"/>
        <v>7.672941853702113E-2</v>
      </c>
    </row>
    <row r="114" spans="1:6" ht="15" customHeight="1" x14ac:dyDescent="0.2">
      <c r="A114" s="147">
        <v>12</v>
      </c>
      <c r="B114" s="169" t="s">
        <v>244</v>
      </c>
      <c r="C114" s="157">
        <v>193497</v>
      </c>
      <c r="D114" s="157">
        <v>217435</v>
      </c>
      <c r="E114" s="157">
        <f t="shared" si="4"/>
        <v>23938</v>
      </c>
      <c r="F114" s="161">
        <f t="shared" si="5"/>
        <v>0.12371251233869258</v>
      </c>
    </row>
    <row r="115" spans="1:6" ht="15" customHeight="1" x14ac:dyDescent="0.2">
      <c r="A115" s="147">
        <v>13</v>
      </c>
      <c r="B115" s="169" t="s">
        <v>245</v>
      </c>
      <c r="C115" s="157">
        <v>3492855</v>
      </c>
      <c r="D115" s="157">
        <v>3736276</v>
      </c>
      <c r="E115" s="157">
        <f t="shared" si="4"/>
        <v>243421</v>
      </c>
      <c r="F115" s="161">
        <f t="shared" si="5"/>
        <v>6.9691126599873171E-2</v>
      </c>
    </row>
    <row r="116" spans="1:6" ht="15" customHeight="1" x14ac:dyDescent="0.2">
      <c r="A116" s="147">
        <v>14</v>
      </c>
      <c r="B116" s="169" t="s">
        <v>246</v>
      </c>
      <c r="C116" s="157">
        <v>1978577</v>
      </c>
      <c r="D116" s="157">
        <v>2088567</v>
      </c>
      <c r="E116" s="157">
        <f t="shared" si="4"/>
        <v>109990</v>
      </c>
      <c r="F116" s="161">
        <f t="shared" si="5"/>
        <v>5.5590457182106132E-2</v>
      </c>
    </row>
    <row r="117" spans="1:6" ht="15" customHeight="1" x14ac:dyDescent="0.2">
      <c r="A117" s="147">
        <v>15</v>
      </c>
      <c r="B117" s="169" t="s">
        <v>203</v>
      </c>
      <c r="C117" s="157">
        <v>2751609</v>
      </c>
      <c r="D117" s="157">
        <v>2877921</v>
      </c>
      <c r="E117" s="157">
        <f t="shared" si="4"/>
        <v>126312</v>
      </c>
      <c r="F117" s="161">
        <f t="shared" si="5"/>
        <v>4.5904777895405924E-2</v>
      </c>
    </row>
    <row r="118" spans="1:6" ht="15" customHeight="1" x14ac:dyDescent="0.2">
      <c r="A118" s="147">
        <v>16</v>
      </c>
      <c r="B118" s="169" t="s">
        <v>247</v>
      </c>
      <c r="C118" s="157">
        <v>1521109</v>
      </c>
      <c r="D118" s="157">
        <v>1682014</v>
      </c>
      <c r="E118" s="157">
        <f t="shared" si="4"/>
        <v>160905</v>
      </c>
      <c r="F118" s="161">
        <f t="shared" si="5"/>
        <v>0.10578137398437587</v>
      </c>
    </row>
    <row r="119" spans="1:6" ht="15" customHeight="1" x14ac:dyDescent="0.2">
      <c r="A119" s="147">
        <v>17</v>
      </c>
      <c r="B119" s="169" t="s">
        <v>248</v>
      </c>
      <c r="C119" s="157">
        <v>23491669</v>
      </c>
      <c r="D119" s="157">
        <v>24232754</v>
      </c>
      <c r="E119" s="157">
        <f t="shared" si="4"/>
        <v>741085</v>
      </c>
      <c r="F119" s="161">
        <f t="shared" si="5"/>
        <v>3.1546715561163403E-2</v>
      </c>
    </row>
    <row r="120" spans="1:6" ht="15" customHeight="1" x14ac:dyDescent="0.2">
      <c r="A120" s="147">
        <v>18</v>
      </c>
      <c r="B120" s="169" t="s">
        <v>249</v>
      </c>
      <c r="C120" s="157">
        <v>1173090</v>
      </c>
      <c r="D120" s="157">
        <v>1276790</v>
      </c>
      <c r="E120" s="157">
        <f t="shared" si="4"/>
        <v>103700</v>
      </c>
      <c r="F120" s="161">
        <f t="shared" si="5"/>
        <v>8.8399014568362189E-2</v>
      </c>
    </row>
    <row r="121" spans="1:6" ht="15.75" customHeight="1" x14ac:dyDescent="0.25">
      <c r="A121" s="147"/>
      <c r="B121" s="165" t="s">
        <v>250</v>
      </c>
      <c r="C121" s="158">
        <f>SUM(C103:C120)</f>
        <v>165317532</v>
      </c>
      <c r="D121" s="158">
        <f>SUM(D103:D120)</f>
        <v>167753877</v>
      </c>
      <c r="E121" s="158">
        <f t="shared" si="4"/>
        <v>2436345</v>
      </c>
      <c r="F121" s="159">
        <f t="shared" si="5"/>
        <v>1.4737366149405134E-2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1598182</v>
      </c>
      <c r="D124" s="157">
        <v>1836297</v>
      </c>
      <c r="E124" s="157">
        <f t="shared" ref="E124:E130" si="6">D124-C124</f>
        <v>238115</v>
      </c>
      <c r="F124" s="161">
        <f t="shared" ref="F124:F130" si="7">IF(C124=0,0,E124/C124)</f>
        <v>0.14899116621260908</v>
      </c>
    </row>
    <row r="125" spans="1:6" ht="15" customHeight="1" x14ac:dyDescent="0.2">
      <c r="A125" s="147">
        <v>2</v>
      </c>
      <c r="B125" s="169" t="s">
        <v>253</v>
      </c>
      <c r="C125" s="157">
        <v>2409432</v>
      </c>
      <c r="D125" s="157">
        <v>2393817</v>
      </c>
      <c r="E125" s="157">
        <f t="shared" si="6"/>
        <v>-15615</v>
      </c>
      <c r="F125" s="161">
        <f t="shared" si="7"/>
        <v>-6.4807805325072469E-3</v>
      </c>
    </row>
    <row r="126" spans="1:6" ht="15" customHeight="1" x14ac:dyDescent="0.2">
      <c r="A126" s="147">
        <v>3</v>
      </c>
      <c r="B126" s="169" t="s">
        <v>254</v>
      </c>
      <c r="C126" s="157">
        <v>2221067</v>
      </c>
      <c r="D126" s="157">
        <v>2516597</v>
      </c>
      <c r="E126" s="157">
        <f t="shared" si="6"/>
        <v>295530</v>
      </c>
      <c r="F126" s="161">
        <f t="shared" si="7"/>
        <v>0.13305767002976499</v>
      </c>
    </row>
    <row r="127" spans="1:6" ht="15" customHeight="1" x14ac:dyDescent="0.2">
      <c r="A127" s="147">
        <v>4</v>
      </c>
      <c r="B127" s="169" t="s">
        <v>255</v>
      </c>
      <c r="C127" s="157">
        <v>2188075</v>
      </c>
      <c r="D127" s="157">
        <v>1400424</v>
      </c>
      <c r="E127" s="157">
        <f t="shared" si="6"/>
        <v>-787651</v>
      </c>
      <c r="F127" s="161">
        <f t="shared" si="7"/>
        <v>-0.35997440672737452</v>
      </c>
    </row>
    <row r="128" spans="1:6" ht="15" customHeight="1" x14ac:dyDescent="0.2">
      <c r="A128" s="147">
        <v>5</v>
      </c>
      <c r="B128" s="169" t="s">
        <v>256</v>
      </c>
      <c r="C128" s="157">
        <v>2633967</v>
      </c>
      <c r="D128" s="157">
        <v>2640881</v>
      </c>
      <c r="E128" s="157">
        <f t="shared" si="6"/>
        <v>6914</v>
      </c>
      <c r="F128" s="161">
        <f t="shared" si="7"/>
        <v>2.624937973786308E-3</v>
      </c>
    </row>
    <row r="129" spans="1:6" ht="15" customHeight="1" x14ac:dyDescent="0.2">
      <c r="A129" s="147">
        <v>6</v>
      </c>
      <c r="B129" s="169" t="s">
        <v>257</v>
      </c>
      <c r="C129" s="157">
        <v>2677418</v>
      </c>
      <c r="D129" s="157">
        <v>2675544</v>
      </c>
      <c r="E129" s="157">
        <f t="shared" si="6"/>
        <v>-1874</v>
      </c>
      <c r="F129" s="161">
        <f t="shared" si="7"/>
        <v>-6.999280650238401E-4</v>
      </c>
    </row>
    <row r="130" spans="1:6" ht="15.75" customHeight="1" x14ac:dyDescent="0.25">
      <c r="A130" s="147"/>
      <c r="B130" s="165" t="s">
        <v>258</v>
      </c>
      <c r="C130" s="158">
        <f>SUM(C124:C129)</f>
        <v>13728141</v>
      </c>
      <c r="D130" s="158">
        <f>SUM(D124:D129)</f>
        <v>13463560</v>
      </c>
      <c r="E130" s="158">
        <f t="shared" si="6"/>
        <v>-264581</v>
      </c>
      <c r="F130" s="159">
        <f t="shared" si="7"/>
        <v>-1.9272893540356266E-2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19755979</v>
      </c>
      <c r="D133" s="157">
        <v>20221421</v>
      </c>
      <c r="E133" s="157">
        <f t="shared" ref="E133:E167" si="8">D133-C133</f>
        <v>465442</v>
      </c>
      <c r="F133" s="161">
        <f t="shared" ref="F133:F167" si="9">IF(C133=0,0,E133/C133)</f>
        <v>2.3559551262936653E-2</v>
      </c>
    </row>
    <row r="134" spans="1:6" ht="15" customHeight="1" x14ac:dyDescent="0.2">
      <c r="A134" s="147">
        <v>2</v>
      </c>
      <c r="B134" s="169" t="s">
        <v>261</v>
      </c>
      <c r="C134" s="157">
        <v>1228454</v>
      </c>
      <c r="D134" s="157">
        <v>1287040</v>
      </c>
      <c r="E134" s="157">
        <f t="shared" si="8"/>
        <v>58586</v>
      </c>
      <c r="F134" s="161">
        <f t="shared" si="9"/>
        <v>4.7690837426554028E-2</v>
      </c>
    </row>
    <row r="135" spans="1:6" ht="15" customHeight="1" x14ac:dyDescent="0.2">
      <c r="A135" s="147">
        <v>3</v>
      </c>
      <c r="B135" s="169" t="s">
        <v>262</v>
      </c>
      <c r="C135" s="157">
        <v>986784</v>
      </c>
      <c r="D135" s="157">
        <v>1142547</v>
      </c>
      <c r="E135" s="157">
        <f t="shared" si="8"/>
        <v>155763</v>
      </c>
      <c r="F135" s="161">
        <f t="shared" si="9"/>
        <v>0.15784913415701918</v>
      </c>
    </row>
    <row r="136" spans="1:6" ht="15" customHeight="1" x14ac:dyDescent="0.2">
      <c r="A136" s="147">
        <v>4</v>
      </c>
      <c r="B136" s="169" t="s">
        <v>263</v>
      </c>
      <c r="C136" s="157">
        <v>5779515</v>
      </c>
      <c r="D136" s="157">
        <v>6115593</v>
      </c>
      <c r="E136" s="157">
        <f t="shared" si="8"/>
        <v>336078</v>
      </c>
      <c r="F136" s="161">
        <f t="shared" si="9"/>
        <v>5.8149862055899157E-2</v>
      </c>
    </row>
    <row r="137" spans="1:6" ht="15" customHeight="1" x14ac:dyDescent="0.2">
      <c r="A137" s="147">
        <v>5</v>
      </c>
      <c r="B137" s="169" t="s">
        <v>264</v>
      </c>
      <c r="C137" s="157">
        <v>5504007</v>
      </c>
      <c r="D137" s="157">
        <v>5480683</v>
      </c>
      <c r="E137" s="157">
        <f t="shared" si="8"/>
        <v>-23324</v>
      </c>
      <c r="F137" s="161">
        <f t="shared" si="9"/>
        <v>-4.2376399593968541E-3</v>
      </c>
    </row>
    <row r="138" spans="1:6" ht="15" customHeight="1" x14ac:dyDescent="0.2">
      <c r="A138" s="147">
        <v>6</v>
      </c>
      <c r="B138" s="169" t="s">
        <v>265</v>
      </c>
      <c r="C138" s="157">
        <v>2267066</v>
      </c>
      <c r="D138" s="157">
        <v>2498420</v>
      </c>
      <c r="E138" s="157">
        <f t="shared" si="8"/>
        <v>231354</v>
      </c>
      <c r="F138" s="161">
        <f t="shared" si="9"/>
        <v>0.10204996237427583</v>
      </c>
    </row>
    <row r="139" spans="1:6" ht="15" customHeight="1" x14ac:dyDescent="0.2">
      <c r="A139" s="147">
        <v>7</v>
      </c>
      <c r="B139" s="169" t="s">
        <v>266</v>
      </c>
      <c r="C139" s="157">
        <v>4756539</v>
      </c>
      <c r="D139" s="157">
        <v>6525705</v>
      </c>
      <c r="E139" s="157">
        <f t="shared" si="8"/>
        <v>1769166</v>
      </c>
      <c r="F139" s="161">
        <f t="shared" si="9"/>
        <v>0.37194397018504421</v>
      </c>
    </row>
    <row r="140" spans="1:6" ht="15" customHeight="1" x14ac:dyDescent="0.2">
      <c r="A140" s="147">
        <v>8</v>
      </c>
      <c r="B140" s="169" t="s">
        <v>267</v>
      </c>
      <c r="C140" s="157">
        <v>765936</v>
      </c>
      <c r="D140" s="157">
        <v>703728</v>
      </c>
      <c r="E140" s="157">
        <f t="shared" si="8"/>
        <v>-62208</v>
      </c>
      <c r="F140" s="161">
        <f t="shared" si="9"/>
        <v>-8.1218274111675121E-2</v>
      </c>
    </row>
    <row r="141" spans="1:6" ht="15" customHeight="1" x14ac:dyDescent="0.2">
      <c r="A141" s="147">
        <v>9</v>
      </c>
      <c r="B141" s="169" t="s">
        <v>268</v>
      </c>
      <c r="C141" s="157">
        <v>1493265</v>
      </c>
      <c r="D141" s="157">
        <v>1654631</v>
      </c>
      <c r="E141" s="157">
        <f t="shared" si="8"/>
        <v>161366</v>
      </c>
      <c r="F141" s="161">
        <f t="shared" si="9"/>
        <v>0.10806253411149394</v>
      </c>
    </row>
    <row r="142" spans="1:6" ht="15" customHeight="1" x14ac:dyDescent="0.2">
      <c r="A142" s="147">
        <v>10</v>
      </c>
      <c r="B142" s="169" t="s">
        <v>269</v>
      </c>
      <c r="C142" s="157">
        <v>16901912</v>
      </c>
      <c r="D142" s="157">
        <v>16910034</v>
      </c>
      <c r="E142" s="157">
        <f t="shared" si="8"/>
        <v>8122</v>
      </c>
      <c r="F142" s="161">
        <f t="shared" si="9"/>
        <v>4.8053734985722328E-4</v>
      </c>
    </row>
    <row r="143" spans="1:6" ht="15" customHeight="1" x14ac:dyDescent="0.2">
      <c r="A143" s="147">
        <v>11</v>
      </c>
      <c r="B143" s="169" t="s">
        <v>270</v>
      </c>
      <c r="C143" s="157">
        <v>1351222</v>
      </c>
      <c r="D143" s="157">
        <v>964454</v>
      </c>
      <c r="E143" s="157">
        <f t="shared" si="8"/>
        <v>-386768</v>
      </c>
      <c r="F143" s="161">
        <f t="shared" si="9"/>
        <v>-0.28623571848297319</v>
      </c>
    </row>
    <row r="144" spans="1:6" ht="15" customHeight="1" x14ac:dyDescent="0.2">
      <c r="A144" s="147">
        <v>12</v>
      </c>
      <c r="B144" s="169" t="s">
        <v>271</v>
      </c>
      <c r="C144" s="157">
        <v>2042992</v>
      </c>
      <c r="D144" s="157">
        <v>1869780</v>
      </c>
      <c r="E144" s="157">
        <f t="shared" si="8"/>
        <v>-173212</v>
      </c>
      <c r="F144" s="161">
        <f t="shared" si="9"/>
        <v>-8.4783494012702937E-2</v>
      </c>
    </row>
    <row r="145" spans="1:6" ht="15" customHeight="1" x14ac:dyDescent="0.2">
      <c r="A145" s="147">
        <v>13</v>
      </c>
      <c r="B145" s="169" t="s">
        <v>272</v>
      </c>
      <c r="C145" s="157">
        <v>938876</v>
      </c>
      <c r="D145" s="157">
        <v>1044418</v>
      </c>
      <c r="E145" s="157">
        <f t="shared" si="8"/>
        <v>105542</v>
      </c>
      <c r="F145" s="161">
        <f t="shared" si="9"/>
        <v>0.11241314081944793</v>
      </c>
    </row>
    <row r="146" spans="1:6" ht="15" customHeight="1" x14ac:dyDescent="0.2">
      <c r="A146" s="147">
        <v>14</v>
      </c>
      <c r="B146" s="169" t="s">
        <v>273</v>
      </c>
      <c r="C146" s="157">
        <v>416186</v>
      </c>
      <c r="D146" s="157">
        <v>436446</v>
      </c>
      <c r="E146" s="157">
        <f t="shared" si="8"/>
        <v>20260</v>
      </c>
      <c r="F146" s="161">
        <f t="shared" si="9"/>
        <v>4.86801574296108E-2</v>
      </c>
    </row>
    <row r="147" spans="1:6" ht="15" customHeight="1" x14ac:dyDescent="0.2">
      <c r="A147" s="147">
        <v>15</v>
      </c>
      <c r="B147" s="169" t="s">
        <v>274</v>
      </c>
      <c r="C147" s="157">
        <v>1980717</v>
      </c>
      <c r="D147" s="157">
        <v>1898692</v>
      </c>
      <c r="E147" s="157">
        <f t="shared" si="8"/>
        <v>-82025</v>
      </c>
      <c r="F147" s="161">
        <f t="shared" si="9"/>
        <v>-4.1411771595841307E-2</v>
      </c>
    </row>
    <row r="148" spans="1:6" ht="15" customHeight="1" x14ac:dyDescent="0.2">
      <c r="A148" s="147">
        <v>16</v>
      </c>
      <c r="B148" s="169" t="s">
        <v>275</v>
      </c>
      <c r="C148" s="157">
        <v>233518</v>
      </c>
      <c r="D148" s="157">
        <v>238403</v>
      </c>
      <c r="E148" s="157">
        <f t="shared" si="8"/>
        <v>4885</v>
      </c>
      <c r="F148" s="161">
        <f t="shared" si="9"/>
        <v>2.0919158266172203E-2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2079063</v>
      </c>
      <c r="D150" s="157">
        <v>2050506</v>
      </c>
      <c r="E150" s="157">
        <f t="shared" si="8"/>
        <v>-28557</v>
      </c>
      <c r="F150" s="161">
        <f t="shared" si="9"/>
        <v>-1.3735514508218366E-2</v>
      </c>
    </row>
    <row r="151" spans="1:6" ht="15" customHeight="1" x14ac:dyDescent="0.2">
      <c r="A151" s="147">
        <v>19</v>
      </c>
      <c r="B151" s="169" t="s">
        <v>278</v>
      </c>
      <c r="C151" s="157">
        <v>473522</v>
      </c>
      <c r="D151" s="157">
        <v>474210</v>
      </c>
      <c r="E151" s="157">
        <f t="shared" si="8"/>
        <v>688</v>
      </c>
      <c r="F151" s="161">
        <f t="shared" si="9"/>
        <v>1.4529419963591977E-3</v>
      </c>
    </row>
    <row r="152" spans="1:6" ht="15" customHeight="1" x14ac:dyDescent="0.2">
      <c r="A152" s="147">
        <v>20</v>
      </c>
      <c r="B152" s="169" t="s">
        <v>279</v>
      </c>
      <c r="C152" s="157">
        <v>3416998</v>
      </c>
      <c r="D152" s="157">
        <v>3753908</v>
      </c>
      <c r="E152" s="157">
        <f t="shared" si="8"/>
        <v>336910</v>
      </c>
      <c r="F152" s="161">
        <f t="shared" si="9"/>
        <v>9.8598243253288406E-2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433703</v>
      </c>
      <c r="D155" s="157">
        <v>351557</v>
      </c>
      <c r="E155" s="157">
        <f t="shared" si="8"/>
        <v>-82146</v>
      </c>
      <c r="F155" s="161">
        <f t="shared" si="9"/>
        <v>-0.18940611432247415</v>
      </c>
    </row>
    <row r="156" spans="1:6" ht="15" customHeight="1" x14ac:dyDescent="0.2">
      <c r="A156" s="147">
        <v>24</v>
      </c>
      <c r="B156" s="169" t="s">
        <v>283</v>
      </c>
      <c r="C156" s="157">
        <v>13326617</v>
      </c>
      <c r="D156" s="157">
        <v>13414178</v>
      </c>
      <c r="E156" s="157">
        <f t="shared" si="8"/>
        <v>87561</v>
      </c>
      <c r="F156" s="161">
        <f t="shared" si="9"/>
        <v>6.5703846670163929E-3</v>
      </c>
    </row>
    <row r="157" spans="1:6" ht="15" customHeight="1" x14ac:dyDescent="0.2">
      <c r="A157" s="147">
        <v>25</v>
      </c>
      <c r="B157" s="169" t="s">
        <v>284</v>
      </c>
      <c r="C157" s="157">
        <v>965335</v>
      </c>
      <c r="D157" s="157">
        <v>1202273</v>
      </c>
      <c r="E157" s="157">
        <f t="shared" si="8"/>
        <v>236938</v>
      </c>
      <c r="F157" s="161">
        <f t="shared" si="9"/>
        <v>0.24544639943646507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423546</v>
      </c>
      <c r="D159" s="157">
        <v>453338</v>
      </c>
      <c r="E159" s="157">
        <f t="shared" si="8"/>
        <v>29792</v>
      </c>
      <c r="F159" s="161">
        <f t="shared" si="9"/>
        <v>7.0339467259754554E-2</v>
      </c>
    </row>
    <row r="160" spans="1:6" ht="15" customHeight="1" x14ac:dyDescent="0.2">
      <c r="A160" s="147">
        <v>28</v>
      </c>
      <c r="B160" s="169" t="s">
        <v>287</v>
      </c>
      <c r="C160" s="157">
        <v>1968680</v>
      </c>
      <c r="D160" s="157">
        <v>2045844</v>
      </c>
      <c r="E160" s="157">
        <f t="shared" si="8"/>
        <v>77164</v>
      </c>
      <c r="F160" s="161">
        <f t="shared" si="9"/>
        <v>3.9195806327082104E-2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19707</v>
      </c>
      <c r="D162" s="157">
        <v>591343</v>
      </c>
      <c r="E162" s="157">
        <f t="shared" si="8"/>
        <v>571636</v>
      </c>
      <c r="F162" s="161">
        <f t="shared" si="9"/>
        <v>29.006748870959559</v>
      </c>
    </row>
    <row r="163" spans="1:6" ht="15" customHeight="1" x14ac:dyDescent="0.2">
      <c r="A163" s="147">
        <v>31</v>
      </c>
      <c r="B163" s="169" t="s">
        <v>290</v>
      </c>
      <c r="C163" s="157">
        <v>732042</v>
      </c>
      <c r="D163" s="157">
        <v>580551</v>
      </c>
      <c r="E163" s="157">
        <f t="shared" si="8"/>
        <v>-151491</v>
      </c>
      <c r="F163" s="161">
        <f t="shared" si="9"/>
        <v>-0.20694304425155935</v>
      </c>
    </row>
    <row r="164" spans="1:6" ht="15" customHeight="1" x14ac:dyDescent="0.2">
      <c r="A164" s="147">
        <v>32</v>
      </c>
      <c r="B164" s="169" t="s">
        <v>291</v>
      </c>
      <c r="C164" s="157">
        <v>3159326</v>
      </c>
      <c r="D164" s="157">
        <v>3268031</v>
      </c>
      <c r="E164" s="157">
        <f t="shared" si="8"/>
        <v>108705</v>
      </c>
      <c r="F164" s="161">
        <f t="shared" si="9"/>
        <v>3.4407655303694523E-2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567261</v>
      </c>
      <c r="D166" s="157">
        <v>565136</v>
      </c>
      <c r="E166" s="157">
        <f t="shared" si="8"/>
        <v>-2125</v>
      </c>
      <c r="F166" s="161">
        <f t="shared" si="9"/>
        <v>-3.746071032558205E-3</v>
      </c>
    </row>
    <row r="167" spans="1:6" ht="15.75" customHeight="1" x14ac:dyDescent="0.25">
      <c r="A167" s="147"/>
      <c r="B167" s="165" t="s">
        <v>294</v>
      </c>
      <c r="C167" s="158">
        <f>SUM(C133:C166)</f>
        <v>93968768</v>
      </c>
      <c r="D167" s="158">
        <f>SUM(D133:D166)</f>
        <v>97742870</v>
      </c>
      <c r="E167" s="158">
        <f t="shared" si="8"/>
        <v>3774102</v>
      </c>
      <c r="F167" s="159">
        <f t="shared" si="9"/>
        <v>4.0163365768507257E-2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15840057</v>
      </c>
      <c r="D170" s="157">
        <v>15899342</v>
      </c>
      <c r="E170" s="157">
        <f t="shared" ref="E170:E183" si="10">D170-C170</f>
        <v>59285</v>
      </c>
      <c r="F170" s="161">
        <f t="shared" ref="F170:F183" si="11">IF(C170=0,0,E170/C170)</f>
        <v>3.7427264308455455E-3</v>
      </c>
    </row>
    <row r="171" spans="1:6" ht="15" customHeight="1" x14ac:dyDescent="0.2">
      <c r="A171" s="147">
        <v>2</v>
      </c>
      <c r="B171" s="169" t="s">
        <v>297</v>
      </c>
      <c r="C171" s="157">
        <v>2491824</v>
      </c>
      <c r="D171" s="157">
        <v>2425679</v>
      </c>
      <c r="E171" s="157">
        <f t="shared" si="10"/>
        <v>-66145</v>
      </c>
      <c r="F171" s="161">
        <f t="shared" si="11"/>
        <v>-2.6544812153667354E-2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732015</v>
      </c>
      <c r="D173" s="157">
        <v>726363</v>
      </c>
      <c r="E173" s="157">
        <f t="shared" si="10"/>
        <v>-5652</v>
      </c>
      <c r="F173" s="161">
        <f t="shared" si="11"/>
        <v>-7.7211532550562493E-3</v>
      </c>
    </row>
    <row r="174" spans="1:6" ht="15" customHeight="1" x14ac:dyDescent="0.2">
      <c r="A174" s="147">
        <v>5</v>
      </c>
      <c r="B174" s="169" t="s">
        <v>300</v>
      </c>
      <c r="C174" s="157">
        <v>1131075</v>
      </c>
      <c r="D174" s="157">
        <v>1137525</v>
      </c>
      <c r="E174" s="157">
        <f t="shared" si="10"/>
        <v>6450</v>
      </c>
      <c r="F174" s="161">
        <f t="shared" si="11"/>
        <v>5.7025396193886345E-3</v>
      </c>
    </row>
    <row r="175" spans="1:6" ht="15" customHeight="1" x14ac:dyDescent="0.2">
      <c r="A175" s="147">
        <v>6</v>
      </c>
      <c r="B175" s="169" t="s">
        <v>301</v>
      </c>
      <c r="C175" s="157">
        <v>3613630</v>
      </c>
      <c r="D175" s="157">
        <v>4092042</v>
      </c>
      <c r="E175" s="157">
        <f t="shared" si="10"/>
        <v>478412</v>
      </c>
      <c r="F175" s="161">
        <f t="shared" si="11"/>
        <v>0.13239097527970489</v>
      </c>
    </row>
    <row r="176" spans="1:6" ht="15" customHeight="1" x14ac:dyDescent="0.2">
      <c r="A176" s="147">
        <v>7</v>
      </c>
      <c r="B176" s="169" t="s">
        <v>302</v>
      </c>
      <c r="C176" s="157">
        <v>1195405</v>
      </c>
      <c r="D176" s="157">
        <v>1327701</v>
      </c>
      <c r="E176" s="157">
        <f t="shared" si="10"/>
        <v>132296</v>
      </c>
      <c r="F176" s="161">
        <f t="shared" si="11"/>
        <v>0.11067044223505841</v>
      </c>
    </row>
    <row r="177" spans="1:6" ht="15" customHeight="1" x14ac:dyDescent="0.2">
      <c r="A177" s="147">
        <v>8</v>
      </c>
      <c r="B177" s="169" t="s">
        <v>303</v>
      </c>
      <c r="C177" s="157">
        <v>2799594</v>
      </c>
      <c r="D177" s="157">
        <v>3058593</v>
      </c>
      <c r="E177" s="157">
        <f t="shared" si="10"/>
        <v>258999</v>
      </c>
      <c r="F177" s="161">
        <f t="shared" si="11"/>
        <v>9.2513057250444175E-2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5103707</v>
      </c>
      <c r="D179" s="157">
        <v>5305718</v>
      </c>
      <c r="E179" s="157">
        <f t="shared" si="10"/>
        <v>202011</v>
      </c>
      <c r="F179" s="161">
        <f t="shared" si="11"/>
        <v>3.9581229878596087E-2</v>
      </c>
    </row>
    <row r="180" spans="1:6" ht="15" customHeight="1" x14ac:dyDescent="0.2">
      <c r="A180" s="147">
        <v>11</v>
      </c>
      <c r="B180" s="169" t="s">
        <v>306</v>
      </c>
      <c r="C180" s="157">
        <v>827878</v>
      </c>
      <c r="D180" s="157">
        <v>839135</v>
      </c>
      <c r="E180" s="157">
        <f t="shared" si="10"/>
        <v>11257</v>
      </c>
      <c r="F180" s="161">
        <f t="shared" si="11"/>
        <v>1.3597414111741101E-2</v>
      </c>
    </row>
    <row r="181" spans="1:6" ht="15" customHeight="1" x14ac:dyDescent="0.2">
      <c r="A181" s="147">
        <v>12</v>
      </c>
      <c r="B181" s="169" t="s">
        <v>307</v>
      </c>
      <c r="C181" s="157">
        <v>3755684</v>
      </c>
      <c r="D181" s="157">
        <v>3905410</v>
      </c>
      <c r="E181" s="157">
        <f t="shared" si="10"/>
        <v>149726</v>
      </c>
      <c r="F181" s="161">
        <f t="shared" si="11"/>
        <v>3.9866506340789053E-2</v>
      </c>
    </row>
    <row r="182" spans="1:6" ht="15" customHeight="1" x14ac:dyDescent="0.2">
      <c r="A182" s="147">
        <v>13</v>
      </c>
      <c r="B182" s="169" t="s">
        <v>308</v>
      </c>
      <c r="C182" s="157">
        <v>513690</v>
      </c>
      <c r="D182" s="157">
        <v>176185</v>
      </c>
      <c r="E182" s="157">
        <f t="shared" si="10"/>
        <v>-337505</v>
      </c>
      <c r="F182" s="161">
        <f t="shared" si="11"/>
        <v>-0.65702077128229086</v>
      </c>
    </row>
    <row r="183" spans="1:6" ht="15.75" customHeight="1" x14ac:dyDescent="0.25">
      <c r="A183" s="147"/>
      <c r="B183" s="165" t="s">
        <v>309</v>
      </c>
      <c r="C183" s="158">
        <f>SUM(C170:C182)</f>
        <v>38004559</v>
      </c>
      <c r="D183" s="158">
        <f>SUM(D170:D182)</f>
        <v>38893693</v>
      </c>
      <c r="E183" s="158">
        <f t="shared" si="10"/>
        <v>889134</v>
      </c>
      <c r="F183" s="159">
        <f t="shared" si="11"/>
        <v>2.3395456318806383E-2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311019000</v>
      </c>
      <c r="D188" s="158">
        <f>+D186+D183+D167+D130+D121</f>
        <v>317854000</v>
      </c>
      <c r="E188" s="158">
        <f>D188-C188</f>
        <v>6835000</v>
      </c>
      <c r="F188" s="159">
        <f>IF(C188=0,0,E188/C188)</f>
        <v>2.1976149367080467E-2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FILING&amp;RGREENWICH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C37" sqref="C3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304346000</v>
      </c>
      <c r="D11" s="183">
        <v>312982000</v>
      </c>
      <c r="E11" s="76">
        <v>332207000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20142000</v>
      </c>
      <c r="D12" s="185">
        <v>19797000</v>
      </c>
      <c r="E12" s="185">
        <v>17848000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324488000</v>
      </c>
      <c r="D13" s="76">
        <f>+D11+D12</f>
        <v>332779000</v>
      </c>
      <c r="E13" s="76">
        <f>+E11+E12</f>
        <v>350055000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312559000</v>
      </c>
      <c r="D14" s="185">
        <v>311019000</v>
      </c>
      <c r="E14" s="185">
        <v>317854000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11929000</v>
      </c>
      <c r="D15" s="76">
        <f>+D13-D14</f>
        <v>21760000</v>
      </c>
      <c r="E15" s="76">
        <f>+E13-E14</f>
        <v>32201000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4054000</v>
      </c>
      <c r="D16" s="185">
        <v>6170000</v>
      </c>
      <c r="E16" s="185">
        <v>4171000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15983000</v>
      </c>
      <c r="D17" s="76">
        <f>D15+D16</f>
        <v>27930000</v>
      </c>
      <c r="E17" s="76">
        <f>E15+E16</f>
        <v>36372000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3.6308904188809957E-2</v>
      </c>
      <c r="D20" s="189">
        <f>IF(+D27=0,0,+D24/+D27)</f>
        <v>6.4198448734175351E-2</v>
      </c>
      <c r="E20" s="189">
        <f>IF(+E27=0,0,+E24/+E27)</f>
        <v>9.0905241286636213E-2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1.2339366047567739E-2</v>
      </c>
      <c r="D21" s="189">
        <f>IF(D27=0,0,+D26/D27)</f>
        <v>1.8203328524350269E-2</v>
      </c>
      <c r="E21" s="189">
        <f>IF(E27=0,0,+E26/E27)</f>
        <v>1.1774968522920395E-2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4.8648270236377696E-2</v>
      </c>
      <c r="D22" s="189">
        <f>IF(D27=0,0,+D28/D27)</f>
        <v>8.2401777258525613E-2</v>
      </c>
      <c r="E22" s="189">
        <f>IF(E27=0,0,+E28/E27)</f>
        <v>0.10268020980955661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11929000</v>
      </c>
      <c r="D24" s="76">
        <f>+D15</f>
        <v>21760000</v>
      </c>
      <c r="E24" s="76">
        <f>+E15</f>
        <v>32201000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324488000</v>
      </c>
      <c r="D25" s="76">
        <f>+D13</f>
        <v>332779000</v>
      </c>
      <c r="E25" s="76">
        <f>+E13</f>
        <v>350055000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4054000</v>
      </c>
      <c r="D26" s="76">
        <f>+D16</f>
        <v>6170000</v>
      </c>
      <c r="E26" s="76">
        <f>+E16</f>
        <v>4171000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328542000</v>
      </c>
      <c r="D27" s="76">
        <f>+D25+D26</f>
        <v>338949000</v>
      </c>
      <c r="E27" s="76">
        <f>+E25+E26</f>
        <v>354226000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15983000</v>
      </c>
      <c r="D28" s="76">
        <f>+D17</f>
        <v>27930000</v>
      </c>
      <c r="E28" s="76">
        <f>+E17</f>
        <v>36372000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267939000</v>
      </c>
      <c r="D31" s="76">
        <v>318845000</v>
      </c>
      <c r="E31" s="76">
        <v>334040000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319727000</v>
      </c>
      <c r="D32" s="76">
        <v>377624000</v>
      </c>
      <c r="E32" s="76">
        <v>401362000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8425000</v>
      </c>
      <c r="D33" s="76">
        <f>+D32-C32</f>
        <v>57897000</v>
      </c>
      <c r="E33" s="76">
        <f>+E32-D32</f>
        <v>23738000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1.0269999999999999</v>
      </c>
      <c r="D34" s="193">
        <f>IF(C32=0,0,+D33/C32)</f>
        <v>0.18108261110259691</v>
      </c>
      <c r="E34" s="193">
        <f>IF(D32=0,0,+E33/D32)</f>
        <v>6.2861470669237127E-2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0.3137064522467507</v>
      </c>
      <c r="D38" s="195">
        <f>IF((D40+D41)=0,0,+D39/(D40+D41))</f>
        <v>0.28178924022352203</v>
      </c>
      <c r="E38" s="195">
        <f>IF((E40+E41)=0,0,+E39/(E40+E41))</f>
        <v>0.27193105258802075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312559000</v>
      </c>
      <c r="D39" s="76">
        <v>311019000</v>
      </c>
      <c r="E39" s="196">
        <v>317854000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971611045</v>
      </c>
      <c r="D40" s="76">
        <v>1081142538</v>
      </c>
      <c r="E40" s="196">
        <v>1149848623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24731229</v>
      </c>
      <c r="D41" s="76">
        <v>22586617</v>
      </c>
      <c r="E41" s="196">
        <v>19028550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1.3189233955952839</v>
      </c>
      <c r="D43" s="197">
        <f>IF(D38=0,0,IF((D46-D47)=0,0,((+D44-D45)/(D46-D47)/D38)))</f>
        <v>1.4153246606102645</v>
      </c>
      <c r="E43" s="197">
        <f>IF(E38=0,0,IF((E46-E47)=0,0,((+E44-E45)/(E46-E47)/E38)))</f>
        <v>1.4783025239346388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221325514</v>
      </c>
      <c r="D44" s="76">
        <v>223692065</v>
      </c>
      <c r="E44" s="196">
        <v>236385895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13277428</v>
      </c>
      <c r="D45" s="76">
        <v>4482422</v>
      </c>
      <c r="E45" s="196">
        <v>1960939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546209508</v>
      </c>
      <c r="D46" s="76">
        <v>583457233</v>
      </c>
      <c r="E46" s="196">
        <v>613857805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43380063</v>
      </c>
      <c r="D47" s="76">
        <v>33816165</v>
      </c>
      <c r="E47" s="76">
        <v>30705870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0.65717258789751687</v>
      </c>
      <c r="D49" s="198">
        <f>IF(D38=0,0,IF(D51=0,0,(D50/D51)/D38))</f>
        <v>0.71720217099794681</v>
      </c>
      <c r="E49" s="198">
        <f>IF(E38=0,0,IF(E51=0,0,(E50/E51)/E38))</f>
        <v>0.75056928559351388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76762153</v>
      </c>
      <c r="D50" s="199">
        <v>88406608</v>
      </c>
      <c r="E50" s="199">
        <v>95063111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372343911</v>
      </c>
      <c r="D51" s="199">
        <v>437440235</v>
      </c>
      <c r="E51" s="199">
        <v>465760260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0.39189035402892575</v>
      </c>
      <c r="D53" s="198">
        <f>IF(D38=0,0,IF(D55=0,0,(D54/D55)/D38))</f>
        <v>0.68847679876403911</v>
      </c>
      <c r="E53" s="198">
        <f>IF(E38=0,0,IF(E55=0,0,(E54/E55)/E38))</f>
        <v>0.75113858858774096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3885432</v>
      </c>
      <c r="D54" s="199">
        <v>6722600</v>
      </c>
      <c r="E54" s="199">
        <v>8455090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31604672</v>
      </c>
      <c r="D55" s="199">
        <v>34651621</v>
      </c>
      <c r="E55" s="199">
        <v>41394187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9443391.142835319</v>
      </c>
      <c r="D57" s="88">
        <f>+D60*D38</f>
        <v>8265933.1528820582</v>
      </c>
      <c r="E57" s="88">
        <f>+E60*E38</f>
        <v>12192361.042530173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16060311</v>
      </c>
      <c r="D58" s="199">
        <v>14617978</v>
      </c>
      <c r="E58" s="199">
        <v>19751377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14042325</v>
      </c>
      <c r="D59" s="199">
        <v>14715765</v>
      </c>
      <c r="E59" s="199">
        <v>25084845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30102636</v>
      </c>
      <c r="D60" s="76">
        <v>29333743</v>
      </c>
      <c r="E60" s="201">
        <v>44836222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3.0213147414841098E-2</v>
      </c>
      <c r="D62" s="202">
        <f>IF(D63=0,0,+D57/D63)</f>
        <v>2.6576939521000511E-2</v>
      </c>
      <c r="E62" s="202">
        <f>IF(E63=0,0,+E57/E63)</f>
        <v>3.8358369070485739E-2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312559000</v>
      </c>
      <c r="D63" s="199">
        <v>311019000</v>
      </c>
      <c r="E63" s="199">
        <v>317854000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2.1011816558379879</v>
      </c>
      <c r="D67" s="203">
        <f>IF(D69=0,0,D68/D69)</f>
        <v>2.699482177263969</v>
      </c>
      <c r="E67" s="203">
        <f>IF(E69=0,0,E68/E69)</f>
        <v>2.86938826961517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110602000</v>
      </c>
      <c r="D68" s="204">
        <v>134499000</v>
      </c>
      <c r="E68" s="204">
        <v>159340000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52638000</v>
      </c>
      <c r="D69" s="204">
        <v>49824000</v>
      </c>
      <c r="E69" s="204">
        <v>55531000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56.242812689260589</v>
      </c>
      <c r="D71" s="203">
        <f>IF((D77/365)=0,0,+D74/(D77/365))</f>
        <v>77.345196110233061</v>
      </c>
      <c r="E71" s="203">
        <f>IF((E77/365)=0,0,+E74/(E77/365))</f>
        <v>94.382265084919339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35083000</v>
      </c>
      <c r="D72" s="183">
        <v>25344000</v>
      </c>
      <c r="E72" s="183">
        <v>43811000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10243000</v>
      </c>
      <c r="D73" s="206">
        <v>36063000</v>
      </c>
      <c r="E73" s="206">
        <v>31934000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45326000</v>
      </c>
      <c r="D74" s="204">
        <f>+D72+D73</f>
        <v>61407000</v>
      </c>
      <c r="E74" s="204">
        <f>+E72+E73</f>
        <v>75745000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312559000</v>
      </c>
      <c r="D75" s="204">
        <f>+D14</f>
        <v>311019000</v>
      </c>
      <c r="E75" s="204">
        <f>+E14</f>
        <v>317854000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18406037</v>
      </c>
      <c r="D76" s="204">
        <v>21233000</v>
      </c>
      <c r="E76" s="204">
        <v>24929000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294152963</v>
      </c>
      <c r="D77" s="204">
        <f>+D75-D76</f>
        <v>289786000</v>
      </c>
      <c r="E77" s="204">
        <f>+E75-E76</f>
        <v>292925000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43.290876173828472</v>
      </c>
      <c r="D79" s="203">
        <f>IF((D84/365)=0,0,+D83/(D84/365))</f>
        <v>39.173866228728805</v>
      </c>
      <c r="E79" s="203">
        <f>IF((E84/365)=0,0,+E83/(E84/365))</f>
        <v>40.710853202972842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36589000</v>
      </c>
      <c r="D80" s="212">
        <v>34799000</v>
      </c>
      <c r="E80" s="212">
        <v>37984000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492000</v>
      </c>
      <c r="D82" s="212">
        <v>1208000</v>
      </c>
      <c r="E82" s="212">
        <v>930766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36097000</v>
      </c>
      <c r="D83" s="212">
        <f>+D80+D81-D82</f>
        <v>33591000</v>
      </c>
      <c r="E83" s="212">
        <f>+E80+E81-E82</f>
        <v>37053234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304346000</v>
      </c>
      <c r="D84" s="204">
        <f>+D11</f>
        <v>312982000</v>
      </c>
      <c r="E84" s="204">
        <f>+E11</f>
        <v>332207000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65.315915243729847</v>
      </c>
      <c r="D86" s="203">
        <f>IF((D90/365)=0,0,+D87/(D90/365))</f>
        <v>62.755826713505826</v>
      </c>
      <c r="E86" s="203">
        <f>IF((E90/365)=0,0,+E87/(E90/365))</f>
        <v>69.194554920201412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52638000</v>
      </c>
      <c r="D87" s="76">
        <f>+D69</f>
        <v>49824000</v>
      </c>
      <c r="E87" s="76">
        <f>+E69</f>
        <v>55531000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312559000</v>
      </c>
      <c r="D88" s="76">
        <f t="shared" si="0"/>
        <v>311019000</v>
      </c>
      <c r="E88" s="76">
        <f t="shared" si="0"/>
        <v>317854000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18406037</v>
      </c>
      <c r="D89" s="201">
        <f t="shared" si="0"/>
        <v>21233000</v>
      </c>
      <c r="E89" s="201">
        <f t="shared" si="0"/>
        <v>24929000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294152963</v>
      </c>
      <c r="D90" s="76">
        <f>+D88-D89</f>
        <v>289786000</v>
      </c>
      <c r="E90" s="76">
        <f>+E88-E89</f>
        <v>292925000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63.49610158518324</v>
      </c>
      <c r="D94" s="214">
        <f>IF(D96=0,0,(D95/D96)*100)</f>
        <v>71.421627500118205</v>
      </c>
      <c r="E94" s="214">
        <f>IF(E96=0,0,(E95/E96)*100)</f>
        <v>70.827046705454052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319727000</v>
      </c>
      <c r="D95" s="76">
        <f>+D32</f>
        <v>377624000</v>
      </c>
      <c r="E95" s="76">
        <f>+E32</f>
        <v>401362000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503538000</v>
      </c>
      <c r="D96" s="76">
        <v>528725000</v>
      </c>
      <c r="E96" s="76">
        <v>566679000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37.035999913842311</v>
      </c>
      <c r="D98" s="214">
        <f>IF(D104=0,0,(D101/D104)*100)</f>
        <v>56.164461809125598</v>
      </c>
      <c r="E98" s="214">
        <f>IF(E104=0,0,(E101/E104)*100)</f>
        <v>67.634273357164915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15983000</v>
      </c>
      <c r="D99" s="76">
        <f>+D28</f>
        <v>27930000</v>
      </c>
      <c r="E99" s="76">
        <f>+E28</f>
        <v>36372000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18406037</v>
      </c>
      <c r="D100" s="201">
        <f>+D76</f>
        <v>21233000</v>
      </c>
      <c r="E100" s="201">
        <f>+E76</f>
        <v>24929000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34389037</v>
      </c>
      <c r="D101" s="76">
        <f>+D99+D100</f>
        <v>49163000</v>
      </c>
      <c r="E101" s="76">
        <f>+E99+E100</f>
        <v>61301000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52638000</v>
      </c>
      <c r="D102" s="204">
        <f>+D69</f>
        <v>49824000</v>
      </c>
      <c r="E102" s="204">
        <f>+E69</f>
        <v>55531000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40215000</v>
      </c>
      <c r="D103" s="216">
        <v>37710000</v>
      </c>
      <c r="E103" s="216">
        <v>35105000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92853000</v>
      </c>
      <c r="D104" s="204">
        <f>+D102+D103</f>
        <v>87534000</v>
      </c>
      <c r="E104" s="204">
        <f>+E102+E103</f>
        <v>90636000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11.172633368709404</v>
      </c>
      <c r="D106" s="214">
        <f>IF(D109=0,0,(D107/D109)*100)</f>
        <v>9.0794396798721024</v>
      </c>
      <c r="E106" s="214">
        <f>IF(E109=0,0,(E107/E109)*100)</f>
        <v>8.0429906499231336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40215000</v>
      </c>
      <c r="D107" s="204">
        <f>+D103</f>
        <v>37710000</v>
      </c>
      <c r="E107" s="204">
        <f>+E103</f>
        <v>35105000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319727000</v>
      </c>
      <c r="D108" s="204">
        <f>+D32</f>
        <v>377624000</v>
      </c>
      <c r="E108" s="204">
        <f>+E32</f>
        <v>401362000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359942000</v>
      </c>
      <c r="D109" s="204">
        <f>+D107+D108</f>
        <v>415334000</v>
      </c>
      <c r="E109" s="204">
        <f>+E107+E108</f>
        <v>436467000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12.785836847173615</v>
      </c>
      <c r="D111" s="214">
        <f>IF((+D113+D115)=0,0,((+D112+D113+D114)/(+D113+D115)))</f>
        <v>17.120386340117282</v>
      </c>
      <c r="E111" s="214">
        <f>IF((+E113+E115)=0,0,((+E112+E113+E114)/(+E113+E115)))</f>
        <v>21.644662921348313</v>
      </c>
    </row>
    <row r="112" spans="1:6" ht="24" customHeight="1" x14ac:dyDescent="0.2">
      <c r="A112" s="85">
        <v>16</v>
      </c>
      <c r="B112" s="75" t="s">
        <v>373</v>
      </c>
      <c r="C112" s="218">
        <f>+C17</f>
        <v>15983000</v>
      </c>
      <c r="D112" s="76">
        <f>+D17</f>
        <v>27930000</v>
      </c>
      <c r="E112" s="76">
        <f>+E17</f>
        <v>36372000</v>
      </c>
    </row>
    <row r="113" spans="1:8" ht="24" customHeight="1" x14ac:dyDescent="0.2">
      <c r="A113" s="85">
        <v>17</v>
      </c>
      <c r="B113" s="75" t="s">
        <v>88</v>
      </c>
      <c r="C113" s="218">
        <v>357587</v>
      </c>
      <c r="D113" s="76">
        <v>469000</v>
      </c>
      <c r="E113" s="76">
        <v>343000</v>
      </c>
    </row>
    <row r="114" spans="1:8" ht="24" customHeight="1" x14ac:dyDescent="0.2">
      <c r="A114" s="85">
        <v>18</v>
      </c>
      <c r="B114" s="75" t="s">
        <v>374</v>
      </c>
      <c r="C114" s="218">
        <v>18406037</v>
      </c>
      <c r="D114" s="76">
        <v>21233000</v>
      </c>
      <c r="E114" s="76">
        <v>24929000</v>
      </c>
    </row>
    <row r="115" spans="1:8" ht="24" customHeight="1" x14ac:dyDescent="0.2">
      <c r="A115" s="85">
        <v>19</v>
      </c>
      <c r="B115" s="75" t="s">
        <v>104</v>
      </c>
      <c r="C115" s="218">
        <v>2360000</v>
      </c>
      <c r="D115" s="76">
        <v>2430000</v>
      </c>
      <c r="E115" s="76">
        <v>2505000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9.6318398142957111</v>
      </c>
      <c r="D119" s="214">
        <f>IF(+D121=0,0,(+D120)/(+D121))</f>
        <v>9.1647906560542545</v>
      </c>
      <c r="E119" s="214">
        <f>IF(+E121=0,0,(+E120)/(+E121))</f>
        <v>8.5433430943880619</v>
      </c>
    </row>
    <row r="120" spans="1:8" ht="24" customHeight="1" x14ac:dyDescent="0.2">
      <c r="A120" s="85">
        <v>21</v>
      </c>
      <c r="B120" s="75" t="s">
        <v>378</v>
      </c>
      <c r="C120" s="218">
        <v>177284000</v>
      </c>
      <c r="D120" s="218">
        <v>194596000</v>
      </c>
      <c r="E120" s="218">
        <v>212977000</v>
      </c>
    </row>
    <row r="121" spans="1:8" ht="24" customHeight="1" x14ac:dyDescent="0.2">
      <c r="A121" s="85">
        <v>22</v>
      </c>
      <c r="B121" s="75" t="s">
        <v>374</v>
      </c>
      <c r="C121" s="218">
        <v>18406037</v>
      </c>
      <c r="D121" s="218">
        <v>21233000</v>
      </c>
      <c r="E121" s="218">
        <v>24929000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51919</v>
      </c>
      <c r="D124" s="218">
        <v>51964</v>
      </c>
      <c r="E124" s="218">
        <v>54509</v>
      </c>
    </row>
    <row r="125" spans="1:8" ht="24" customHeight="1" x14ac:dyDescent="0.2">
      <c r="A125" s="85">
        <v>2</v>
      </c>
      <c r="B125" s="75" t="s">
        <v>381</v>
      </c>
      <c r="C125" s="218">
        <v>13027</v>
      </c>
      <c r="D125" s="218">
        <v>12439</v>
      </c>
      <c r="E125" s="218">
        <v>12538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3.9854916711445458</v>
      </c>
      <c r="D126" s="219">
        <f>IF(D125=0,0,D124/D125)</f>
        <v>4.1775062304043731</v>
      </c>
      <c r="E126" s="219">
        <f>IF(E125=0,0,E124/E125)</f>
        <v>4.3475035890891691</v>
      </c>
    </row>
    <row r="127" spans="1:8" ht="24" customHeight="1" x14ac:dyDescent="0.2">
      <c r="A127" s="85">
        <v>4</v>
      </c>
      <c r="B127" s="75" t="s">
        <v>383</v>
      </c>
      <c r="C127" s="218">
        <v>206</v>
      </c>
      <c r="D127" s="218">
        <v>206</v>
      </c>
      <c r="E127" s="218">
        <v>206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206</v>
      </c>
      <c r="E128" s="218">
        <v>206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206</v>
      </c>
      <c r="D129" s="218">
        <v>206</v>
      </c>
      <c r="E129" s="218">
        <v>206</v>
      </c>
    </row>
    <row r="130" spans="1:7" ht="24" customHeight="1" x14ac:dyDescent="0.2">
      <c r="A130" s="85">
        <v>7</v>
      </c>
      <c r="B130" s="75" t="s">
        <v>386</v>
      </c>
      <c r="C130" s="193">
        <v>0.6905</v>
      </c>
      <c r="D130" s="193">
        <v>0.69110000000000005</v>
      </c>
      <c r="E130" s="193">
        <v>0.72489999999999999</v>
      </c>
    </row>
    <row r="131" spans="1:7" ht="24" customHeight="1" x14ac:dyDescent="0.2">
      <c r="A131" s="85">
        <v>8</v>
      </c>
      <c r="B131" s="75" t="s">
        <v>387</v>
      </c>
      <c r="C131" s="193">
        <v>0.6905</v>
      </c>
      <c r="D131" s="193">
        <v>0.69110000000000005</v>
      </c>
      <c r="E131" s="193">
        <v>0.72489999999999999</v>
      </c>
    </row>
    <row r="132" spans="1:7" ht="24" customHeight="1" x14ac:dyDescent="0.2">
      <c r="A132" s="85">
        <v>9</v>
      </c>
      <c r="B132" s="75" t="s">
        <v>388</v>
      </c>
      <c r="C132" s="219">
        <v>1489.3</v>
      </c>
      <c r="D132" s="219">
        <v>1465.1</v>
      </c>
      <c r="E132" s="219">
        <v>1475.3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0.51752133488766583</v>
      </c>
      <c r="D135" s="227">
        <f>IF(D149=0,0,D143/D149)</f>
        <v>0.50838908717510845</v>
      </c>
      <c r="E135" s="227">
        <f>IF(E149=0,0,E143/E149)</f>
        <v>0.5071553970978665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0.38322321768172157</v>
      </c>
      <c r="D136" s="227">
        <f>IF(D149=0,0,D144/D149)</f>
        <v>0.40460921629188545</v>
      </c>
      <c r="E136" s="227">
        <f>IF(E149=0,0,E144/E149)</f>
        <v>0.40506224096247839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3.2528111081734361E-2</v>
      </c>
      <c r="D137" s="227">
        <f>IF(D149=0,0,D145/D149)</f>
        <v>3.2050927405096699E-2</v>
      </c>
      <c r="E137" s="227">
        <f>IF(E149=0,0,E145/E149)</f>
        <v>3.5999683934047726E-2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2.151430771353572E-2</v>
      </c>
      <c r="D138" s="227">
        <f>IF(D149=0,0,D146/D149)</f>
        <v>2.2961057517838595E-2</v>
      </c>
      <c r="E138" s="227">
        <f>IF(E149=0,0,E146/E149)</f>
        <v>2.4189846770812717E-2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4.4647560588403974E-2</v>
      </c>
      <c r="D139" s="227">
        <f>IF(D149=0,0,D147/D149)</f>
        <v>3.1278174534281437E-2</v>
      </c>
      <c r="E139" s="227">
        <f>IF(E149=0,0,E147/E149)</f>
        <v>2.6704271663070905E-2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5.6546804693847423E-4</v>
      </c>
      <c r="D140" s="227">
        <f>IF(D149=0,0,D148/D149)</f>
        <v>7.1153707578935346E-4</v>
      </c>
      <c r="E140" s="227">
        <f>IF(E149=0,0,E148/E149)</f>
        <v>8.8855957172372937E-4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1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502829445</v>
      </c>
      <c r="D143" s="229">
        <f>+D46-D147</f>
        <v>549641068</v>
      </c>
      <c r="E143" s="229">
        <f>+E46-E147</f>
        <v>583151935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372343911</v>
      </c>
      <c r="D144" s="229">
        <f>+D51</f>
        <v>437440235</v>
      </c>
      <c r="E144" s="229">
        <f>+E51</f>
        <v>465760260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31604672</v>
      </c>
      <c r="D145" s="229">
        <f>+D55</f>
        <v>34651621</v>
      </c>
      <c r="E145" s="229">
        <f>+E55</f>
        <v>41394187</v>
      </c>
    </row>
    <row r="146" spans="1:7" ht="20.100000000000001" customHeight="1" x14ac:dyDescent="0.2">
      <c r="A146" s="226">
        <v>11</v>
      </c>
      <c r="B146" s="224" t="s">
        <v>400</v>
      </c>
      <c r="C146" s="228">
        <v>20903539</v>
      </c>
      <c r="D146" s="229">
        <v>24824176</v>
      </c>
      <c r="E146" s="229">
        <v>27814662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43380063</v>
      </c>
      <c r="D147" s="229">
        <f>+D47</f>
        <v>33816165</v>
      </c>
      <c r="E147" s="229">
        <f>+E47</f>
        <v>30705870</v>
      </c>
    </row>
    <row r="148" spans="1:7" ht="20.100000000000001" customHeight="1" x14ac:dyDescent="0.2">
      <c r="A148" s="226">
        <v>13</v>
      </c>
      <c r="B148" s="224" t="s">
        <v>402</v>
      </c>
      <c r="C148" s="230">
        <v>549415</v>
      </c>
      <c r="D148" s="229">
        <v>769273</v>
      </c>
      <c r="E148" s="229">
        <v>1021709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971611045</v>
      </c>
      <c r="D149" s="229">
        <f>SUM(D143:D148)</f>
        <v>1081142538</v>
      </c>
      <c r="E149" s="229">
        <f>SUM(E143:E148)</f>
        <v>1149848623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0.68088444800581072</v>
      </c>
      <c r="D152" s="227">
        <f>IF(D166=0,0,D160/D166)</f>
        <v>0.67571830952259571</v>
      </c>
      <c r="E152" s="227">
        <f>IF(E166=0,0,E160/E166)</f>
        <v>0.68166718788494174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0.25122151891915306</v>
      </c>
      <c r="D153" s="227">
        <f>IF(D166=0,0,D161/D166)</f>
        <v>0.27251521826704855</v>
      </c>
      <c r="E153" s="227">
        <f>IF(E166=0,0,E161/E166)</f>
        <v>0.27642706925351446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1.2715955592036126E-2</v>
      </c>
      <c r="D154" s="227">
        <f>IF(D166=0,0,D162/D166)</f>
        <v>2.0722555109478475E-2</v>
      </c>
      <c r="E154" s="227">
        <f>IF(E166=0,0,E162/E166)</f>
        <v>2.4585937956256212E-2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1.061323220067897E-2</v>
      </c>
      <c r="D155" s="227">
        <f>IF(D166=0,0,D163/D166)</f>
        <v>1.6074736237470407E-2</v>
      </c>
      <c r="E155" s="227">
        <f>IF(E166=0,0,E163/E166)</f>
        <v>1.0663300667077585E-2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4.3453388149492012E-2</v>
      </c>
      <c r="D156" s="227">
        <f>IF(D166=0,0,D164/D166)</f>
        <v>1.3817159569056424E-2</v>
      </c>
      <c r="E156" s="227">
        <f>IF(E166=0,0,E164/E166)</f>
        <v>5.702071129935116E-3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1.1114571328291354E-3</v>
      </c>
      <c r="D157" s="227">
        <f>IF(D166=0,0,D165/D166)</f>
        <v>1.1520212943504093E-3</v>
      </c>
      <c r="E157" s="227">
        <f>IF(E166=0,0,E165/E166)</f>
        <v>9.5443310827489944E-4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1.0000000000000002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208048086</v>
      </c>
      <c r="D160" s="229">
        <f>+D44-D164</f>
        <v>219209643</v>
      </c>
      <c r="E160" s="229">
        <f>+E44-E164</f>
        <v>234424956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76762153</v>
      </c>
      <c r="D161" s="229">
        <f>+D50</f>
        <v>88406608</v>
      </c>
      <c r="E161" s="229">
        <f>+E50</f>
        <v>95063111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3885432</v>
      </c>
      <c r="D162" s="229">
        <f>+D54</f>
        <v>6722600</v>
      </c>
      <c r="E162" s="229">
        <f>+E54</f>
        <v>8455090</v>
      </c>
    </row>
    <row r="163" spans="1:6" ht="20.100000000000001" customHeight="1" x14ac:dyDescent="0.2">
      <c r="A163" s="226">
        <v>11</v>
      </c>
      <c r="B163" s="224" t="s">
        <v>415</v>
      </c>
      <c r="C163" s="228">
        <v>3242933</v>
      </c>
      <c r="D163" s="229">
        <v>5214802</v>
      </c>
      <c r="E163" s="229">
        <v>3667103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13277428</v>
      </c>
      <c r="D164" s="229">
        <f>+D45</f>
        <v>4482422</v>
      </c>
      <c r="E164" s="229">
        <f>+E45</f>
        <v>1960939</v>
      </c>
    </row>
    <row r="165" spans="1:6" ht="20.100000000000001" customHeight="1" x14ac:dyDescent="0.2">
      <c r="A165" s="226">
        <v>13</v>
      </c>
      <c r="B165" s="224" t="s">
        <v>417</v>
      </c>
      <c r="C165" s="230">
        <v>339612</v>
      </c>
      <c r="D165" s="229">
        <v>373727</v>
      </c>
      <c r="E165" s="229">
        <v>328229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305555644</v>
      </c>
      <c r="D166" s="229">
        <f>SUM(D160:D165)</f>
        <v>324409802</v>
      </c>
      <c r="E166" s="229">
        <f>SUM(E160:E165)</f>
        <v>343899428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7317</v>
      </c>
      <c r="D169" s="218">
        <v>6891</v>
      </c>
      <c r="E169" s="218">
        <v>7182</v>
      </c>
    </row>
    <row r="170" spans="1:6" ht="20.100000000000001" customHeight="1" x14ac:dyDescent="0.2">
      <c r="A170" s="226">
        <v>2</v>
      </c>
      <c r="B170" s="224" t="s">
        <v>420</v>
      </c>
      <c r="C170" s="218">
        <v>4984</v>
      </c>
      <c r="D170" s="218">
        <v>4888</v>
      </c>
      <c r="E170" s="218">
        <v>4545</v>
      </c>
    </row>
    <row r="171" spans="1:6" ht="20.100000000000001" customHeight="1" x14ac:dyDescent="0.2">
      <c r="A171" s="226">
        <v>3</v>
      </c>
      <c r="B171" s="224" t="s">
        <v>421</v>
      </c>
      <c r="C171" s="218">
        <v>722</v>
      </c>
      <c r="D171" s="218">
        <v>647</v>
      </c>
      <c r="E171" s="218">
        <v>797</v>
      </c>
    </row>
    <row r="172" spans="1:6" ht="20.100000000000001" customHeight="1" x14ac:dyDescent="0.2">
      <c r="A172" s="226">
        <v>4</v>
      </c>
      <c r="B172" s="224" t="s">
        <v>422</v>
      </c>
      <c r="C172" s="218">
        <v>425</v>
      </c>
      <c r="D172" s="218">
        <v>370</v>
      </c>
      <c r="E172" s="218">
        <v>416</v>
      </c>
    </row>
    <row r="173" spans="1:6" ht="20.100000000000001" customHeight="1" x14ac:dyDescent="0.2">
      <c r="A173" s="226">
        <v>5</v>
      </c>
      <c r="B173" s="224" t="s">
        <v>423</v>
      </c>
      <c r="C173" s="218">
        <v>297</v>
      </c>
      <c r="D173" s="218">
        <v>277</v>
      </c>
      <c r="E173" s="218">
        <v>381</v>
      </c>
    </row>
    <row r="174" spans="1:6" ht="20.100000000000001" customHeight="1" x14ac:dyDescent="0.2">
      <c r="A174" s="226">
        <v>6</v>
      </c>
      <c r="B174" s="224" t="s">
        <v>424</v>
      </c>
      <c r="C174" s="218">
        <v>4</v>
      </c>
      <c r="D174" s="218">
        <v>13</v>
      </c>
      <c r="E174" s="218">
        <v>14</v>
      </c>
    </row>
    <row r="175" spans="1:6" ht="20.100000000000001" customHeight="1" x14ac:dyDescent="0.2">
      <c r="A175" s="226">
        <v>7</v>
      </c>
      <c r="B175" s="224" t="s">
        <v>425</v>
      </c>
      <c r="C175" s="218">
        <v>370</v>
      </c>
      <c r="D175" s="218">
        <v>340</v>
      </c>
      <c r="E175" s="218">
        <v>167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13027</v>
      </c>
      <c r="D176" s="218">
        <f>+D169+D170+D171+D174</f>
        <v>12439</v>
      </c>
      <c r="E176" s="218">
        <f>+E169+E170+E171+E174</f>
        <v>12538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0.8478</v>
      </c>
      <c r="D179" s="231">
        <v>0.87034</v>
      </c>
      <c r="E179" s="231">
        <v>0.90366999999999997</v>
      </c>
    </row>
    <row r="180" spans="1:6" ht="20.100000000000001" customHeight="1" x14ac:dyDescent="0.2">
      <c r="A180" s="226">
        <v>2</v>
      </c>
      <c r="B180" s="224" t="s">
        <v>420</v>
      </c>
      <c r="C180" s="231">
        <v>1.347</v>
      </c>
      <c r="D180" s="231">
        <v>1.4593700000000001</v>
      </c>
      <c r="E180" s="231">
        <v>1.57877</v>
      </c>
    </row>
    <row r="181" spans="1:6" ht="20.100000000000001" customHeight="1" x14ac:dyDescent="0.2">
      <c r="A181" s="226">
        <v>3</v>
      </c>
      <c r="B181" s="224" t="s">
        <v>421</v>
      </c>
      <c r="C181" s="231">
        <v>1.0041249999999999</v>
      </c>
      <c r="D181" s="231">
        <v>1.0239290000000001</v>
      </c>
      <c r="E181" s="231">
        <v>1.075909</v>
      </c>
    </row>
    <row r="182" spans="1:6" ht="20.100000000000001" customHeight="1" x14ac:dyDescent="0.2">
      <c r="A182" s="226">
        <v>4</v>
      </c>
      <c r="B182" s="224" t="s">
        <v>422</v>
      </c>
      <c r="C182" s="231">
        <v>0.92859999999999998</v>
      </c>
      <c r="D182" s="231">
        <v>0.92637999999999998</v>
      </c>
      <c r="E182" s="231">
        <v>0.99914999999999998</v>
      </c>
    </row>
    <row r="183" spans="1:6" ht="20.100000000000001" customHeight="1" x14ac:dyDescent="0.2">
      <c r="A183" s="226">
        <v>5</v>
      </c>
      <c r="B183" s="224" t="s">
        <v>423</v>
      </c>
      <c r="C183" s="231">
        <v>1.1122000000000001</v>
      </c>
      <c r="D183" s="231">
        <v>1.1542300000000001</v>
      </c>
      <c r="E183" s="231">
        <v>1.1597200000000001</v>
      </c>
    </row>
    <row r="184" spans="1:6" ht="20.100000000000001" customHeight="1" x14ac:dyDescent="0.2">
      <c r="A184" s="226">
        <v>6</v>
      </c>
      <c r="B184" s="224" t="s">
        <v>424</v>
      </c>
      <c r="C184" s="231">
        <v>1.1954</v>
      </c>
      <c r="D184" s="231">
        <v>0.69643999999999995</v>
      </c>
      <c r="E184" s="231">
        <v>1.0708</v>
      </c>
    </row>
    <row r="185" spans="1:6" ht="20.100000000000001" customHeight="1" x14ac:dyDescent="0.2">
      <c r="A185" s="226">
        <v>7</v>
      </c>
      <c r="B185" s="224" t="s">
        <v>425</v>
      </c>
      <c r="C185" s="231">
        <v>0.90229999999999999</v>
      </c>
      <c r="D185" s="231">
        <v>0.98687000000000002</v>
      </c>
      <c r="E185" s="231">
        <v>1.0280499999999999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1.0475589999999999</v>
      </c>
      <c r="D186" s="231">
        <v>1.10961</v>
      </c>
      <c r="E186" s="231">
        <v>1.159527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7663</v>
      </c>
      <c r="D189" s="218">
        <v>7527</v>
      </c>
      <c r="E189" s="218">
        <v>6790</v>
      </c>
    </row>
    <row r="190" spans="1:6" ht="20.100000000000001" customHeight="1" x14ac:dyDescent="0.2">
      <c r="A190" s="226">
        <v>2</v>
      </c>
      <c r="B190" s="224" t="s">
        <v>433</v>
      </c>
      <c r="C190" s="218">
        <v>35924</v>
      </c>
      <c r="D190" s="218">
        <v>34925</v>
      </c>
      <c r="E190" s="218">
        <v>32604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43587</v>
      </c>
      <c r="D191" s="218">
        <f>+D190+D189</f>
        <v>42452</v>
      </c>
      <c r="E191" s="218">
        <f>+E190+E189</f>
        <v>39394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FILING&amp;RGREENWICH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468375</v>
      </c>
      <c r="E14" s="258">
        <f t="shared" ref="E14:E24" si="0">D14-C14</f>
        <v>468375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139326</v>
      </c>
      <c r="E15" s="258">
        <f t="shared" si="0"/>
        <v>139326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708179</v>
      </c>
      <c r="E16" s="258">
        <f t="shared" si="0"/>
        <v>708179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97935</v>
      </c>
      <c r="E17" s="258">
        <f t="shared" si="0"/>
        <v>97935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16</v>
      </c>
      <c r="E18" s="260">
        <f t="shared" si="0"/>
        <v>16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63</v>
      </c>
      <c r="E19" s="260">
        <f t="shared" si="0"/>
        <v>63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191</v>
      </c>
      <c r="E20" s="260">
        <f t="shared" si="0"/>
        <v>191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41</v>
      </c>
      <c r="E21" s="260">
        <f t="shared" si="0"/>
        <v>41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16</v>
      </c>
      <c r="E22" s="260">
        <f t="shared" si="0"/>
        <v>16</v>
      </c>
      <c r="F22" s="259">
        <f t="shared" si="1"/>
        <v>0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0</v>
      </c>
      <c r="D23" s="263">
        <f>+D14+D16</f>
        <v>1176554</v>
      </c>
      <c r="E23" s="263">
        <f t="shared" si="0"/>
        <v>1176554</v>
      </c>
      <c r="F23" s="264">
        <f t="shared" si="1"/>
        <v>0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0</v>
      </c>
      <c r="D24" s="263">
        <f>+D15+D17</f>
        <v>237261</v>
      </c>
      <c r="E24" s="263">
        <f t="shared" si="0"/>
        <v>237261</v>
      </c>
      <c r="F24" s="264">
        <f t="shared" si="1"/>
        <v>0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3250</v>
      </c>
      <c r="D29" s="258">
        <v>0</v>
      </c>
      <c r="E29" s="258">
        <f t="shared" si="2"/>
        <v>-3250</v>
      </c>
      <c r="F29" s="259">
        <f t="shared" si="3"/>
        <v>-1</v>
      </c>
    </row>
    <row r="30" spans="1:6" ht="20.25" customHeight="1" x14ac:dyDescent="0.3">
      <c r="A30" s="256">
        <v>4</v>
      </c>
      <c r="B30" s="257" t="s">
        <v>444</v>
      </c>
      <c r="C30" s="258">
        <v>2875</v>
      </c>
      <c r="D30" s="258">
        <v>0</v>
      </c>
      <c r="E30" s="258">
        <f t="shared" si="2"/>
        <v>-2875</v>
      </c>
      <c r="F30" s="259">
        <f t="shared" si="3"/>
        <v>-1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2</v>
      </c>
      <c r="D33" s="260">
        <v>0</v>
      </c>
      <c r="E33" s="260">
        <f t="shared" si="2"/>
        <v>-2</v>
      </c>
      <c r="F33" s="259">
        <f t="shared" si="3"/>
        <v>-1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3250</v>
      </c>
      <c r="D36" s="263">
        <f>+D27+D29</f>
        <v>0</v>
      </c>
      <c r="E36" s="263">
        <f t="shared" si="2"/>
        <v>-3250</v>
      </c>
      <c r="F36" s="264">
        <f t="shared" si="3"/>
        <v>-1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2875</v>
      </c>
      <c r="D37" s="263">
        <f>+D28+D30</f>
        <v>0</v>
      </c>
      <c r="E37" s="263">
        <f t="shared" si="2"/>
        <v>-2875</v>
      </c>
      <c r="F37" s="264">
        <f t="shared" si="3"/>
        <v>-1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411345</v>
      </c>
      <c r="D40" s="258">
        <v>1512537</v>
      </c>
      <c r="E40" s="258">
        <f t="shared" ref="E40:E50" si="4">D40-C40</f>
        <v>1101192</v>
      </c>
      <c r="F40" s="259">
        <f t="shared" ref="F40:F50" si="5">IF(C40=0,0,E40/C40)</f>
        <v>2.6770521095430841</v>
      </c>
    </row>
    <row r="41" spans="1:6" ht="20.25" customHeight="1" x14ac:dyDescent="0.3">
      <c r="A41" s="256">
        <v>2</v>
      </c>
      <c r="B41" s="257" t="s">
        <v>442</v>
      </c>
      <c r="C41" s="258">
        <v>97180</v>
      </c>
      <c r="D41" s="258">
        <v>284382</v>
      </c>
      <c r="E41" s="258">
        <f t="shared" si="4"/>
        <v>187202</v>
      </c>
      <c r="F41" s="259">
        <f t="shared" si="5"/>
        <v>1.9263428689030664</v>
      </c>
    </row>
    <row r="42" spans="1:6" ht="20.25" customHeight="1" x14ac:dyDescent="0.3">
      <c r="A42" s="256">
        <v>3</v>
      </c>
      <c r="B42" s="257" t="s">
        <v>443</v>
      </c>
      <c r="C42" s="258">
        <v>1904944</v>
      </c>
      <c r="D42" s="258">
        <v>2106817</v>
      </c>
      <c r="E42" s="258">
        <f t="shared" si="4"/>
        <v>201873</v>
      </c>
      <c r="F42" s="259">
        <f t="shared" si="5"/>
        <v>0.10597319396265717</v>
      </c>
    </row>
    <row r="43" spans="1:6" ht="20.25" customHeight="1" x14ac:dyDescent="0.3">
      <c r="A43" s="256">
        <v>4</v>
      </c>
      <c r="B43" s="257" t="s">
        <v>444</v>
      </c>
      <c r="C43" s="258">
        <v>294118</v>
      </c>
      <c r="D43" s="258">
        <v>355754</v>
      </c>
      <c r="E43" s="258">
        <f t="shared" si="4"/>
        <v>61636</v>
      </c>
      <c r="F43" s="259">
        <f t="shared" si="5"/>
        <v>0.20956214852542177</v>
      </c>
    </row>
    <row r="44" spans="1:6" ht="20.25" customHeight="1" x14ac:dyDescent="0.3">
      <c r="A44" s="256">
        <v>5</v>
      </c>
      <c r="B44" s="257" t="s">
        <v>381</v>
      </c>
      <c r="C44" s="260">
        <v>8</v>
      </c>
      <c r="D44" s="260">
        <v>19</v>
      </c>
      <c r="E44" s="260">
        <f t="shared" si="4"/>
        <v>11</v>
      </c>
      <c r="F44" s="259">
        <f t="shared" si="5"/>
        <v>1.375</v>
      </c>
    </row>
    <row r="45" spans="1:6" ht="20.25" customHeight="1" x14ac:dyDescent="0.3">
      <c r="A45" s="256">
        <v>6</v>
      </c>
      <c r="B45" s="257" t="s">
        <v>380</v>
      </c>
      <c r="C45" s="260">
        <v>24</v>
      </c>
      <c r="D45" s="260">
        <v>153</v>
      </c>
      <c r="E45" s="260">
        <f t="shared" si="4"/>
        <v>129</v>
      </c>
      <c r="F45" s="259">
        <f t="shared" si="5"/>
        <v>5.375</v>
      </c>
    </row>
    <row r="46" spans="1:6" ht="20.25" customHeight="1" x14ac:dyDescent="0.3">
      <c r="A46" s="256">
        <v>7</v>
      </c>
      <c r="B46" s="257" t="s">
        <v>445</v>
      </c>
      <c r="C46" s="260">
        <v>401</v>
      </c>
      <c r="D46" s="260">
        <v>647</v>
      </c>
      <c r="E46" s="260">
        <f t="shared" si="4"/>
        <v>246</v>
      </c>
      <c r="F46" s="259">
        <f t="shared" si="5"/>
        <v>0.61346633416458851</v>
      </c>
    </row>
    <row r="47" spans="1:6" ht="20.25" customHeight="1" x14ac:dyDescent="0.3">
      <c r="A47" s="256">
        <v>8</v>
      </c>
      <c r="B47" s="257" t="s">
        <v>446</v>
      </c>
      <c r="C47" s="260">
        <v>15</v>
      </c>
      <c r="D47" s="260">
        <v>28</v>
      </c>
      <c r="E47" s="260">
        <f t="shared" si="4"/>
        <v>13</v>
      </c>
      <c r="F47" s="259">
        <f t="shared" si="5"/>
        <v>0.8666666666666667</v>
      </c>
    </row>
    <row r="48" spans="1:6" ht="20.25" customHeight="1" x14ac:dyDescent="0.3">
      <c r="A48" s="256">
        <v>9</v>
      </c>
      <c r="B48" s="257" t="s">
        <v>447</v>
      </c>
      <c r="C48" s="260">
        <v>5</v>
      </c>
      <c r="D48" s="260">
        <v>17</v>
      </c>
      <c r="E48" s="260">
        <f t="shared" si="4"/>
        <v>12</v>
      </c>
      <c r="F48" s="259">
        <f t="shared" si="5"/>
        <v>2.4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2316289</v>
      </c>
      <c r="D49" s="263">
        <f>+D40+D42</f>
        <v>3619354</v>
      </c>
      <c r="E49" s="263">
        <f t="shared" si="4"/>
        <v>1303065</v>
      </c>
      <c r="F49" s="264">
        <f t="shared" si="5"/>
        <v>0.56256581108834003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391298</v>
      </c>
      <c r="D50" s="263">
        <f>+D41+D43</f>
        <v>640136</v>
      </c>
      <c r="E50" s="263">
        <f t="shared" si="4"/>
        <v>248838</v>
      </c>
      <c r="F50" s="264">
        <f t="shared" si="5"/>
        <v>0.63592964952542563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8253809</v>
      </c>
      <c r="D66" s="258">
        <v>6333180</v>
      </c>
      <c r="E66" s="258">
        <f t="shared" ref="E66:E76" si="8">D66-C66</f>
        <v>-1920629</v>
      </c>
      <c r="F66" s="259">
        <f t="shared" ref="F66:F76" si="9">IF(C66=0,0,E66/C66)</f>
        <v>-0.23269608007648349</v>
      </c>
    </row>
    <row r="67" spans="1:6" ht="20.25" customHeight="1" x14ac:dyDescent="0.3">
      <c r="A67" s="256">
        <v>2</v>
      </c>
      <c r="B67" s="257" t="s">
        <v>442</v>
      </c>
      <c r="C67" s="258">
        <v>1831212</v>
      </c>
      <c r="D67" s="258">
        <v>1378980</v>
      </c>
      <c r="E67" s="258">
        <f t="shared" si="8"/>
        <v>-452232</v>
      </c>
      <c r="F67" s="259">
        <f t="shared" si="9"/>
        <v>-0.24695775257042876</v>
      </c>
    </row>
    <row r="68" spans="1:6" ht="20.25" customHeight="1" x14ac:dyDescent="0.3">
      <c r="A68" s="256">
        <v>3</v>
      </c>
      <c r="B68" s="257" t="s">
        <v>443</v>
      </c>
      <c r="C68" s="258">
        <v>4077792</v>
      </c>
      <c r="D68" s="258">
        <v>2867135</v>
      </c>
      <c r="E68" s="258">
        <f t="shared" si="8"/>
        <v>-1210657</v>
      </c>
      <c r="F68" s="259">
        <f t="shared" si="9"/>
        <v>-0.29689032692202055</v>
      </c>
    </row>
    <row r="69" spans="1:6" ht="20.25" customHeight="1" x14ac:dyDescent="0.3">
      <c r="A69" s="256">
        <v>4</v>
      </c>
      <c r="B69" s="257" t="s">
        <v>444</v>
      </c>
      <c r="C69" s="258">
        <v>687688</v>
      </c>
      <c r="D69" s="258">
        <v>395522</v>
      </c>
      <c r="E69" s="258">
        <f t="shared" si="8"/>
        <v>-292166</v>
      </c>
      <c r="F69" s="259">
        <f t="shared" si="9"/>
        <v>-0.42485254941194261</v>
      </c>
    </row>
    <row r="70" spans="1:6" ht="20.25" customHeight="1" x14ac:dyDescent="0.3">
      <c r="A70" s="256">
        <v>5</v>
      </c>
      <c r="B70" s="257" t="s">
        <v>381</v>
      </c>
      <c r="C70" s="260">
        <v>208</v>
      </c>
      <c r="D70" s="260">
        <v>135</v>
      </c>
      <c r="E70" s="260">
        <f t="shared" si="8"/>
        <v>-73</v>
      </c>
      <c r="F70" s="259">
        <f t="shared" si="9"/>
        <v>-0.35096153846153844</v>
      </c>
    </row>
    <row r="71" spans="1:6" ht="20.25" customHeight="1" x14ac:dyDescent="0.3">
      <c r="A71" s="256">
        <v>6</v>
      </c>
      <c r="B71" s="257" t="s">
        <v>380</v>
      </c>
      <c r="C71" s="260">
        <v>931</v>
      </c>
      <c r="D71" s="260">
        <v>864</v>
      </c>
      <c r="E71" s="260">
        <f t="shared" si="8"/>
        <v>-67</v>
      </c>
      <c r="F71" s="259">
        <f t="shared" si="9"/>
        <v>-7.1965628356605804E-2</v>
      </c>
    </row>
    <row r="72" spans="1:6" ht="20.25" customHeight="1" x14ac:dyDescent="0.3">
      <c r="A72" s="256">
        <v>7</v>
      </c>
      <c r="B72" s="257" t="s">
        <v>445</v>
      </c>
      <c r="C72" s="260">
        <v>603</v>
      </c>
      <c r="D72" s="260">
        <v>358</v>
      </c>
      <c r="E72" s="260">
        <f t="shared" si="8"/>
        <v>-245</v>
      </c>
      <c r="F72" s="259">
        <f t="shared" si="9"/>
        <v>-0.40630182421227196</v>
      </c>
    </row>
    <row r="73" spans="1:6" ht="20.25" customHeight="1" x14ac:dyDescent="0.3">
      <c r="A73" s="256">
        <v>8</v>
      </c>
      <c r="B73" s="257" t="s">
        <v>446</v>
      </c>
      <c r="C73" s="260">
        <v>243</v>
      </c>
      <c r="D73" s="260">
        <v>179</v>
      </c>
      <c r="E73" s="260">
        <f t="shared" si="8"/>
        <v>-64</v>
      </c>
      <c r="F73" s="259">
        <f t="shared" si="9"/>
        <v>-0.26337448559670784</v>
      </c>
    </row>
    <row r="74" spans="1:6" ht="20.25" customHeight="1" x14ac:dyDescent="0.3">
      <c r="A74" s="256">
        <v>9</v>
      </c>
      <c r="B74" s="257" t="s">
        <v>447</v>
      </c>
      <c r="C74" s="260">
        <v>183</v>
      </c>
      <c r="D74" s="260">
        <v>124</v>
      </c>
      <c r="E74" s="260">
        <f t="shared" si="8"/>
        <v>-59</v>
      </c>
      <c r="F74" s="259">
        <f t="shared" si="9"/>
        <v>-0.32240437158469948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12331601</v>
      </c>
      <c r="D75" s="263">
        <f>+D66+D68</f>
        <v>9200315</v>
      </c>
      <c r="E75" s="263">
        <f t="shared" si="8"/>
        <v>-3131286</v>
      </c>
      <c r="F75" s="264">
        <f t="shared" si="9"/>
        <v>-0.25392372004251518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2518900</v>
      </c>
      <c r="D76" s="263">
        <f>+D67+D69</f>
        <v>1774502</v>
      </c>
      <c r="E76" s="263">
        <f t="shared" si="8"/>
        <v>-744398</v>
      </c>
      <c r="F76" s="264">
        <f t="shared" si="9"/>
        <v>-0.29552503076739844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11321278</v>
      </c>
      <c r="D92" s="258">
        <v>12548076</v>
      </c>
      <c r="E92" s="258">
        <f t="shared" ref="E92:E102" si="12">D92-C92</f>
        <v>1226798</v>
      </c>
      <c r="F92" s="259">
        <f t="shared" ref="F92:F102" si="13">IF(C92=0,0,E92/C92)</f>
        <v>0.10836214780698787</v>
      </c>
    </row>
    <row r="93" spans="1:6" ht="20.25" customHeight="1" x14ac:dyDescent="0.3">
      <c r="A93" s="256">
        <v>2</v>
      </c>
      <c r="B93" s="257" t="s">
        <v>442</v>
      </c>
      <c r="C93" s="258">
        <v>3471469</v>
      </c>
      <c r="D93" s="258">
        <v>2889753</v>
      </c>
      <c r="E93" s="258">
        <f t="shared" si="12"/>
        <v>-581716</v>
      </c>
      <c r="F93" s="259">
        <f t="shared" si="13"/>
        <v>-0.16757055874616769</v>
      </c>
    </row>
    <row r="94" spans="1:6" ht="20.25" customHeight="1" x14ac:dyDescent="0.3">
      <c r="A94" s="256">
        <v>3</v>
      </c>
      <c r="B94" s="257" t="s">
        <v>443</v>
      </c>
      <c r="C94" s="258">
        <v>7975131</v>
      </c>
      <c r="D94" s="258">
        <v>9295394</v>
      </c>
      <c r="E94" s="258">
        <f t="shared" si="12"/>
        <v>1320263</v>
      </c>
      <c r="F94" s="259">
        <f t="shared" si="13"/>
        <v>0.16554750009749056</v>
      </c>
    </row>
    <row r="95" spans="1:6" ht="20.25" customHeight="1" x14ac:dyDescent="0.3">
      <c r="A95" s="256">
        <v>4</v>
      </c>
      <c r="B95" s="257" t="s">
        <v>444</v>
      </c>
      <c r="C95" s="258">
        <v>1155617</v>
      </c>
      <c r="D95" s="258">
        <v>1508786</v>
      </c>
      <c r="E95" s="258">
        <f t="shared" si="12"/>
        <v>353169</v>
      </c>
      <c r="F95" s="259">
        <f t="shared" si="13"/>
        <v>0.30561076896584249</v>
      </c>
    </row>
    <row r="96" spans="1:6" ht="20.25" customHeight="1" x14ac:dyDescent="0.3">
      <c r="A96" s="256">
        <v>5</v>
      </c>
      <c r="B96" s="257" t="s">
        <v>381</v>
      </c>
      <c r="C96" s="260">
        <v>173</v>
      </c>
      <c r="D96" s="260">
        <v>237</v>
      </c>
      <c r="E96" s="260">
        <f t="shared" si="12"/>
        <v>64</v>
      </c>
      <c r="F96" s="259">
        <f t="shared" si="13"/>
        <v>0.36994219653179189</v>
      </c>
    </row>
    <row r="97" spans="1:6" ht="20.25" customHeight="1" x14ac:dyDescent="0.3">
      <c r="A97" s="256">
        <v>6</v>
      </c>
      <c r="B97" s="257" t="s">
        <v>380</v>
      </c>
      <c r="C97" s="260">
        <v>1501</v>
      </c>
      <c r="D97" s="260">
        <v>1351</v>
      </c>
      <c r="E97" s="260">
        <f t="shared" si="12"/>
        <v>-150</v>
      </c>
      <c r="F97" s="259">
        <f t="shared" si="13"/>
        <v>-9.9933377748167893E-2</v>
      </c>
    </row>
    <row r="98" spans="1:6" ht="20.25" customHeight="1" x14ac:dyDescent="0.3">
      <c r="A98" s="256">
        <v>7</v>
      </c>
      <c r="B98" s="257" t="s">
        <v>445</v>
      </c>
      <c r="C98" s="260">
        <v>2642</v>
      </c>
      <c r="D98" s="260">
        <v>3321</v>
      </c>
      <c r="E98" s="260">
        <f t="shared" si="12"/>
        <v>679</v>
      </c>
      <c r="F98" s="259">
        <f t="shared" si="13"/>
        <v>0.257002271006813</v>
      </c>
    </row>
    <row r="99" spans="1:6" ht="20.25" customHeight="1" x14ac:dyDescent="0.3">
      <c r="A99" s="256">
        <v>8</v>
      </c>
      <c r="B99" s="257" t="s">
        <v>446</v>
      </c>
      <c r="C99" s="260">
        <v>270</v>
      </c>
      <c r="D99" s="260">
        <v>310</v>
      </c>
      <c r="E99" s="260">
        <f t="shared" si="12"/>
        <v>40</v>
      </c>
      <c r="F99" s="259">
        <f t="shared" si="13"/>
        <v>0.14814814814814814</v>
      </c>
    </row>
    <row r="100" spans="1:6" ht="20.25" customHeight="1" x14ac:dyDescent="0.3">
      <c r="A100" s="256">
        <v>9</v>
      </c>
      <c r="B100" s="257" t="s">
        <v>447</v>
      </c>
      <c r="C100" s="260">
        <v>149</v>
      </c>
      <c r="D100" s="260">
        <v>201</v>
      </c>
      <c r="E100" s="260">
        <f t="shared" si="12"/>
        <v>52</v>
      </c>
      <c r="F100" s="259">
        <f t="shared" si="13"/>
        <v>0.34899328859060402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19296409</v>
      </c>
      <c r="D101" s="263">
        <f>+D92+D94</f>
        <v>21843470</v>
      </c>
      <c r="E101" s="263">
        <f t="shared" si="12"/>
        <v>2547061</v>
      </c>
      <c r="F101" s="264">
        <f t="shared" si="13"/>
        <v>0.13199663211947882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4627086</v>
      </c>
      <c r="D102" s="263">
        <f>+D93+D95</f>
        <v>4398539</v>
      </c>
      <c r="E102" s="263">
        <f t="shared" si="12"/>
        <v>-228547</v>
      </c>
      <c r="F102" s="264">
        <f t="shared" si="13"/>
        <v>-4.9393289858887426E-2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183321</v>
      </c>
      <c r="D105" s="258">
        <v>79896</v>
      </c>
      <c r="E105" s="258">
        <f t="shared" ref="E105:E115" si="14">D105-C105</f>
        <v>-103425</v>
      </c>
      <c r="F105" s="259">
        <f t="shared" ref="F105:F115" si="15">IF(C105=0,0,E105/C105)</f>
        <v>-0.5641743171813377</v>
      </c>
    </row>
    <row r="106" spans="1:6" ht="20.25" customHeight="1" x14ac:dyDescent="0.3">
      <c r="A106" s="256">
        <v>2</v>
      </c>
      <c r="B106" s="257" t="s">
        <v>442</v>
      </c>
      <c r="C106" s="258">
        <v>37439</v>
      </c>
      <c r="D106" s="258">
        <v>24628</v>
      </c>
      <c r="E106" s="258">
        <f t="shared" si="14"/>
        <v>-12811</v>
      </c>
      <c r="F106" s="259">
        <f t="shared" si="15"/>
        <v>-0.34218328480995752</v>
      </c>
    </row>
    <row r="107" spans="1:6" ht="20.25" customHeight="1" x14ac:dyDescent="0.3">
      <c r="A107" s="256">
        <v>3</v>
      </c>
      <c r="B107" s="257" t="s">
        <v>443</v>
      </c>
      <c r="C107" s="258">
        <v>103170</v>
      </c>
      <c r="D107" s="258">
        <v>264975</v>
      </c>
      <c r="E107" s="258">
        <f t="shared" si="14"/>
        <v>161805</v>
      </c>
      <c r="F107" s="259">
        <f t="shared" si="15"/>
        <v>1.5683338179703401</v>
      </c>
    </row>
    <row r="108" spans="1:6" ht="20.25" customHeight="1" x14ac:dyDescent="0.3">
      <c r="A108" s="256">
        <v>4</v>
      </c>
      <c r="B108" s="257" t="s">
        <v>444</v>
      </c>
      <c r="C108" s="258">
        <v>18972</v>
      </c>
      <c r="D108" s="258">
        <v>40783</v>
      </c>
      <c r="E108" s="258">
        <f t="shared" si="14"/>
        <v>21811</v>
      </c>
      <c r="F108" s="259">
        <f t="shared" si="15"/>
        <v>1.1496415770609318</v>
      </c>
    </row>
    <row r="109" spans="1:6" ht="20.25" customHeight="1" x14ac:dyDescent="0.3">
      <c r="A109" s="256">
        <v>5</v>
      </c>
      <c r="B109" s="257" t="s">
        <v>381</v>
      </c>
      <c r="C109" s="260">
        <v>4</v>
      </c>
      <c r="D109" s="260">
        <v>4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20</v>
      </c>
      <c r="D110" s="260">
        <v>6</v>
      </c>
      <c r="E110" s="260">
        <f t="shared" si="14"/>
        <v>-14</v>
      </c>
      <c r="F110" s="259">
        <f t="shared" si="15"/>
        <v>-0.7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162</v>
      </c>
      <c r="E111" s="260">
        <f t="shared" si="14"/>
        <v>162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5</v>
      </c>
      <c r="D112" s="260">
        <v>8</v>
      </c>
      <c r="E112" s="260">
        <f t="shared" si="14"/>
        <v>3</v>
      </c>
      <c r="F112" s="259">
        <f t="shared" si="15"/>
        <v>0.6</v>
      </c>
    </row>
    <row r="113" spans="1:6" ht="20.25" customHeight="1" x14ac:dyDescent="0.3">
      <c r="A113" s="256">
        <v>9</v>
      </c>
      <c r="B113" s="257" t="s">
        <v>447</v>
      </c>
      <c r="C113" s="260">
        <v>4</v>
      </c>
      <c r="D113" s="260">
        <v>4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286491</v>
      </c>
      <c r="D114" s="263">
        <f>+D105+D107</f>
        <v>344871</v>
      </c>
      <c r="E114" s="263">
        <f t="shared" si="14"/>
        <v>58380</v>
      </c>
      <c r="F114" s="264">
        <f t="shared" si="15"/>
        <v>0.20377603484926229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56411</v>
      </c>
      <c r="D115" s="263">
        <f>+D106+D108</f>
        <v>65411</v>
      </c>
      <c r="E115" s="263">
        <f t="shared" si="14"/>
        <v>9000</v>
      </c>
      <c r="F115" s="264">
        <f t="shared" si="15"/>
        <v>0.15954335147400331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4496620</v>
      </c>
      <c r="D118" s="258">
        <v>9927429</v>
      </c>
      <c r="E118" s="258">
        <f t="shared" ref="E118:E128" si="16">D118-C118</f>
        <v>5430809</v>
      </c>
      <c r="F118" s="259">
        <f t="shared" ref="F118:F128" si="17">IF(C118=0,0,E118/C118)</f>
        <v>1.2077536015940862</v>
      </c>
    </row>
    <row r="119" spans="1:6" ht="20.25" customHeight="1" x14ac:dyDescent="0.3">
      <c r="A119" s="256">
        <v>2</v>
      </c>
      <c r="B119" s="257" t="s">
        <v>442</v>
      </c>
      <c r="C119" s="258">
        <v>1058420</v>
      </c>
      <c r="D119" s="258">
        <v>2481628</v>
      </c>
      <c r="E119" s="258">
        <f t="shared" si="16"/>
        <v>1423208</v>
      </c>
      <c r="F119" s="259">
        <f t="shared" si="17"/>
        <v>1.3446533512216323</v>
      </c>
    </row>
    <row r="120" spans="1:6" ht="20.25" customHeight="1" x14ac:dyDescent="0.3">
      <c r="A120" s="256">
        <v>3</v>
      </c>
      <c r="B120" s="257" t="s">
        <v>443</v>
      </c>
      <c r="C120" s="258">
        <v>3547371</v>
      </c>
      <c r="D120" s="258">
        <v>6061449</v>
      </c>
      <c r="E120" s="258">
        <f t="shared" si="16"/>
        <v>2514078</v>
      </c>
      <c r="F120" s="259">
        <f t="shared" si="17"/>
        <v>0.7087158349098529</v>
      </c>
    </row>
    <row r="121" spans="1:6" ht="20.25" customHeight="1" x14ac:dyDescent="0.3">
      <c r="A121" s="256">
        <v>4</v>
      </c>
      <c r="B121" s="257" t="s">
        <v>444</v>
      </c>
      <c r="C121" s="258">
        <v>601222</v>
      </c>
      <c r="D121" s="258">
        <v>1201101</v>
      </c>
      <c r="E121" s="258">
        <f t="shared" si="16"/>
        <v>599879</v>
      </c>
      <c r="F121" s="259">
        <f t="shared" si="17"/>
        <v>0.99776621613979533</v>
      </c>
    </row>
    <row r="122" spans="1:6" ht="20.25" customHeight="1" x14ac:dyDescent="0.3">
      <c r="A122" s="256">
        <v>5</v>
      </c>
      <c r="B122" s="257" t="s">
        <v>381</v>
      </c>
      <c r="C122" s="260">
        <v>111</v>
      </c>
      <c r="D122" s="260">
        <v>202</v>
      </c>
      <c r="E122" s="260">
        <f t="shared" si="16"/>
        <v>91</v>
      </c>
      <c r="F122" s="259">
        <f t="shared" si="17"/>
        <v>0.81981981981981977</v>
      </c>
    </row>
    <row r="123" spans="1:6" ht="20.25" customHeight="1" x14ac:dyDescent="0.3">
      <c r="A123" s="256">
        <v>6</v>
      </c>
      <c r="B123" s="257" t="s">
        <v>380</v>
      </c>
      <c r="C123" s="260">
        <v>437</v>
      </c>
      <c r="D123" s="260">
        <v>1235</v>
      </c>
      <c r="E123" s="260">
        <f t="shared" si="16"/>
        <v>798</v>
      </c>
      <c r="F123" s="259">
        <f t="shared" si="17"/>
        <v>1.826086956521739</v>
      </c>
    </row>
    <row r="124" spans="1:6" ht="20.25" customHeight="1" x14ac:dyDescent="0.3">
      <c r="A124" s="256">
        <v>7</v>
      </c>
      <c r="B124" s="257" t="s">
        <v>445</v>
      </c>
      <c r="C124" s="260">
        <v>2208</v>
      </c>
      <c r="D124" s="260">
        <v>2385</v>
      </c>
      <c r="E124" s="260">
        <f t="shared" si="16"/>
        <v>177</v>
      </c>
      <c r="F124" s="259">
        <f t="shared" si="17"/>
        <v>8.0163043478260865E-2</v>
      </c>
    </row>
    <row r="125" spans="1:6" ht="20.25" customHeight="1" x14ac:dyDescent="0.3">
      <c r="A125" s="256">
        <v>8</v>
      </c>
      <c r="B125" s="257" t="s">
        <v>446</v>
      </c>
      <c r="C125" s="260">
        <v>99</v>
      </c>
      <c r="D125" s="260">
        <v>176</v>
      </c>
      <c r="E125" s="260">
        <f t="shared" si="16"/>
        <v>77</v>
      </c>
      <c r="F125" s="259">
        <f t="shared" si="17"/>
        <v>0.77777777777777779</v>
      </c>
    </row>
    <row r="126" spans="1:6" ht="20.25" customHeight="1" x14ac:dyDescent="0.3">
      <c r="A126" s="256">
        <v>9</v>
      </c>
      <c r="B126" s="257" t="s">
        <v>447</v>
      </c>
      <c r="C126" s="260">
        <v>90</v>
      </c>
      <c r="D126" s="260">
        <v>175</v>
      </c>
      <c r="E126" s="260">
        <f t="shared" si="16"/>
        <v>85</v>
      </c>
      <c r="F126" s="259">
        <f t="shared" si="17"/>
        <v>0.94444444444444442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8043991</v>
      </c>
      <c r="D127" s="263">
        <f>+D118+D120</f>
        <v>15988878</v>
      </c>
      <c r="E127" s="263">
        <f t="shared" si="16"/>
        <v>7944887</v>
      </c>
      <c r="F127" s="264">
        <f t="shared" si="17"/>
        <v>0.98767974752831023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1659642</v>
      </c>
      <c r="D128" s="263">
        <f>+D119+D121</f>
        <v>3682729</v>
      </c>
      <c r="E128" s="263">
        <f t="shared" si="16"/>
        <v>2023087</v>
      </c>
      <c r="F128" s="264">
        <f t="shared" si="17"/>
        <v>1.2189899990479875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285066</v>
      </c>
      <c r="D131" s="258">
        <v>122677</v>
      </c>
      <c r="E131" s="258">
        <f t="shared" ref="E131:E141" si="18">D131-C131</f>
        <v>-162389</v>
      </c>
      <c r="F131" s="259">
        <f t="shared" ref="F131:F141" si="19">IF(C131=0,0,E131/C131)</f>
        <v>-0.56965404502816896</v>
      </c>
    </row>
    <row r="132" spans="1:6" ht="20.25" customHeight="1" x14ac:dyDescent="0.3">
      <c r="A132" s="256">
        <v>2</v>
      </c>
      <c r="B132" s="257" t="s">
        <v>442</v>
      </c>
      <c r="C132" s="258">
        <v>73646</v>
      </c>
      <c r="D132" s="258">
        <v>32338</v>
      </c>
      <c r="E132" s="258">
        <f t="shared" si="18"/>
        <v>-41308</v>
      </c>
      <c r="F132" s="259">
        <f t="shared" si="19"/>
        <v>-0.56089943785134289</v>
      </c>
    </row>
    <row r="133" spans="1:6" ht="20.25" customHeight="1" x14ac:dyDescent="0.3">
      <c r="A133" s="256">
        <v>3</v>
      </c>
      <c r="B133" s="257" t="s">
        <v>443</v>
      </c>
      <c r="C133" s="258">
        <v>228173</v>
      </c>
      <c r="D133" s="258">
        <v>124641</v>
      </c>
      <c r="E133" s="258">
        <f t="shared" si="18"/>
        <v>-103532</v>
      </c>
      <c r="F133" s="259">
        <f t="shared" si="19"/>
        <v>-0.45374343151906665</v>
      </c>
    </row>
    <row r="134" spans="1:6" ht="20.25" customHeight="1" x14ac:dyDescent="0.3">
      <c r="A134" s="256">
        <v>4</v>
      </c>
      <c r="B134" s="257" t="s">
        <v>444</v>
      </c>
      <c r="C134" s="258">
        <v>27416</v>
      </c>
      <c r="D134" s="258">
        <v>23640</v>
      </c>
      <c r="E134" s="258">
        <f t="shared" si="18"/>
        <v>-3776</v>
      </c>
      <c r="F134" s="259">
        <f t="shared" si="19"/>
        <v>-0.13772979282170994</v>
      </c>
    </row>
    <row r="135" spans="1:6" ht="20.25" customHeight="1" x14ac:dyDescent="0.3">
      <c r="A135" s="256">
        <v>5</v>
      </c>
      <c r="B135" s="257" t="s">
        <v>381</v>
      </c>
      <c r="C135" s="260">
        <v>8</v>
      </c>
      <c r="D135" s="260">
        <v>5</v>
      </c>
      <c r="E135" s="260">
        <f t="shared" si="18"/>
        <v>-3</v>
      </c>
      <c r="F135" s="259">
        <f t="shared" si="19"/>
        <v>-0.375</v>
      </c>
    </row>
    <row r="136" spans="1:6" ht="20.25" customHeight="1" x14ac:dyDescent="0.3">
      <c r="A136" s="256">
        <v>6</v>
      </c>
      <c r="B136" s="257" t="s">
        <v>380</v>
      </c>
      <c r="C136" s="260">
        <v>27</v>
      </c>
      <c r="D136" s="260">
        <v>12</v>
      </c>
      <c r="E136" s="260">
        <f t="shared" si="18"/>
        <v>-15</v>
      </c>
      <c r="F136" s="259">
        <f t="shared" si="19"/>
        <v>-0.55555555555555558</v>
      </c>
    </row>
    <row r="137" spans="1:6" ht="20.25" customHeight="1" x14ac:dyDescent="0.3">
      <c r="A137" s="256">
        <v>7</v>
      </c>
      <c r="B137" s="257" t="s">
        <v>445</v>
      </c>
      <c r="C137" s="260">
        <v>39</v>
      </c>
      <c r="D137" s="260">
        <v>58</v>
      </c>
      <c r="E137" s="260">
        <f t="shared" si="18"/>
        <v>19</v>
      </c>
      <c r="F137" s="259">
        <f t="shared" si="19"/>
        <v>0.48717948717948717</v>
      </c>
    </row>
    <row r="138" spans="1:6" ht="20.25" customHeight="1" x14ac:dyDescent="0.3">
      <c r="A138" s="256">
        <v>8</v>
      </c>
      <c r="B138" s="257" t="s">
        <v>446</v>
      </c>
      <c r="C138" s="260">
        <v>11</v>
      </c>
      <c r="D138" s="260">
        <v>9</v>
      </c>
      <c r="E138" s="260">
        <f t="shared" si="18"/>
        <v>-2</v>
      </c>
      <c r="F138" s="259">
        <f t="shared" si="19"/>
        <v>-0.18181818181818182</v>
      </c>
    </row>
    <row r="139" spans="1:6" ht="20.25" customHeight="1" x14ac:dyDescent="0.3">
      <c r="A139" s="256">
        <v>9</v>
      </c>
      <c r="B139" s="257" t="s">
        <v>447</v>
      </c>
      <c r="C139" s="260">
        <v>6</v>
      </c>
      <c r="D139" s="260">
        <v>5</v>
      </c>
      <c r="E139" s="260">
        <f t="shared" si="18"/>
        <v>-1</v>
      </c>
      <c r="F139" s="259">
        <f t="shared" si="19"/>
        <v>-0.16666666666666666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513239</v>
      </c>
      <c r="D140" s="263">
        <f>+D131+D133</f>
        <v>247318</v>
      </c>
      <c r="E140" s="263">
        <f t="shared" si="18"/>
        <v>-265921</v>
      </c>
      <c r="F140" s="264">
        <f t="shared" si="19"/>
        <v>-0.5181231356151812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101062</v>
      </c>
      <c r="D141" s="263">
        <f>+D132+D134</f>
        <v>55978</v>
      </c>
      <c r="E141" s="263">
        <f t="shared" si="18"/>
        <v>-45084</v>
      </c>
      <c r="F141" s="264">
        <f t="shared" si="19"/>
        <v>-0.4461023925906869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24951439</v>
      </c>
      <c r="D198" s="263">
        <f t="shared" si="28"/>
        <v>30992170</v>
      </c>
      <c r="E198" s="263">
        <f t="shared" ref="E198:E208" si="29">D198-C198</f>
        <v>6040731</v>
      </c>
      <c r="F198" s="273">
        <f t="shared" ref="F198:F208" si="30">IF(C198=0,0,E198/C198)</f>
        <v>0.24209950376008374</v>
      </c>
    </row>
    <row r="199" spans="1:9" ht="20.25" customHeight="1" x14ac:dyDescent="0.3">
      <c r="A199" s="271"/>
      <c r="B199" s="272" t="s">
        <v>466</v>
      </c>
      <c r="C199" s="263">
        <f t="shared" si="28"/>
        <v>6569366</v>
      </c>
      <c r="D199" s="263">
        <f t="shared" si="28"/>
        <v>7231035</v>
      </c>
      <c r="E199" s="263">
        <f t="shared" si="29"/>
        <v>661669</v>
      </c>
      <c r="F199" s="273">
        <f t="shared" si="30"/>
        <v>0.10072037392953902</v>
      </c>
    </row>
    <row r="200" spans="1:9" ht="20.25" customHeight="1" x14ac:dyDescent="0.3">
      <c r="A200" s="271"/>
      <c r="B200" s="272" t="s">
        <v>467</v>
      </c>
      <c r="C200" s="263">
        <f t="shared" si="28"/>
        <v>17839831</v>
      </c>
      <c r="D200" s="263">
        <f t="shared" si="28"/>
        <v>21428590</v>
      </c>
      <c r="E200" s="263">
        <f t="shared" si="29"/>
        <v>3588759</v>
      </c>
      <c r="F200" s="273">
        <f t="shared" si="30"/>
        <v>0.2011655267362118</v>
      </c>
    </row>
    <row r="201" spans="1:9" ht="20.25" customHeight="1" x14ac:dyDescent="0.3">
      <c r="A201" s="271"/>
      <c r="B201" s="272" t="s">
        <v>468</v>
      </c>
      <c r="C201" s="263">
        <f t="shared" si="28"/>
        <v>2787908</v>
      </c>
      <c r="D201" s="263">
        <f t="shared" si="28"/>
        <v>3623521</v>
      </c>
      <c r="E201" s="263">
        <f t="shared" si="29"/>
        <v>835613</v>
      </c>
      <c r="F201" s="273">
        <f t="shared" si="30"/>
        <v>0.29972760937591914</v>
      </c>
    </row>
    <row r="202" spans="1:9" ht="20.25" customHeight="1" x14ac:dyDescent="0.3">
      <c r="A202" s="271"/>
      <c r="B202" s="272" t="s">
        <v>138</v>
      </c>
      <c r="C202" s="274">
        <f t="shared" si="28"/>
        <v>512</v>
      </c>
      <c r="D202" s="274">
        <f t="shared" si="28"/>
        <v>618</v>
      </c>
      <c r="E202" s="274">
        <f t="shared" si="29"/>
        <v>106</v>
      </c>
      <c r="F202" s="273">
        <f t="shared" si="30"/>
        <v>0.20703125</v>
      </c>
    </row>
    <row r="203" spans="1:9" ht="20.25" customHeight="1" x14ac:dyDescent="0.3">
      <c r="A203" s="271"/>
      <c r="B203" s="272" t="s">
        <v>140</v>
      </c>
      <c r="C203" s="274">
        <f t="shared" si="28"/>
        <v>2940</v>
      </c>
      <c r="D203" s="274">
        <f t="shared" si="28"/>
        <v>3684</v>
      </c>
      <c r="E203" s="274">
        <f t="shared" si="29"/>
        <v>744</v>
      </c>
      <c r="F203" s="273">
        <f t="shared" si="30"/>
        <v>0.2530612244897959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5895</v>
      </c>
      <c r="D204" s="274">
        <f t="shared" si="28"/>
        <v>7122</v>
      </c>
      <c r="E204" s="274">
        <f t="shared" si="29"/>
        <v>1227</v>
      </c>
      <c r="F204" s="273">
        <f t="shared" si="30"/>
        <v>0.20814249363867685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643</v>
      </c>
      <c r="D205" s="274">
        <f t="shared" si="28"/>
        <v>751</v>
      </c>
      <c r="E205" s="274">
        <f t="shared" si="29"/>
        <v>108</v>
      </c>
      <c r="F205" s="273">
        <f t="shared" si="30"/>
        <v>0.16796267496111975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437</v>
      </c>
      <c r="D206" s="274">
        <f t="shared" si="28"/>
        <v>542</v>
      </c>
      <c r="E206" s="274">
        <f t="shared" si="29"/>
        <v>105</v>
      </c>
      <c r="F206" s="273">
        <f t="shared" si="30"/>
        <v>0.2402745995423341</v>
      </c>
    </row>
    <row r="207" spans="1:9" ht="20.25" customHeight="1" x14ac:dyDescent="0.3">
      <c r="A207" s="271"/>
      <c r="B207" s="262" t="s">
        <v>471</v>
      </c>
      <c r="C207" s="263">
        <f>+C198+C200</f>
        <v>42791270</v>
      </c>
      <c r="D207" s="263">
        <f>+D198+D200</f>
        <v>52420760</v>
      </c>
      <c r="E207" s="263">
        <f t="shared" si="29"/>
        <v>9629490</v>
      </c>
      <c r="F207" s="273">
        <f t="shared" si="30"/>
        <v>0.22503398473567154</v>
      </c>
    </row>
    <row r="208" spans="1:9" ht="20.25" customHeight="1" x14ac:dyDescent="0.3">
      <c r="A208" s="271"/>
      <c r="B208" s="262" t="s">
        <v>472</v>
      </c>
      <c r="C208" s="263">
        <f>+C199+C201</f>
        <v>9357274</v>
      </c>
      <c r="D208" s="263">
        <f>+D199+D201</f>
        <v>10854556</v>
      </c>
      <c r="E208" s="263">
        <f t="shared" si="29"/>
        <v>1497282</v>
      </c>
      <c r="F208" s="273">
        <f t="shared" si="30"/>
        <v>0.16001262760928023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FILING&amp;RGREENWICH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FILING&amp;RGREENWICH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29569000</v>
      </c>
      <c r="D13" s="22">
        <v>47945000</v>
      </c>
      <c r="E13" s="22">
        <f t="shared" ref="E13:E22" si="0">D13-C13</f>
        <v>18376000</v>
      </c>
      <c r="F13" s="306">
        <f t="shared" ref="F13:F22" si="1">IF(C13=0,0,E13/C13)</f>
        <v>0.62146166593391727</v>
      </c>
    </row>
    <row r="14" spans="1:8" ht="24" customHeight="1" x14ac:dyDescent="0.2">
      <c r="A14" s="304">
        <v>2</v>
      </c>
      <c r="B14" s="305" t="s">
        <v>17</v>
      </c>
      <c r="C14" s="22">
        <v>36063000</v>
      </c>
      <c r="D14" s="22">
        <v>31934000</v>
      </c>
      <c r="E14" s="22">
        <f t="shared" si="0"/>
        <v>-4129000</v>
      </c>
      <c r="F14" s="306">
        <f t="shared" si="1"/>
        <v>-0.11449407980478607</v>
      </c>
    </row>
    <row r="15" spans="1:8" ht="35.1" customHeight="1" x14ac:dyDescent="0.2">
      <c r="A15" s="304">
        <v>3</v>
      </c>
      <c r="B15" s="305" t="s">
        <v>18</v>
      </c>
      <c r="C15" s="22">
        <v>37281000</v>
      </c>
      <c r="D15" s="22">
        <v>40615000</v>
      </c>
      <c r="E15" s="22">
        <f t="shared" si="0"/>
        <v>3334000</v>
      </c>
      <c r="F15" s="306">
        <f t="shared" si="1"/>
        <v>8.9428931627370506E-2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1646074</v>
      </c>
      <c r="D19" s="22">
        <v>2041000</v>
      </c>
      <c r="E19" s="22">
        <f t="shared" si="0"/>
        <v>394926</v>
      </c>
      <c r="F19" s="306">
        <f t="shared" si="1"/>
        <v>0.23991995499594793</v>
      </c>
    </row>
    <row r="20" spans="1:11" ht="24" customHeight="1" x14ac:dyDescent="0.2">
      <c r="A20" s="304">
        <v>8</v>
      </c>
      <c r="B20" s="305" t="s">
        <v>23</v>
      </c>
      <c r="C20" s="22">
        <v>8132926</v>
      </c>
      <c r="D20" s="22">
        <v>7227000</v>
      </c>
      <c r="E20" s="22">
        <f t="shared" si="0"/>
        <v>-905926</v>
      </c>
      <c r="F20" s="306">
        <f t="shared" si="1"/>
        <v>-0.11138992288876107</v>
      </c>
    </row>
    <row r="21" spans="1:11" ht="24" customHeight="1" x14ac:dyDescent="0.2">
      <c r="A21" s="304">
        <v>9</v>
      </c>
      <c r="B21" s="305" t="s">
        <v>24</v>
      </c>
      <c r="C21" s="22">
        <v>11820000</v>
      </c>
      <c r="D21" s="22">
        <v>17551000</v>
      </c>
      <c r="E21" s="22">
        <f t="shared" si="0"/>
        <v>5731000</v>
      </c>
      <c r="F21" s="306">
        <f t="shared" si="1"/>
        <v>0.48485617597292724</v>
      </c>
    </row>
    <row r="22" spans="1:11" ht="24" customHeight="1" x14ac:dyDescent="0.25">
      <c r="A22" s="307"/>
      <c r="B22" s="308" t="s">
        <v>25</v>
      </c>
      <c r="C22" s="309">
        <f>SUM(C13:C21)</f>
        <v>124512000</v>
      </c>
      <c r="D22" s="309">
        <f>SUM(D13:D21)</f>
        <v>147313000</v>
      </c>
      <c r="E22" s="309">
        <f t="shared" si="0"/>
        <v>22801000</v>
      </c>
      <c r="F22" s="310">
        <f t="shared" si="1"/>
        <v>0.18312291184785401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796000</v>
      </c>
      <c r="D25" s="22">
        <v>794000</v>
      </c>
      <c r="E25" s="22">
        <f>D25-C25</f>
        <v>-2000</v>
      </c>
      <c r="F25" s="306">
        <f>IF(C25=0,0,E25/C25)</f>
        <v>-2.5125628140703518E-3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89577750</v>
      </c>
      <c r="D26" s="22">
        <v>102819600</v>
      </c>
      <c r="E26" s="22">
        <f>D26-C26</f>
        <v>13241850</v>
      </c>
      <c r="F26" s="306">
        <f>IF(C26=0,0,E26/C26)</f>
        <v>0.14782521329236334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2250</v>
      </c>
      <c r="D27" s="22">
        <v>1400</v>
      </c>
      <c r="E27" s="22">
        <f>D27-C27</f>
        <v>-850</v>
      </c>
      <c r="F27" s="306">
        <f>IF(C27=0,0,E27/C27)</f>
        <v>-0.37777777777777777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90376000</v>
      </c>
      <c r="D29" s="309">
        <f>SUM(D25:D28)</f>
        <v>103615000</v>
      </c>
      <c r="E29" s="309">
        <f>D29-C29</f>
        <v>13239000</v>
      </c>
      <c r="F29" s="310">
        <f>IF(C29=0,0,E29/C29)</f>
        <v>0.14648800566522086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59347000</v>
      </c>
      <c r="D32" s="22">
        <v>64943000</v>
      </c>
      <c r="E32" s="22">
        <f>D32-C32</f>
        <v>5596000</v>
      </c>
      <c r="F32" s="306">
        <f>IF(C32=0,0,E32/C32)</f>
        <v>9.4292887593307159E-2</v>
      </c>
    </row>
    <row r="33" spans="1:8" ht="24" customHeight="1" x14ac:dyDescent="0.2">
      <c r="A33" s="304">
        <v>7</v>
      </c>
      <c r="B33" s="305" t="s">
        <v>35</v>
      </c>
      <c r="C33" s="22">
        <v>29746000</v>
      </c>
      <c r="D33" s="22">
        <v>33663000</v>
      </c>
      <c r="E33" s="22">
        <f>D33-C33</f>
        <v>3917000</v>
      </c>
      <c r="F33" s="306">
        <f>IF(C33=0,0,E33/C33)</f>
        <v>0.13168157063134539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473690000</v>
      </c>
      <c r="D36" s="22">
        <v>486940000</v>
      </c>
      <c r="E36" s="22">
        <f>D36-C36</f>
        <v>13250000</v>
      </c>
      <c r="F36" s="306">
        <f>IF(C36=0,0,E36/C36)</f>
        <v>2.7971880343684689E-2</v>
      </c>
    </row>
    <row r="37" spans="1:8" ht="24" customHeight="1" x14ac:dyDescent="0.2">
      <c r="A37" s="304">
        <v>2</v>
      </c>
      <c r="B37" s="305" t="s">
        <v>39</v>
      </c>
      <c r="C37" s="22">
        <v>212355000</v>
      </c>
      <c r="D37" s="22">
        <v>232025000</v>
      </c>
      <c r="E37" s="22">
        <f>D37-C37</f>
        <v>19670000</v>
      </c>
      <c r="F37" s="22">
        <f>IF(C37=0,0,E37/C37)</f>
        <v>9.2627910809728986E-2</v>
      </c>
    </row>
    <row r="38" spans="1:8" ht="24" customHeight="1" x14ac:dyDescent="0.25">
      <c r="A38" s="307"/>
      <c r="B38" s="308" t="s">
        <v>40</v>
      </c>
      <c r="C38" s="309">
        <f>C36-C37</f>
        <v>261335000</v>
      </c>
      <c r="D38" s="309">
        <f>D36-D37</f>
        <v>254915000</v>
      </c>
      <c r="E38" s="309">
        <f>D38-C38</f>
        <v>-6420000</v>
      </c>
      <c r="F38" s="310">
        <f>IF(C38=0,0,E38/C38)</f>
        <v>-2.4566169858610595E-2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153000</v>
      </c>
      <c r="D40" s="22">
        <v>601000</v>
      </c>
      <c r="E40" s="22">
        <f>D40-C40</f>
        <v>448000</v>
      </c>
      <c r="F40" s="306">
        <f>IF(C40=0,0,E40/C40)</f>
        <v>2.9281045751633985</v>
      </c>
    </row>
    <row r="41" spans="1:8" ht="24" customHeight="1" x14ac:dyDescent="0.25">
      <c r="A41" s="307"/>
      <c r="B41" s="308" t="s">
        <v>42</v>
      </c>
      <c r="C41" s="309">
        <f>+C38+C40</f>
        <v>261488000</v>
      </c>
      <c r="D41" s="309">
        <f>+D38+D40</f>
        <v>255516000</v>
      </c>
      <c r="E41" s="309">
        <f>D41-C41</f>
        <v>-5972000</v>
      </c>
      <c r="F41" s="310">
        <f>IF(C41=0,0,E41/C41)</f>
        <v>-2.2838524138775011E-2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565469000</v>
      </c>
      <c r="D43" s="309">
        <f>D22+D29+D31+D32+D33+D41</f>
        <v>605050000</v>
      </c>
      <c r="E43" s="309">
        <f>D43-C43</f>
        <v>39581000</v>
      </c>
      <c r="F43" s="310">
        <f>IF(C43=0,0,E43/C43)</f>
        <v>6.9996763748322186E-2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18052000</v>
      </c>
      <c r="D49" s="22">
        <v>21338080</v>
      </c>
      <c r="E49" s="22">
        <f t="shared" ref="E49:E56" si="2">D49-C49</f>
        <v>3286080</v>
      </c>
      <c r="F49" s="306">
        <f t="shared" ref="F49:F56" si="3">IF(C49=0,0,E49/C49)</f>
        <v>0.18203412364280966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11995000</v>
      </c>
      <c r="D50" s="22">
        <v>12547920</v>
      </c>
      <c r="E50" s="22">
        <f t="shared" si="2"/>
        <v>552920</v>
      </c>
      <c r="F50" s="306">
        <f t="shared" si="3"/>
        <v>4.6095873280533557E-2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1207893</v>
      </c>
      <c r="D51" s="22">
        <v>930766</v>
      </c>
      <c r="E51" s="22">
        <f t="shared" si="2"/>
        <v>-277127</v>
      </c>
      <c r="F51" s="306">
        <f t="shared" si="3"/>
        <v>-0.22943009024806005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2505000</v>
      </c>
      <c r="D53" s="22">
        <v>2605000</v>
      </c>
      <c r="E53" s="22">
        <f t="shared" si="2"/>
        <v>100000</v>
      </c>
      <c r="F53" s="306">
        <f t="shared" si="3"/>
        <v>3.9920159680638723E-2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19409107</v>
      </c>
      <c r="D55" s="22">
        <v>21856234</v>
      </c>
      <c r="E55" s="22">
        <f t="shared" si="2"/>
        <v>2447127</v>
      </c>
      <c r="F55" s="306">
        <f t="shared" si="3"/>
        <v>0.12608138025103371</v>
      </c>
    </row>
    <row r="56" spans="1:6" ht="24" customHeight="1" x14ac:dyDescent="0.25">
      <c r="A56" s="307"/>
      <c r="B56" s="308" t="s">
        <v>54</v>
      </c>
      <c r="C56" s="309">
        <f>SUM(C49:C55)</f>
        <v>53169000</v>
      </c>
      <c r="D56" s="309">
        <f>SUM(D49:D55)</f>
        <v>59278000</v>
      </c>
      <c r="E56" s="309">
        <f t="shared" si="2"/>
        <v>6109000</v>
      </c>
      <c r="F56" s="310">
        <f t="shared" si="3"/>
        <v>0.11489777878086856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37710000</v>
      </c>
      <c r="D59" s="22">
        <v>35105000</v>
      </c>
      <c r="E59" s="22">
        <f>D59-C59</f>
        <v>-2605000</v>
      </c>
      <c r="F59" s="306">
        <f>IF(C59=0,0,E59/C59)</f>
        <v>-6.9079819676478388E-2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37710000</v>
      </c>
      <c r="D61" s="309">
        <f>SUM(D59:D60)</f>
        <v>35105000</v>
      </c>
      <c r="E61" s="309">
        <f>D61-C61</f>
        <v>-2605000</v>
      </c>
      <c r="F61" s="310">
        <f>IF(C61=0,0,E61/C61)</f>
        <v>-6.9079819676478388E-2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23880000</v>
      </c>
      <c r="D63" s="22">
        <v>31684000</v>
      </c>
      <c r="E63" s="22">
        <f>D63-C63</f>
        <v>7804000</v>
      </c>
      <c r="F63" s="306">
        <f>IF(C63=0,0,E63/C63)</f>
        <v>0.32680067001675039</v>
      </c>
    </row>
    <row r="64" spans="1:6" ht="24" customHeight="1" x14ac:dyDescent="0.2">
      <c r="A64" s="304">
        <v>4</v>
      </c>
      <c r="B64" s="305" t="s">
        <v>60</v>
      </c>
      <c r="C64" s="22">
        <v>39779000</v>
      </c>
      <c r="D64" s="22">
        <v>43065000</v>
      </c>
      <c r="E64" s="22">
        <f>D64-C64</f>
        <v>3286000</v>
      </c>
      <c r="F64" s="306">
        <f>IF(C64=0,0,E64/C64)</f>
        <v>8.2606400362000051E-2</v>
      </c>
    </row>
    <row r="65" spans="1:6" ht="24" customHeight="1" x14ac:dyDescent="0.25">
      <c r="A65" s="307"/>
      <c r="B65" s="308" t="s">
        <v>61</v>
      </c>
      <c r="C65" s="309">
        <f>SUM(C61:C64)</f>
        <v>101369000</v>
      </c>
      <c r="D65" s="309">
        <f>SUM(D61:D64)</f>
        <v>109854000</v>
      </c>
      <c r="E65" s="309">
        <f>D65-C65</f>
        <v>8485000</v>
      </c>
      <c r="F65" s="310">
        <f>IF(C65=0,0,E65/C65)</f>
        <v>8.3704090994288188E-2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793000</v>
      </c>
      <c r="D67" s="22">
        <v>1136000</v>
      </c>
      <c r="E67" s="22">
        <f>D67-C67</f>
        <v>343000</v>
      </c>
      <c r="F67" s="321">
        <f>IF(C67=0,0,E67/C67)</f>
        <v>0.43253467843631777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351359000</v>
      </c>
      <c r="D70" s="22">
        <v>367460000</v>
      </c>
      <c r="E70" s="22">
        <f>D70-C70</f>
        <v>16101000</v>
      </c>
      <c r="F70" s="306">
        <f>IF(C70=0,0,E70/C70)</f>
        <v>4.5824925503544806E-2</v>
      </c>
    </row>
    <row r="71" spans="1:6" ht="24" customHeight="1" x14ac:dyDescent="0.2">
      <c r="A71" s="304">
        <v>2</v>
      </c>
      <c r="B71" s="305" t="s">
        <v>65</v>
      </c>
      <c r="C71" s="22">
        <v>36543000</v>
      </c>
      <c r="D71" s="22">
        <v>44115000</v>
      </c>
      <c r="E71" s="22">
        <f>D71-C71</f>
        <v>7572000</v>
      </c>
      <c r="F71" s="306">
        <f>IF(C71=0,0,E71/C71)</f>
        <v>0.20720794680239718</v>
      </c>
    </row>
    <row r="72" spans="1:6" ht="24" customHeight="1" x14ac:dyDescent="0.2">
      <c r="A72" s="304">
        <v>3</v>
      </c>
      <c r="B72" s="305" t="s">
        <v>66</v>
      </c>
      <c r="C72" s="22">
        <v>22236000</v>
      </c>
      <c r="D72" s="22">
        <v>23207000</v>
      </c>
      <c r="E72" s="22">
        <f>D72-C72</f>
        <v>971000</v>
      </c>
      <c r="F72" s="306">
        <f>IF(C72=0,0,E72/C72)</f>
        <v>4.3667925885950712E-2</v>
      </c>
    </row>
    <row r="73" spans="1:6" ht="24" customHeight="1" x14ac:dyDescent="0.25">
      <c r="A73" s="304"/>
      <c r="B73" s="308" t="s">
        <v>67</v>
      </c>
      <c r="C73" s="309">
        <f>SUM(C70:C72)</f>
        <v>410138000</v>
      </c>
      <c r="D73" s="309">
        <f>SUM(D70:D72)</f>
        <v>434782000</v>
      </c>
      <c r="E73" s="309">
        <f>D73-C73</f>
        <v>24644000</v>
      </c>
      <c r="F73" s="310">
        <f>IF(C73=0,0,E73/C73)</f>
        <v>6.0087092637112385E-2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565469000</v>
      </c>
      <c r="D75" s="309">
        <f>D56+D65+D67+D73</f>
        <v>605050000</v>
      </c>
      <c r="E75" s="309">
        <f>D75-C75</f>
        <v>39581000</v>
      </c>
      <c r="F75" s="310">
        <f>IF(C75=0,0,E75/C75)</f>
        <v>6.9996763748322186E-2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FILING&amp;RGREENWICH HEALTH CARE SERVICES,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1119126000</v>
      </c>
      <c r="D11" s="76">
        <v>1196974000</v>
      </c>
      <c r="E11" s="76">
        <f t="shared" ref="E11:E20" si="0">D11-C11</f>
        <v>77848000</v>
      </c>
      <c r="F11" s="77">
        <f t="shared" ref="F11:F20" si="1">IF(C11=0,0,E11/C11)</f>
        <v>6.9561425612486891E-2</v>
      </c>
    </row>
    <row r="12" spans="1:7" ht="23.1" customHeight="1" x14ac:dyDescent="0.2">
      <c r="A12" s="74">
        <v>2</v>
      </c>
      <c r="B12" s="75" t="s">
        <v>72</v>
      </c>
      <c r="C12" s="76">
        <v>737296000</v>
      </c>
      <c r="D12" s="76">
        <v>784591000</v>
      </c>
      <c r="E12" s="76">
        <f t="shared" si="0"/>
        <v>47295000</v>
      </c>
      <c r="F12" s="77">
        <f t="shared" si="1"/>
        <v>6.4146557149367414E-2</v>
      </c>
    </row>
    <row r="13" spans="1:7" ht="23.1" customHeight="1" x14ac:dyDescent="0.2">
      <c r="A13" s="74">
        <v>3</v>
      </c>
      <c r="B13" s="75" t="s">
        <v>73</v>
      </c>
      <c r="C13" s="76">
        <v>15851000</v>
      </c>
      <c r="D13" s="76">
        <v>19753000</v>
      </c>
      <c r="E13" s="76">
        <f t="shared" si="0"/>
        <v>3902000</v>
      </c>
      <c r="F13" s="77">
        <f t="shared" si="1"/>
        <v>0.24616743423127879</v>
      </c>
    </row>
    <row r="14" spans="1:7" ht="23.1" customHeight="1" x14ac:dyDescent="0.2">
      <c r="A14" s="74">
        <v>4</v>
      </c>
      <c r="B14" s="75" t="s">
        <v>74</v>
      </c>
      <c r="C14" s="76">
        <v>22450000</v>
      </c>
      <c r="D14" s="76">
        <v>18370000</v>
      </c>
      <c r="E14" s="76">
        <f t="shared" si="0"/>
        <v>-4080000</v>
      </c>
      <c r="F14" s="77">
        <f t="shared" si="1"/>
        <v>-0.18173719376391984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343529000</v>
      </c>
      <c r="D15" s="79">
        <f>D11-D12-D13-D14</f>
        <v>374260000</v>
      </c>
      <c r="E15" s="79">
        <f t="shared" si="0"/>
        <v>30731000</v>
      </c>
      <c r="F15" s="80">
        <f t="shared" si="1"/>
        <v>8.9456785307790609E-2</v>
      </c>
    </row>
    <row r="16" spans="1:7" ht="23.1" customHeight="1" x14ac:dyDescent="0.2">
      <c r="A16" s="74">
        <v>5</v>
      </c>
      <c r="B16" s="75" t="s">
        <v>76</v>
      </c>
      <c r="C16" s="76">
        <v>14733000</v>
      </c>
      <c r="D16" s="76">
        <v>25252000</v>
      </c>
      <c r="E16" s="76">
        <f t="shared" si="0"/>
        <v>10519000</v>
      </c>
      <c r="F16" s="77">
        <f t="shared" si="1"/>
        <v>0.71397542930835545</v>
      </c>
      <c r="G16" s="65"/>
    </row>
    <row r="17" spans="1:7" ht="31.5" customHeight="1" x14ac:dyDescent="0.25">
      <c r="A17" s="71"/>
      <c r="B17" s="81" t="s">
        <v>77</v>
      </c>
      <c r="C17" s="79">
        <f>C15-C16</f>
        <v>328796000</v>
      </c>
      <c r="D17" s="79">
        <f>D15-D16</f>
        <v>349008000</v>
      </c>
      <c r="E17" s="79">
        <f t="shared" si="0"/>
        <v>20212000</v>
      </c>
      <c r="F17" s="80">
        <f t="shared" si="1"/>
        <v>6.147276730860473E-2</v>
      </c>
    </row>
    <row r="18" spans="1:7" ht="23.1" customHeight="1" x14ac:dyDescent="0.2">
      <c r="A18" s="74">
        <v>6</v>
      </c>
      <c r="B18" s="75" t="s">
        <v>78</v>
      </c>
      <c r="C18" s="76">
        <v>10339000</v>
      </c>
      <c r="D18" s="76">
        <v>9523000</v>
      </c>
      <c r="E18" s="76">
        <f t="shared" si="0"/>
        <v>-816000</v>
      </c>
      <c r="F18" s="77">
        <f t="shared" si="1"/>
        <v>-7.8924460779572492E-2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3621000</v>
      </c>
      <c r="D19" s="76">
        <v>3010000</v>
      </c>
      <c r="E19" s="76">
        <f t="shared" si="0"/>
        <v>-611000</v>
      </c>
      <c r="F19" s="77">
        <f t="shared" si="1"/>
        <v>-0.16873791770229218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342756000</v>
      </c>
      <c r="D20" s="79">
        <f>SUM(D17:D19)</f>
        <v>361541000</v>
      </c>
      <c r="E20" s="79">
        <f t="shared" si="0"/>
        <v>18785000</v>
      </c>
      <c r="F20" s="80">
        <f t="shared" si="1"/>
        <v>5.4805751029887148E-2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111450000</v>
      </c>
      <c r="D23" s="76">
        <v>113219000</v>
      </c>
      <c r="E23" s="76">
        <f t="shared" ref="E23:E32" si="2">D23-C23</f>
        <v>1769000</v>
      </c>
      <c r="F23" s="77">
        <f t="shared" ref="F23:F32" si="3">IF(C23=0,0,E23/C23)</f>
        <v>1.5872588604755496E-2</v>
      </c>
    </row>
    <row r="24" spans="1:7" ht="23.1" customHeight="1" x14ac:dyDescent="0.2">
      <c r="A24" s="74">
        <v>2</v>
      </c>
      <c r="B24" s="75" t="s">
        <v>83</v>
      </c>
      <c r="C24" s="76">
        <v>40846000</v>
      </c>
      <c r="D24" s="76">
        <v>37520000</v>
      </c>
      <c r="E24" s="76">
        <f t="shared" si="2"/>
        <v>-3326000</v>
      </c>
      <c r="F24" s="77">
        <f t="shared" si="3"/>
        <v>-8.1427801987954754E-2</v>
      </c>
    </row>
    <row r="25" spans="1:7" ht="23.1" customHeight="1" x14ac:dyDescent="0.2">
      <c r="A25" s="74">
        <v>3</v>
      </c>
      <c r="B25" s="75" t="s">
        <v>84</v>
      </c>
      <c r="C25" s="76">
        <v>8762000</v>
      </c>
      <c r="D25" s="76">
        <v>9386000</v>
      </c>
      <c r="E25" s="76">
        <f t="shared" si="2"/>
        <v>624000</v>
      </c>
      <c r="F25" s="77">
        <f t="shared" si="3"/>
        <v>7.1216617210682495E-2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44914321</v>
      </c>
      <c r="D26" s="76">
        <v>52215706</v>
      </c>
      <c r="E26" s="76">
        <f t="shared" si="2"/>
        <v>7301385</v>
      </c>
      <c r="F26" s="77">
        <f t="shared" si="3"/>
        <v>0.16256251541685335</v>
      </c>
    </row>
    <row r="27" spans="1:7" ht="23.1" customHeight="1" x14ac:dyDescent="0.2">
      <c r="A27" s="74">
        <v>5</v>
      </c>
      <c r="B27" s="75" t="s">
        <v>86</v>
      </c>
      <c r="C27" s="76">
        <v>22533000</v>
      </c>
      <c r="D27" s="76">
        <v>26218000</v>
      </c>
      <c r="E27" s="76">
        <f t="shared" si="2"/>
        <v>3685000</v>
      </c>
      <c r="F27" s="77">
        <f t="shared" si="3"/>
        <v>0.16353792215861182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476000</v>
      </c>
      <c r="D29" s="76">
        <v>349000</v>
      </c>
      <c r="E29" s="76">
        <f t="shared" si="2"/>
        <v>-127000</v>
      </c>
      <c r="F29" s="77">
        <f t="shared" si="3"/>
        <v>-0.26680672268907563</v>
      </c>
    </row>
    <row r="30" spans="1:7" ht="23.1" customHeight="1" x14ac:dyDescent="0.2">
      <c r="A30" s="74">
        <v>8</v>
      </c>
      <c r="B30" s="75" t="s">
        <v>89</v>
      </c>
      <c r="C30" s="76">
        <v>-981253</v>
      </c>
      <c r="D30" s="76">
        <v>-1799000</v>
      </c>
      <c r="E30" s="76">
        <f t="shared" si="2"/>
        <v>-817747</v>
      </c>
      <c r="F30" s="77">
        <f t="shared" si="3"/>
        <v>0.83337019097011678</v>
      </c>
    </row>
    <row r="31" spans="1:7" ht="23.1" customHeight="1" x14ac:dyDescent="0.2">
      <c r="A31" s="74">
        <v>9</v>
      </c>
      <c r="B31" s="75" t="s">
        <v>90</v>
      </c>
      <c r="C31" s="76">
        <v>99049932</v>
      </c>
      <c r="D31" s="76">
        <v>99298294</v>
      </c>
      <c r="E31" s="76">
        <f t="shared" si="2"/>
        <v>248362</v>
      </c>
      <c r="F31" s="77">
        <f t="shared" si="3"/>
        <v>2.5074424079362316E-3</v>
      </c>
    </row>
    <row r="32" spans="1:7" ht="23.1" customHeight="1" x14ac:dyDescent="0.25">
      <c r="A32" s="71"/>
      <c r="B32" s="78" t="s">
        <v>91</v>
      </c>
      <c r="C32" s="79">
        <f>SUM(C23:C31)</f>
        <v>327050000</v>
      </c>
      <c r="D32" s="79">
        <f>SUM(D23:D31)</f>
        <v>336407000</v>
      </c>
      <c r="E32" s="79">
        <f t="shared" si="2"/>
        <v>9357000</v>
      </c>
      <c r="F32" s="80">
        <f t="shared" si="3"/>
        <v>2.8610304234826481E-2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15706000</v>
      </c>
      <c r="D34" s="79">
        <f>+D20-D32</f>
        <v>25134000</v>
      </c>
      <c r="E34" s="79">
        <f>D34-C34</f>
        <v>9428000</v>
      </c>
      <c r="F34" s="80">
        <f>IF(C34=0,0,E34/C34)</f>
        <v>0.60028014771424931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304000</v>
      </c>
      <c r="D37" s="76">
        <v>718000</v>
      </c>
      <c r="E37" s="76">
        <f>D37-C37</f>
        <v>414000</v>
      </c>
      <c r="F37" s="77">
        <f>IF(C37=0,0,E37/C37)</f>
        <v>1.361842105263158</v>
      </c>
    </row>
    <row r="38" spans="1:6" ht="23.1" customHeight="1" x14ac:dyDescent="0.2">
      <c r="A38" s="85">
        <v>2</v>
      </c>
      <c r="B38" s="75" t="s">
        <v>95</v>
      </c>
      <c r="C38" s="76">
        <v>3284000</v>
      </c>
      <c r="D38" s="76">
        <v>2412000</v>
      </c>
      <c r="E38" s="76">
        <f>D38-C38</f>
        <v>-872000</v>
      </c>
      <c r="F38" s="77">
        <f>IF(C38=0,0,E38/C38)</f>
        <v>-0.26552984165651644</v>
      </c>
    </row>
    <row r="39" spans="1:6" ht="23.1" customHeight="1" x14ac:dyDescent="0.2">
      <c r="A39" s="85">
        <v>3</v>
      </c>
      <c r="B39" s="75" t="s">
        <v>96</v>
      </c>
      <c r="C39" s="76">
        <v>-6348000</v>
      </c>
      <c r="D39" s="76">
        <v>-8094000</v>
      </c>
      <c r="E39" s="76">
        <f>D39-C39</f>
        <v>-1746000</v>
      </c>
      <c r="F39" s="77">
        <f>IF(C39=0,0,E39/C39)</f>
        <v>0.27504725897920607</v>
      </c>
    </row>
    <row r="40" spans="1:6" ht="23.1" customHeight="1" x14ac:dyDescent="0.25">
      <c r="A40" s="83"/>
      <c r="B40" s="78" t="s">
        <v>97</v>
      </c>
      <c r="C40" s="79">
        <f>SUM(C37:C39)</f>
        <v>-2760000</v>
      </c>
      <c r="D40" s="79">
        <f>SUM(D37:D39)</f>
        <v>-4964000</v>
      </c>
      <c r="E40" s="79">
        <f>D40-C40</f>
        <v>-2204000</v>
      </c>
      <c r="F40" s="80">
        <f>IF(C40=0,0,E40/C40)</f>
        <v>0.79855072463768118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12946000</v>
      </c>
      <c r="D42" s="79">
        <f>D34+D40</f>
        <v>20170000</v>
      </c>
      <c r="E42" s="79">
        <f>D42-C42</f>
        <v>7224000</v>
      </c>
      <c r="F42" s="80">
        <f>IF(C42=0,0,E42/C42)</f>
        <v>0.55801019619959835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5019000</v>
      </c>
      <c r="D45" s="76">
        <v>6345000</v>
      </c>
      <c r="E45" s="76">
        <f>D45-C45</f>
        <v>1326000</v>
      </c>
      <c r="F45" s="77">
        <f>IF(C45=0,0,E45/C45)</f>
        <v>0.26419605499103405</v>
      </c>
    </row>
    <row r="46" spans="1:6" ht="23.1" customHeight="1" x14ac:dyDescent="0.2">
      <c r="A46" s="85"/>
      <c r="B46" s="75" t="s">
        <v>101</v>
      </c>
      <c r="C46" s="76">
        <v>1011000</v>
      </c>
      <c r="D46" s="76">
        <v>-847000</v>
      </c>
      <c r="E46" s="76">
        <f>D46-C46</f>
        <v>-1858000</v>
      </c>
      <c r="F46" s="77">
        <f>IF(C46=0,0,E46/C46)</f>
        <v>-1.837784371909001</v>
      </c>
    </row>
    <row r="47" spans="1:6" ht="23.1" customHeight="1" x14ac:dyDescent="0.25">
      <c r="A47" s="83"/>
      <c r="B47" s="78" t="s">
        <v>102</v>
      </c>
      <c r="C47" s="79">
        <f>SUM(C45:C46)</f>
        <v>6030000</v>
      </c>
      <c r="D47" s="79">
        <f>SUM(D45:D46)</f>
        <v>5498000</v>
      </c>
      <c r="E47" s="79">
        <f>D47-C47</f>
        <v>-532000</v>
      </c>
      <c r="F47" s="80">
        <f>IF(C47=0,0,E47/C47)</f>
        <v>-8.8225538971807627E-2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18976000</v>
      </c>
      <c r="D49" s="79">
        <f>D42+D47</f>
        <v>25668000</v>
      </c>
      <c r="E49" s="79">
        <f>D49-C49</f>
        <v>6692000</v>
      </c>
      <c r="F49" s="80">
        <f>IF(C49=0,0,E49/C49)</f>
        <v>0.35265598650927488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FILING&amp;R&amp;8GREENWICH HEALTH CARE SERVICES,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2015-07-08T13:33:32Z</cp:lastPrinted>
  <dcterms:created xsi:type="dcterms:W3CDTF">2015-07-08T13:29:55Z</dcterms:created>
  <dcterms:modified xsi:type="dcterms:W3CDTF">2015-07-08T13:33:40Z</dcterms:modified>
</cp:coreProperties>
</file>