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135" i="14"/>
  <c r="D130" i="14"/>
  <c r="D129" i="14"/>
  <c r="D123" i="14"/>
  <c r="D192" i="14"/>
  <c r="D120" i="14"/>
  <c r="D110" i="14"/>
  <c r="D109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8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8" i="19"/>
  <c r="E97" i="19"/>
  <c r="D97" i="19"/>
  <c r="C97" i="19"/>
  <c r="E96" i="19"/>
  <c r="D96" i="19"/>
  <c r="D98" i="19"/>
  <c r="C96" i="19"/>
  <c r="C98" i="19"/>
  <c r="E92" i="19"/>
  <c r="E93" i="19"/>
  <c r="D92" i="19"/>
  <c r="C92" i="19"/>
  <c r="E91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C83" i="19"/>
  <c r="C102" i="19"/>
  <c r="E76" i="19"/>
  <c r="D76" i="19"/>
  <c r="C76" i="19"/>
  <c r="E75" i="19"/>
  <c r="E77" i="19"/>
  <c r="D75" i="19"/>
  <c r="D77" i="19"/>
  <c r="C75" i="19"/>
  <c r="C77" i="19"/>
  <c r="C108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23" i="19"/>
  <c r="D46" i="19"/>
  <c r="C12" i="19"/>
  <c r="C22" i="19"/>
  <c r="C45" i="19"/>
  <c r="D21" i="18"/>
  <c r="E21" i="18"/>
  <c r="F21" i="18"/>
  <c r="C21" i="18"/>
  <c r="D19" i="18"/>
  <c r="E19" i="18"/>
  <c r="F19" i="18"/>
  <c r="C19" i="18"/>
  <c r="E17" i="18"/>
  <c r="F17" i="18"/>
  <c r="F15" i="18"/>
  <c r="E15" i="18"/>
  <c r="D45" i="17"/>
  <c r="E45" i="17"/>
  <c r="C45" i="17"/>
  <c r="F45" i="17"/>
  <c r="D44" i="17"/>
  <c r="E44" i="17"/>
  <c r="C44" i="17"/>
  <c r="F44" i="17"/>
  <c r="D43" i="17"/>
  <c r="E43" i="17"/>
  <c r="D46" i="17"/>
  <c r="C43" i="17"/>
  <c r="C46" i="17"/>
  <c r="D36" i="17"/>
  <c r="D40" i="17"/>
  <c r="E40" i="17"/>
  <c r="C36" i="17"/>
  <c r="C40" i="17"/>
  <c r="E35" i="17"/>
  <c r="F35" i="17"/>
  <c r="E34" i="17"/>
  <c r="F34" i="17"/>
  <c r="E33" i="17"/>
  <c r="F33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/>
  <c r="E23" i="17"/>
  <c r="F23" i="17"/>
  <c r="E22" i="17"/>
  <c r="F22" i="17"/>
  <c r="D19" i="17"/>
  <c r="E19" i="17"/>
  <c r="C19" i="17"/>
  <c r="C20" i="17"/>
  <c r="F18" i="17"/>
  <c r="E18" i="17"/>
  <c r="D16" i="17"/>
  <c r="E16" i="17"/>
  <c r="C16" i="17"/>
  <c r="F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65" i="16"/>
  <c r="C114" i="16"/>
  <c r="C116" i="16"/>
  <c r="C119" i="16"/>
  <c r="C123" i="16"/>
  <c r="C36" i="16"/>
  <c r="C38" i="16"/>
  <c r="C127" i="16"/>
  <c r="C129" i="16"/>
  <c r="C133" i="16"/>
  <c r="C32" i="16"/>
  <c r="C33" i="16"/>
  <c r="C21" i="16"/>
  <c r="C37" i="16"/>
  <c r="E328" i="15"/>
  <c r="E325" i="15"/>
  <c r="D324" i="15"/>
  <c r="E324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C293" i="15"/>
  <c r="E293" i="15"/>
  <c r="D292" i="15"/>
  <c r="E292" i="15"/>
  <c r="C292" i="15"/>
  <c r="D291" i="15"/>
  <c r="E291" i="15"/>
  <c r="C291" i="15"/>
  <c r="D290" i="15"/>
  <c r="E290" i="15"/>
  <c r="C290" i="15"/>
  <c r="D288" i="15"/>
  <c r="C288" i="15"/>
  <c r="E288" i="15"/>
  <c r="D287" i="15"/>
  <c r="E287" i="15"/>
  <c r="C287" i="15"/>
  <c r="D282" i="15"/>
  <c r="C282" i="15"/>
  <c r="E282" i="15"/>
  <c r="D281" i="15"/>
  <c r="E281" i="15"/>
  <c r="C281" i="15"/>
  <c r="D280" i="15"/>
  <c r="E280" i="15"/>
  <c r="C280" i="15"/>
  <c r="D279" i="15"/>
  <c r="C279" i="15"/>
  <c r="E279" i="15"/>
  <c r="D278" i="15"/>
  <c r="C278" i="15"/>
  <c r="E278" i="15"/>
  <c r="D277" i="15"/>
  <c r="E277" i="15"/>
  <c r="C277" i="15"/>
  <c r="D276" i="15"/>
  <c r="C276" i="15"/>
  <c r="E270" i="15"/>
  <c r="D265" i="15"/>
  <c r="D302" i="15"/>
  <c r="C265" i="15"/>
  <c r="D262" i="15"/>
  <c r="C262" i="15"/>
  <c r="D251" i="15"/>
  <c r="C251" i="15"/>
  <c r="D233" i="15"/>
  <c r="C233" i="15"/>
  <c r="D232" i="15"/>
  <c r="C232" i="15"/>
  <c r="E232" i="15"/>
  <c r="D231" i="15"/>
  <c r="C231" i="15"/>
  <c r="E231" i="15"/>
  <c r="D230" i="15"/>
  <c r="E230" i="15"/>
  <c r="C230" i="15"/>
  <c r="D228" i="15"/>
  <c r="C228" i="15"/>
  <c r="E228" i="15"/>
  <c r="D227" i="15"/>
  <c r="E227" i="15"/>
  <c r="C227" i="15"/>
  <c r="D221" i="15"/>
  <c r="D245" i="15"/>
  <c r="C221" i="15"/>
  <c r="D220" i="15"/>
  <c r="D244" i="15"/>
  <c r="C220" i="15"/>
  <c r="C244" i="15"/>
  <c r="D219" i="15"/>
  <c r="D243" i="15"/>
  <c r="C219" i="15"/>
  <c r="C243" i="15"/>
  <c r="D218" i="15"/>
  <c r="C218" i="15"/>
  <c r="C242" i="15"/>
  <c r="C217" i="15"/>
  <c r="D216" i="15"/>
  <c r="D240" i="15"/>
  <c r="C216" i="15"/>
  <c r="C222" i="15"/>
  <c r="C223" i="15"/>
  <c r="D215" i="15"/>
  <c r="D239" i="15"/>
  <c r="E239" i="15"/>
  <c r="C215" i="15"/>
  <c r="C239" i="15"/>
  <c r="E209" i="15"/>
  <c r="E208" i="15"/>
  <c r="E207" i="15"/>
  <c r="E206" i="15"/>
  <c r="D205" i="15"/>
  <c r="D229" i="15"/>
  <c r="C205" i="15"/>
  <c r="C229" i="15"/>
  <c r="E204" i="15"/>
  <c r="E203" i="15"/>
  <c r="E197" i="15"/>
  <c r="E196" i="15"/>
  <c r="D195" i="15"/>
  <c r="E195" i="15"/>
  <c r="C195" i="15"/>
  <c r="C260" i="15"/>
  <c r="E194" i="15"/>
  <c r="E193" i="15"/>
  <c r="E192" i="15"/>
  <c r="E191" i="15"/>
  <c r="E190" i="15"/>
  <c r="D188" i="15"/>
  <c r="D189" i="15"/>
  <c r="C188" i="15"/>
  <c r="C189" i="15"/>
  <c r="E186" i="15"/>
  <c r="E185" i="15"/>
  <c r="D179" i="15"/>
  <c r="C179" i="15"/>
  <c r="E179" i="15"/>
  <c r="D178" i="15"/>
  <c r="E178" i="15"/>
  <c r="C178" i="15"/>
  <c r="D177" i="15"/>
  <c r="E177" i="15"/>
  <c r="C177" i="15"/>
  <c r="D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C164" i="15"/>
  <c r="E164" i="15"/>
  <c r="D162" i="15"/>
  <c r="E162" i="15"/>
  <c r="C162" i="15"/>
  <c r="D161" i="15"/>
  <c r="E161" i="15"/>
  <c r="C161" i="15"/>
  <c r="E155" i="15"/>
  <c r="E154" i="15"/>
  <c r="E153" i="15"/>
  <c r="E152" i="15"/>
  <c r="D151" i="15"/>
  <c r="E151" i="15"/>
  <c r="C151" i="15"/>
  <c r="C156" i="15"/>
  <c r="C157" i="15"/>
  <c r="E150" i="15"/>
  <c r="E149" i="15"/>
  <c r="E143" i="15"/>
  <c r="E142" i="15"/>
  <c r="E141" i="15"/>
  <c r="E140" i="15"/>
  <c r="D139" i="15"/>
  <c r="D144" i="15"/>
  <c r="C139" i="15"/>
  <c r="C175" i="15"/>
  <c r="E138" i="15"/>
  <c r="E137" i="15"/>
  <c r="D75" i="15"/>
  <c r="E75" i="15"/>
  <c r="C75" i="15"/>
  <c r="D74" i="15"/>
  <c r="C74" i="15"/>
  <c r="D73" i="15"/>
  <c r="C73" i="15"/>
  <c r="E73" i="15"/>
  <c r="D72" i="15"/>
  <c r="C72" i="15"/>
  <c r="E72" i="15"/>
  <c r="D70" i="15"/>
  <c r="C70" i="15"/>
  <c r="D69" i="15"/>
  <c r="C69" i="15"/>
  <c r="E69" i="15"/>
  <c r="E64" i="15"/>
  <c r="E63" i="15"/>
  <c r="E62" i="15"/>
  <c r="E61" i="15"/>
  <c r="D60" i="15"/>
  <c r="C60" i="15"/>
  <c r="E59" i="15"/>
  <c r="E58" i="15"/>
  <c r="D54" i="15"/>
  <c r="E54" i="15"/>
  <c r="C54" i="15"/>
  <c r="E53" i="15"/>
  <c r="E52" i="15"/>
  <c r="E51" i="15"/>
  <c r="E50" i="15"/>
  <c r="E49" i="15"/>
  <c r="E48" i="15"/>
  <c r="E47" i="15"/>
  <c r="D42" i="15"/>
  <c r="E42" i="15"/>
  <c r="C42" i="15"/>
  <c r="D41" i="15"/>
  <c r="D43" i="15"/>
  <c r="C41" i="15"/>
  <c r="E41" i="15"/>
  <c r="D40" i="15"/>
  <c r="E40" i="15"/>
  <c r="C40" i="15"/>
  <c r="D39" i="15"/>
  <c r="E39" i="15"/>
  <c r="C39" i="15"/>
  <c r="D38" i="15"/>
  <c r="C38" i="15"/>
  <c r="D37" i="15"/>
  <c r="C37" i="15"/>
  <c r="D36" i="15"/>
  <c r="E36" i="15"/>
  <c r="C36" i="15"/>
  <c r="D32" i="15"/>
  <c r="D33" i="15"/>
  <c r="C32" i="15"/>
  <c r="E31" i="15"/>
  <c r="E30" i="15"/>
  <c r="E29" i="15"/>
  <c r="E28" i="15"/>
  <c r="E27" i="15"/>
  <c r="E26" i="15"/>
  <c r="E25" i="15"/>
  <c r="D21" i="15"/>
  <c r="C21" i="15"/>
  <c r="C22" i="15"/>
  <c r="E20" i="15"/>
  <c r="E19" i="15"/>
  <c r="E18" i="15"/>
  <c r="E17" i="15"/>
  <c r="E16" i="15"/>
  <c r="E15" i="15"/>
  <c r="E14" i="15"/>
  <c r="F335" i="14"/>
  <c r="E335" i="14"/>
  <c r="E334" i="14"/>
  <c r="F334" i="14"/>
  <c r="F333" i="14"/>
  <c r="E333" i="14"/>
  <c r="F332" i="14"/>
  <c r="E332" i="14"/>
  <c r="F331" i="14"/>
  <c r="E331" i="14"/>
  <c r="E330" i="14"/>
  <c r="F330" i="14"/>
  <c r="F329" i="14"/>
  <c r="E329" i="14"/>
  <c r="F316" i="14"/>
  <c r="E316" i="14"/>
  <c r="C311" i="14"/>
  <c r="E308" i="14"/>
  <c r="F308" i="14"/>
  <c r="E307" i="14"/>
  <c r="C307" i="14"/>
  <c r="F307" i="14"/>
  <c r="C299" i="14"/>
  <c r="C298" i="14"/>
  <c r="C297" i="14"/>
  <c r="E297" i="14"/>
  <c r="F297" i="14"/>
  <c r="C296" i="14"/>
  <c r="E296" i="14"/>
  <c r="C295" i="14"/>
  <c r="E295" i="14"/>
  <c r="C294" i="14"/>
  <c r="C250" i="14"/>
  <c r="C306" i="14"/>
  <c r="E249" i="14"/>
  <c r="F249" i="14"/>
  <c r="E248" i="14"/>
  <c r="F248" i="14"/>
  <c r="F245" i="14"/>
  <c r="E245" i="14"/>
  <c r="E244" i="14"/>
  <c r="F244" i="14"/>
  <c r="E243" i="14"/>
  <c r="F243" i="14"/>
  <c r="C238" i="14"/>
  <c r="E238" i="14"/>
  <c r="C237" i="14"/>
  <c r="F234" i="14"/>
  <c r="E234" i="14"/>
  <c r="E233" i="14"/>
  <c r="F233" i="14"/>
  <c r="C230" i="14"/>
  <c r="E230" i="14"/>
  <c r="C229" i="14"/>
  <c r="E229" i="14"/>
  <c r="F229" i="14"/>
  <c r="E228" i="14"/>
  <c r="F228" i="14"/>
  <c r="C226" i="14"/>
  <c r="E226" i="14"/>
  <c r="E225" i="14"/>
  <c r="F225" i="14"/>
  <c r="E224" i="14"/>
  <c r="F224" i="14"/>
  <c r="C223" i="14"/>
  <c r="E223" i="14"/>
  <c r="E222" i="14"/>
  <c r="F222" i="14"/>
  <c r="E221" i="14"/>
  <c r="F221" i="14"/>
  <c r="C204" i="14"/>
  <c r="C285" i="14"/>
  <c r="C203" i="14"/>
  <c r="C267" i="14"/>
  <c r="C198" i="14"/>
  <c r="E198" i="14"/>
  <c r="C191" i="14"/>
  <c r="C280" i="14"/>
  <c r="C264" i="14"/>
  <c r="C189" i="14"/>
  <c r="C262" i="14"/>
  <c r="C188" i="14"/>
  <c r="C277" i="14"/>
  <c r="C180" i="14"/>
  <c r="E180" i="14"/>
  <c r="C179" i="14"/>
  <c r="C171" i="14"/>
  <c r="E171" i="14"/>
  <c r="C170" i="14"/>
  <c r="E169" i="14"/>
  <c r="F169" i="14"/>
  <c r="E168" i="14"/>
  <c r="F168" i="14"/>
  <c r="C165" i="14"/>
  <c r="C164" i="14"/>
  <c r="E163" i="14"/>
  <c r="F163" i="14"/>
  <c r="C158" i="14"/>
  <c r="E158" i="14"/>
  <c r="E157" i="14"/>
  <c r="F157" i="14"/>
  <c r="E156" i="14"/>
  <c r="F156" i="14"/>
  <c r="E155" i="14"/>
  <c r="C155" i="14"/>
  <c r="F155" i="14"/>
  <c r="E154" i="14"/>
  <c r="F154" i="14"/>
  <c r="F153" i="14"/>
  <c r="E153" i="14"/>
  <c r="C145" i="14"/>
  <c r="E145" i="14"/>
  <c r="F145" i="14"/>
  <c r="C144" i="14"/>
  <c r="C146" i="14"/>
  <c r="C136" i="14"/>
  <c r="C137" i="14"/>
  <c r="C138" i="14"/>
  <c r="C135" i="14"/>
  <c r="E135" i="14"/>
  <c r="E134" i="14"/>
  <c r="F134" i="14"/>
  <c r="E133" i="14"/>
  <c r="F133" i="14"/>
  <c r="C130" i="14"/>
  <c r="C129" i="14"/>
  <c r="E129" i="14"/>
  <c r="F129" i="14"/>
  <c r="E128" i="14"/>
  <c r="F128" i="14"/>
  <c r="C124" i="14"/>
  <c r="E123" i="14"/>
  <c r="C123" i="14"/>
  <c r="F123" i="14"/>
  <c r="E122" i="14"/>
  <c r="F122" i="14"/>
  <c r="F121" i="14"/>
  <c r="E121" i="14"/>
  <c r="C120" i="14"/>
  <c r="E120" i="14"/>
  <c r="E119" i="14"/>
  <c r="F119" i="14"/>
  <c r="E118" i="14"/>
  <c r="F118" i="14"/>
  <c r="C110" i="14"/>
  <c r="E110" i="14"/>
  <c r="C109" i="14"/>
  <c r="C111" i="14"/>
  <c r="E109" i="14"/>
  <c r="F109" i="14"/>
  <c r="C101" i="14"/>
  <c r="E101" i="14"/>
  <c r="C100" i="14"/>
  <c r="E99" i="14"/>
  <c r="F99" i="14"/>
  <c r="E98" i="14"/>
  <c r="F98" i="14"/>
  <c r="E95" i="14"/>
  <c r="C95" i="14"/>
  <c r="F95" i="14"/>
  <c r="C94" i="14"/>
  <c r="E94" i="14"/>
  <c r="F93" i="14"/>
  <c r="E93" i="14"/>
  <c r="C88" i="14"/>
  <c r="E87" i="14"/>
  <c r="F87" i="14"/>
  <c r="E86" i="14"/>
  <c r="F86" i="14"/>
  <c r="C85" i="14"/>
  <c r="E85" i="14"/>
  <c r="F85" i="14"/>
  <c r="E84" i="14"/>
  <c r="F84" i="14"/>
  <c r="E83" i="14"/>
  <c r="F83" i="14"/>
  <c r="C76" i="14"/>
  <c r="E74" i="14"/>
  <c r="F74" i="14"/>
  <c r="E73" i="14"/>
  <c r="F73" i="14"/>
  <c r="C67" i="14"/>
  <c r="E67" i="14"/>
  <c r="C66" i="14"/>
  <c r="C60" i="14"/>
  <c r="C61" i="14"/>
  <c r="C59" i="14"/>
  <c r="E59" i="14"/>
  <c r="F59" i="14"/>
  <c r="C58" i="14"/>
  <c r="E58" i="14"/>
  <c r="F58" i="14"/>
  <c r="E57" i="14"/>
  <c r="F57" i="14"/>
  <c r="E56" i="14"/>
  <c r="F56" i="14"/>
  <c r="E53" i="14"/>
  <c r="C53" i="14"/>
  <c r="C52" i="14"/>
  <c r="E51" i="14"/>
  <c r="F51" i="14"/>
  <c r="C47" i="14"/>
  <c r="E47" i="14"/>
  <c r="E46" i="14"/>
  <c r="F46" i="14"/>
  <c r="E45" i="14"/>
  <c r="F45" i="14"/>
  <c r="C44" i="14"/>
  <c r="E44" i="14"/>
  <c r="E43" i="14"/>
  <c r="F43" i="14"/>
  <c r="E42" i="14"/>
  <c r="F42" i="14"/>
  <c r="C36" i="14"/>
  <c r="E36" i="14"/>
  <c r="F36" i="14"/>
  <c r="E35" i="14"/>
  <c r="C35" i="14"/>
  <c r="C37" i="14"/>
  <c r="C30" i="14"/>
  <c r="C31" i="14"/>
  <c r="C32" i="14"/>
  <c r="C29" i="14"/>
  <c r="E29" i="14"/>
  <c r="F29" i="14"/>
  <c r="E28" i="14"/>
  <c r="F28" i="14"/>
  <c r="E27" i="14"/>
  <c r="F27" i="14"/>
  <c r="C24" i="14"/>
  <c r="E24" i="14"/>
  <c r="C23" i="14"/>
  <c r="E22" i="14"/>
  <c r="F22" i="14"/>
  <c r="C20" i="14"/>
  <c r="C21" i="14"/>
  <c r="E19" i="14"/>
  <c r="F19" i="14"/>
  <c r="E18" i="14"/>
  <c r="F18" i="14"/>
  <c r="C17" i="14"/>
  <c r="E17" i="14"/>
  <c r="F17" i="14"/>
  <c r="E16" i="14"/>
  <c r="F16" i="14"/>
  <c r="E15" i="14"/>
  <c r="F15" i="14"/>
  <c r="D23" i="13"/>
  <c r="E23" i="13"/>
  <c r="C23" i="13"/>
  <c r="E22" i="13"/>
  <c r="F22" i="13"/>
  <c r="D19" i="13"/>
  <c r="E19" i="13"/>
  <c r="C19" i="13"/>
  <c r="E18" i="13"/>
  <c r="F18" i="13"/>
  <c r="E17" i="13"/>
  <c r="F17" i="13"/>
  <c r="D14" i="13"/>
  <c r="C14" i="13"/>
  <c r="E13" i="13"/>
  <c r="F13" i="13"/>
  <c r="F12" i="13"/>
  <c r="E12" i="13"/>
  <c r="D99" i="12"/>
  <c r="C99" i="12"/>
  <c r="E98" i="12"/>
  <c r="F98" i="12"/>
  <c r="E97" i="12"/>
  <c r="F97" i="12"/>
  <c r="E96" i="12"/>
  <c r="F96" i="12"/>
  <c r="D92" i="12"/>
  <c r="E92" i="12"/>
  <c r="F92" i="12"/>
  <c r="C92" i="12"/>
  <c r="F91" i="12"/>
  <c r="E91" i="12"/>
  <c r="E90" i="12"/>
  <c r="F90" i="12"/>
  <c r="E89" i="12"/>
  <c r="F89" i="12"/>
  <c r="E88" i="12"/>
  <c r="F88" i="12"/>
  <c r="E87" i="12"/>
  <c r="F87" i="12"/>
  <c r="D84" i="12"/>
  <c r="E84" i="12"/>
  <c r="C84" i="12"/>
  <c r="E83" i="12"/>
  <c r="F83" i="12"/>
  <c r="E82" i="12"/>
  <c r="F82" i="12"/>
  <c r="E81" i="12"/>
  <c r="F81" i="12"/>
  <c r="E80" i="12"/>
  <c r="F80" i="12"/>
  <c r="E79" i="12"/>
  <c r="F79" i="12"/>
  <c r="D75" i="12"/>
  <c r="C75" i="12"/>
  <c r="E74" i="12"/>
  <c r="E73" i="12"/>
  <c r="E75" i="12"/>
  <c r="D70" i="12"/>
  <c r="E70" i="12"/>
  <c r="F70" i="12"/>
  <c r="C70" i="12"/>
  <c r="F69" i="12"/>
  <c r="E69" i="12"/>
  <c r="E68" i="12"/>
  <c r="F68" i="12"/>
  <c r="D65" i="12"/>
  <c r="E65" i="12"/>
  <c r="C65" i="12"/>
  <c r="E64" i="12"/>
  <c r="F64" i="12"/>
  <c r="E63" i="12"/>
  <c r="F63" i="12"/>
  <c r="D60" i="12"/>
  <c r="C60" i="12"/>
  <c r="E59" i="12"/>
  <c r="E58" i="12"/>
  <c r="E60" i="12"/>
  <c r="F60" i="12"/>
  <c r="F58" i="12"/>
  <c r="D55" i="12"/>
  <c r="E55" i="12"/>
  <c r="C55" i="12"/>
  <c r="F55" i="12"/>
  <c r="F54" i="12"/>
  <c r="E54" i="12"/>
  <c r="E53" i="12"/>
  <c r="F53" i="12"/>
  <c r="D50" i="12"/>
  <c r="C50" i="12"/>
  <c r="E50" i="12"/>
  <c r="E49" i="12"/>
  <c r="F49" i="12"/>
  <c r="E48" i="12"/>
  <c r="F48" i="12"/>
  <c r="D45" i="12"/>
  <c r="E45" i="12"/>
  <c r="C45" i="12"/>
  <c r="E44" i="12"/>
  <c r="F44" i="12"/>
  <c r="E43" i="12"/>
  <c r="F43" i="12"/>
  <c r="D37" i="12"/>
  <c r="E37" i="12"/>
  <c r="C37" i="12"/>
  <c r="F36" i="12"/>
  <c r="E36" i="12"/>
  <c r="F35" i="12"/>
  <c r="E35" i="12"/>
  <c r="E34" i="12"/>
  <c r="F34" i="12"/>
  <c r="E33" i="12"/>
  <c r="F33" i="12"/>
  <c r="D30" i="12"/>
  <c r="E30" i="12"/>
  <c r="C30" i="12"/>
  <c r="F29" i="12"/>
  <c r="E29" i="12"/>
  <c r="F28" i="12"/>
  <c r="E28" i="12"/>
  <c r="E27" i="12"/>
  <c r="F27" i="12"/>
  <c r="F26" i="12"/>
  <c r="E26" i="12"/>
  <c r="D23" i="12"/>
  <c r="E23" i="12"/>
  <c r="C23" i="12"/>
  <c r="E22" i="12"/>
  <c r="F22" i="12"/>
  <c r="E21" i="12"/>
  <c r="F21" i="12"/>
  <c r="E20" i="12"/>
  <c r="F20" i="12"/>
  <c r="E19" i="12"/>
  <c r="F19" i="12"/>
  <c r="D16" i="12"/>
  <c r="E16" i="12"/>
  <c r="C16" i="12"/>
  <c r="F16" i="12"/>
  <c r="E15" i="12"/>
  <c r="F15" i="12"/>
  <c r="E14" i="12"/>
  <c r="F14" i="12"/>
  <c r="E13" i="12"/>
  <c r="F13" i="12"/>
  <c r="E12" i="12"/>
  <c r="F12" i="12"/>
  <c r="I37" i="11"/>
  <c r="H37" i="11"/>
  <c r="G33" i="11"/>
  <c r="C33" i="11"/>
  <c r="C36" i="11"/>
  <c r="C38" i="11"/>
  <c r="C40" i="11"/>
  <c r="G31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I17" i="11"/>
  <c r="G17" i="11"/>
  <c r="F17" i="11"/>
  <c r="F31" i="11"/>
  <c r="H31" i="11"/>
  <c r="E17" i="11"/>
  <c r="D17" i="11"/>
  <c r="D31" i="11"/>
  <c r="C17" i="11"/>
  <c r="C31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D66" i="10"/>
  <c r="D65" i="10"/>
  <c r="C66" i="10"/>
  <c r="C65" i="10"/>
  <c r="E65" i="10"/>
  <c r="E60" i="10"/>
  <c r="D60" i="10"/>
  <c r="C60" i="10"/>
  <c r="E58" i="10"/>
  <c r="D58" i="10"/>
  <c r="C58" i="10"/>
  <c r="E55" i="10"/>
  <c r="D55" i="10"/>
  <c r="C55" i="10"/>
  <c r="C50" i="10"/>
  <c r="E54" i="10"/>
  <c r="D54" i="10"/>
  <c r="D50" i="10"/>
  <c r="C54" i="10"/>
  <c r="E50" i="10"/>
  <c r="E46" i="10"/>
  <c r="E48" i="10"/>
  <c r="E42" i="10"/>
  <c r="D46" i="10"/>
  <c r="D59" i="10"/>
  <c r="D61" i="10"/>
  <c r="D57" i="10"/>
  <c r="C46" i="10"/>
  <c r="C59" i="10"/>
  <c r="C61" i="10"/>
  <c r="C57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C15" i="10"/>
  <c r="C17" i="10"/>
  <c r="C28" i="10"/>
  <c r="C70" i="10"/>
  <c r="C72" i="10"/>
  <c r="E13" i="10"/>
  <c r="E15" i="10"/>
  <c r="D13" i="10"/>
  <c r="D25" i="10"/>
  <c r="D27" i="10"/>
  <c r="C13" i="10"/>
  <c r="C25" i="10"/>
  <c r="C27" i="10"/>
  <c r="D46" i="9"/>
  <c r="E46" i="9"/>
  <c r="F46" i="9"/>
  <c r="C46" i="9"/>
  <c r="F45" i="9"/>
  <c r="E45" i="9"/>
  <c r="E44" i="9"/>
  <c r="F44" i="9"/>
  <c r="D39" i="9"/>
  <c r="E39" i="9"/>
  <c r="F39" i="9"/>
  <c r="C39" i="9"/>
  <c r="F38" i="9"/>
  <c r="E38" i="9"/>
  <c r="E37" i="9"/>
  <c r="F37" i="9"/>
  <c r="E36" i="9"/>
  <c r="F36" i="9"/>
  <c r="D31" i="9"/>
  <c r="E31" i="9"/>
  <c r="C31" i="9"/>
  <c r="E30" i="9"/>
  <c r="F30" i="9"/>
  <c r="E29" i="9"/>
  <c r="F29" i="9"/>
  <c r="E28" i="9"/>
  <c r="F28" i="9"/>
  <c r="E27" i="9"/>
  <c r="F27" i="9"/>
  <c r="E26" i="9"/>
  <c r="F26" i="9"/>
  <c r="F25" i="9"/>
  <c r="E25" i="9"/>
  <c r="E24" i="9"/>
  <c r="F24" i="9"/>
  <c r="E23" i="9"/>
  <c r="F23" i="9"/>
  <c r="E22" i="9"/>
  <c r="F22" i="9"/>
  <c r="E18" i="9"/>
  <c r="F18" i="9"/>
  <c r="E17" i="9"/>
  <c r="F17" i="9"/>
  <c r="E16" i="9"/>
  <c r="D16" i="9"/>
  <c r="D19" i="9"/>
  <c r="D33" i="9"/>
  <c r="C16" i="9"/>
  <c r="E15" i="9"/>
  <c r="F15" i="9"/>
  <c r="E14" i="9"/>
  <c r="F14" i="9"/>
  <c r="E13" i="9"/>
  <c r="F13" i="9"/>
  <c r="E12" i="9"/>
  <c r="F12" i="9"/>
  <c r="D73" i="8"/>
  <c r="C73" i="8"/>
  <c r="E72" i="8"/>
  <c r="F72" i="8"/>
  <c r="E71" i="8"/>
  <c r="F71" i="8"/>
  <c r="E70" i="8"/>
  <c r="F70" i="8"/>
  <c r="E67" i="8"/>
  <c r="F67" i="8"/>
  <c r="E64" i="8"/>
  <c r="F64" i="8"/>
  <c r="E63" i="8"/>
  <c r="F63" i="8"/>
  <c r="D61" i="8"/>
  <c r="E61" i="8"/>
  <c r="C61" i="8"/>
  <c r="F61" i="8"/>
  <c r="C65" i="8"/>
  <c r="F60" i="8"/>
  <c r="E60" i="8"/>
  <c r="E59" i="8"/>
  <c r="F59" i="8"/>
  <c r="D56" i="8"/>
  <c r="C56" i="8"/>
  <c r="C75" i="8"/>
  <c r="E55" i="8"/>
  <c r="F55" i="8"/>
  <c r="F54" i="8"/>
  <c r="E54" i="8"/>
  <c r="E53" i="8"/>
  <c r="F53" i="8"/>
  <c r="F52" i="8"/>
  <c r="E52" i="8"/>
  <c r="E51" i="8"/>
  <c r="F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C38" i="8"/>
  <c r="E37" i="8"/>
  <c r="F37" i="8"/>
  <c r="E36" i="8"/>
  <c r="F36" i="8"/>
  <c r="E33" i="8"/>
  <c r="F33" i="8"/>
  <c r="E32" i="8"/>
  <c r="F32" i="8"/>
  <c r="F31" i="8"/>
  <c r="E31" i="8"/>
  <c r="D29" i="8"/>
  <c r="C29" i="8"/>
  <c r="F28" i="8"/>
  <c r="E28" i="8"/>
  <c r="E27" i="8"/>
  <c r="F27" i="8"/>
  <c r="E26" i="8"/>
  <c r="F26" i="8"/>
  <c r="E25" i="8"/>
  <c r="F25" i="8"/>
  <c r="D22" i="8"/>
  <c r="E22" i="8"/>
  <c r="C22" i="8"/>
  <c r="E21" i="8"/>
  <c r="F21" i="8"/>
  <c r="E20" i="8"/>
  <c r="F20" i="8"/>
  <c r="E19" i="8"/>
  <c r="F19" i="8"/>
  <c r="F18" i="8"/>
  <c r="E18" i="8"/>
  <c r="F17" i="8"/>
  <c r="E17" i="8"/>
  <c r="F16" i="8"/>
  <c r="E16" i="8"/>
  <c r="E15" i="8"/>
  <c r="F15" i="8"/>
  <c r="E14" i="8"/>
  <c r="F14" i="8"/>
  <c r="E13" i="8"/>
  <c r="F13" i="8"/>
  <c r="D120" i="7"/>
  <c r="C120" i="7"/>
  <c r="D119" i="7"/>
  <c r="E119" i="7"/>
  <c r="C119" i="7"/>
  <c r="D118" i="7"/>
  <c r="C118" i="7"/>
  <c r="D117" i="7"/>
  <c r="E117" i="7"/>
  <c r="C117" i="7"/>
  <c r="D116" i="7"/>
  <c r="C116" i="7"/>
  <c r="D115" i="7"/>
  <c r="E115" i="7"/>
  <c r="C115" i="7"/>
  <c r="F115" i="7"/>
  <c r="D114" i="7"/>
  <c r="C114" i="7"/>
  <c r="D113" i="7"/>
  <c r="E113" i="7"/>
  <c r="C113" i="7"/>
  <c r="C122" i="7"/>
  <c r="D112" i="7"/>
  <c r="D121" i="7"/>
  <c r="E121" i="7"/>
  <c r="C112" i="7"/>
  <c r="C121" i="7"/>
  <c r="D108" i="7"/>
  <c r="E108" i="7"/>
  <c r="C108" i="7"/>
  <c r="D107" i="7"/>
  <c r="C107" i="7"/>
  <c r="E106" i="7"/>
  <c r="F106" i="7"/>
  <c r="F105" i="7"/>
  <c r="E105" i="7"/>
  <c r="E104" i="7"/>
  <c r="F104" i="7"/>
  <c r="F103" i="7"/>
  <c r="E103" i="7"/>
  <c r="E102" i="7"/>
  <c r="F102" i="7"/>
  <c r="E101" i="7"/>
  <c r="F101" i="7"/>
  <c r="E100" i="7"/>
  <c r="F100" i="7"/>
  <c r="E99" i="7"/>
  <c r="F99" i="7"/>
  <c r="E98" i="7"/>
  <c r="F98" i="7"/>
  <c r="D96" i="7"/>
  <c r="C96" i="7"/>
  <c r="D95" i="7"/>
  <c r="C95" i="7"/>
  <c r="F94" i="7"/>
  <c r="E94" i="7"/>
  <c r="E93" i="7"/>
  <c r="F93" i="7"/>
  <c r="F92" i="7"/>
  <c r="E92" i="7"/>
  <c r="E91" i="7"/>
  <c r="F91" i="7"/>
  <c r="E90" i="7"/>
  <c r="F90" i="7"/>
  <c r="E89" i="7"/>
  <c r="F89" i="7"/>
  <c r="E88" i="7"/>
  <c r="F88" i="7"/>
  <c r="E87" i="7"/>
  <c r="F87" i="7"/>
  <c r="F86" i="7"/>
  <c r="E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2" i="7"/>
  <c r="D72" i="7"/>
  <c r="E72" i="7"/>
  <c r="C72" i="7"/>
  <c r="F71" i="7"/>
  <c r="D71" i="7"/>
  <c r="E71" i="7"/>
  <c r="C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E60" i="7"/>
  <c r="D59" i="7"/>
  <c r="E59" i="7"/>
  <c r="C59" i="7"/>
  <c r="F58" i="7"/>
  <c r="E58" i="7"/>
  <c r="F57" i="7"/>
  <c r="E57" i="7"/>
  <c r="E56" i="7"/>
  <c r="F56" i="7"/>
  <c r="F55" i="7"/>
  <c r="E55" i="7"/>
  <c r="E54" i="7"/>
  <c r="F54" i="7"/>
  <c r="E53" i="7"/>
  <c r="F53" i="7"/>
  <c r="E52" i="7"/>
  <c r="F52" i="7"/>
  <c r="E51" i="7"/>
  <c r="F51" i="7"/>
  <c r="E50" i="7"/>
  <c r="F50" i="7"/>
  <c r="D48" i="7"/>
  <c r="C48" i="7"/>
  <c r="F48" i="7"/>
  <c r="D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D35" i="7"/>
  <c r="E35" i="7"/>
  <c r="C35" i="7"/>
  <c r="E34" i="7"/>
  <c r="F34" i="7"/>
  <c r="E33" i="7"/>
  <c r="F33" i="7"/>
  <c r="E32" i="7"/>
  <c r="F32" i="7"/>
  <c r="F31" i="7"/>
  <c r="E31" i="7"/>
  <c r="E30" i="7"/>
  <c r="F30" i="7"/>
  <c r="F29" i="7"/>
  <c r="E29" i="7"/>
  <c r="E28" i="7"/>
  <c r="F28" i="7"/>
  <c r="E27" i="7"/>
  <c r="F27" i="7"/>
  <c r="E26" i="7"/>
  <c r="F26" i="7"/>
  <c r="D24" i="7"/>
  <c r="C24" i="7"/>
  <c r="E24" i="7"/>
  <c r="D23" i="7"/>
  <c r="C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/>
  <c r="C206" i="6"/>
  <c r="F206" i="6"/>
  <c r="D205" i="6"/>
  <c r="E205" i="6"/>
  <c r="C205" i="6"/>
  <c r="D204" i="6"/>
  <c r="C204" i="6"/>
  <c r="E204" i="6"/>
  <c r="D203" i="6"/>
  <c r="C203" i="6"/>
  <c r="D202" i="6"/>
  <c r="C202" i="6"/>
  <c r="E202" i="6"/>
  <c r="D201" i="6"/>
  <c r="E201" i="6"/>
  <c r="C201" i="6"/>
  <c r="D200" i="6"/>
  <c r="E200" i="6"/>
  <c r="C200" i="6"/>
  <c r="D199" i="6"/>
  <c r="E199" i="6"/>
  <c r="F199" i="6"/>
  <c r="D208" i="6"/>
  <c r="C199" i="6"/>
  <c r="C208" i="6"/>
  <c r="D198" i="6"/>
  <c r="D207" i="6"/>
  <c r="E207" i="6"/>
  <c r="C198" i="6"/>
  <c r="C207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/>
  <c r="F179" i="6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7" i="6"/>
  <c r="D167" i="6"/>
  <c r="E167" i="6"/>
  <c r="C167" i="6"/>
  <c r="F166" i="6"/>
  <c r="D166" i="6"/>
  <c r="E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/>
  <c r="D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1" i="6"/>
  <c r="D141" i="6"/>
  <c r="E141" i="6"/>
  <c r="C141" i="6"/>
  <c r="F140" i="6"/>
  <c r="D140" i="6"/>
  <c r="E140" i="6"/>
  <c r="C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D127" i="6"/>
  <c r="E127" i="6"/>
  <c r="F127" i="6"/>
  <c r="C127" i="6"/>
  <c r="F126" i="6"/>
  <c r="E126" i="6"/>
  <c r="E125" i="6"/>
  <c r="F125" i="6"/>
  <c r="F124" i="6"/>
  <c r="E124" i="6"/>
  <c r="E123" i="6"/>
  <c r="F123" i="6"/>
  <c r="F122" i="6"/>
  <c r="E122" i="6"/>
  <c r="E121" i="6"/>
  <c r="F121" i="6"/>
  <c r="F120" i="6"/>
  <c r="E120" i="6"/>
  <c r="E119" i="6"/>
  <c r="F119" i="6"/>
  <c r="F118" i="6"/>
  <c r="E118" i="6"/>
  <c r="F115" i="6"/>
  <c r="D115" i="6"/>
  <c r="E115" i="6"/>
  <c r="C115" i="6"/>
  <c r="F114" i="6"/>
  <c r="D114" i="6"/>
  <c r="E114" i="6"/>
  <c r="C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D102" i="6"/>
  <c r="C102" i="6"/>
  <c r="D101" i="6"/>
  <c r="C101" i="6"/>
  <c r="F100" i="6"/>
  <c r="E100" i="6"/>
  <c r="E99" i="6"/>
  <c r="F99" i="6"/>
  <c r="F98" i="6"/>
  <c r="E98" i="6"/>
  <c r="E97" i="6"/>
  <c r="F97" i="6"/>
  <c r="F96" i="6"/>
  <c r="E96" i="6"/>
  <c r="E95" i="6"/>
  <c r="F95" i="6"/>
  <c r="F94" i="6"/>
  <c r="E94" i="6"/>
  <c r="E93" i="6"/>
  <c r="F93" i="6"/>
  <c r="F92" i="6"/>
  <c r="E92" i="6"/>
  <c r="D89" i="6"/>
  <c r="E89" i="6"/>
  <c r="F89" i="6"/>
  <c r="C89" i="6"/>
  <c r="D88" i="6"/>
  <c r="E88" i="6"/>
  <c r="F88" i="6"/>
  <c r="C88" i="6"/>
  <c r="E87" i="6"/>
  <c r="F87" i="6"/>
  <c r="F86" i="6"/>
  <c r="E86" i="6"/>
  <c r="E85" i="6"/>
  <c r="F85" i="6"/>
  <c r="F84" i="6"/>
  <c r="E84" i="6"/>
  <c r="E83" i="6"/>
  <c r="F83" i="6"/>
  <c r="F82" i="6"/>
  <c r="E82" i="6"/>
  <c r="E81" i="6"/>
  <c r="F81" i="6"/>
  <c r="F80" i="6"/>
  <c r="E80" i="6"/>
  <c r="E79" i="6"/>
  <c r="F79" i="6"/>
  <c r="D76" i="6"/>
  <c r="C76" i="6"/>
  <c r="D75" i="6"/>
  <c r="C75" i="6"/>
  <c r="F74" i="6"/>
  <c r="E74" i="6"/>
  <c r="E73" i="6"/>
  <c r="F73" i="6"/>
  <c r="F72" i="6"/>
  <c r="E72" i="6"/>
  <c r="E71" i="6"/>
  <c r="F71" i="6"/>
  <c r="F70" i="6"/>
  <c r="E70" i="6"/>
  <c r="E69" i="6"/>
  <c r="F69" i="6"/>
  <c r="F68" i="6"/>
  <c r="E68" i="6"/>
  <c r="E67" i="6"/>
  <c r="F67" i="6"/>
  <c r="F66" i="6"/>
  <c r="E66" i="6"/>
  <c r="F63" i="6"/>
  <c r="D63" i="6"/>
  <c r="E63" i="6"/>
  <c r="C63" i="6"/>
  <c r="D62" i="6"/>
  <c r="E62" i="6"/>
  <c r="F62" i="6"/>
  <c r="C62" i="6"/>
  <c r="E61" i="6"/>
  <c r="F61" i="6"/>
  <c r="F60" i="6"/>
  <c r="E60" i="6"/>
  <c r="E59" i="6"/>
  <c r="F59" i="6"/>
  <c r="F58" i="6"/>
  <c r="E58" i="6"/>
  <c r="E57" i="6"/>
  <c r="F57" i="6"/>
  <c r="F56" i="6"/>
  <c r="E56" i="6"/>
  <c r="E55" i="6"/>
  <c r="F55" i="6"/>
  <c r="F54" i="6"/>
  <c r="E54" i="6"/>
  <c r="E53" i="6"/>
  <c r="F53" i="6"/>
  <c r="D50" i="6"/>
  <c r="C50" i="6"/>
  <c r="D49" i="6"/>
  <c r="C49" i="6"/>
  <c r="F48" i="6"/>
  <c r="E48" i="6"/>
  <c r="E47" i="6"/>
  <c r="F47" i="6"/>
  <c r="F46" i="6"/>
  <c r="E46" i="6"/>
  <c r="E45" i="6"/>
  <c r="F45" i="6"/>
  <c r="F44" i="6"/>
  <c r="E44" i="6"/>
  <c r="E43" i="6"/>
  <c r="F43" i="6"/>
  <c r="F42" i="6"/>
  <c r="E42" i="6"/>
  <c r="E41" i="6"/>
  <c r="F41" i="6"/>
  <c r="F40" i="6"/>
  <c r="E40" i="6"/>
  <c r="F37" i="6"/>
  <c r="D37" i="6"/>
  <c r="E37" i="6"/>
  <c r="C37" i="6"/>
  <c r="F36" i="6"/>
  <c r="D36" i="6"/>
  <c r="E36" i="6"/>
  <c r="C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E24" i="6"/>
  <c r="F24" i="6"/>
  <c r="C24" i="6"/>
  <c r="D23" i="6"/>
  <c r="E23" i="6"/>
  <c r="C23" i="6"/>
  <c r="F22" i="6"/>
  <c r="E22" i="6"/>
  <c r="E21" i="6"/>
  <c r="F21" i="6"/>
  <c r="F20" i="6"/>
  <c r="E20" i="6"/>
  <c r="E19" i="6"/>
  <c r="F19" i="6"/>
  <c r="F18" i="6"/>
  <c r="E18" i="6"/>
  <c r="E17" i="6"/>
  <c r="F17" i="6"/>
  <c r="F16" i="6"/>
  <c r="E16" i="6"/>
  <c r="E15" i="6"/>
  <c r="F15" i="6"/>
  <c r="F14" i="6"/>
  <c r="E14" i="6"/>
  <c r="E191" i="5"/>
  <c r="D191" i="5"/>
  <c r="C191" i="5"/>
  <c r="E176" i="5"/>
  <c r="D176" i="5"/>
  <c r="C176" i="5"/>
  <c r="E164" i="5"/>
  <c r="E160" i="5"/>
  <c r="E166" i="5"/>
  <c r="D164" i="5"/>
  <c r="D160" i="5"/>
  <c r="D166" i="5"/>
  <c r="C164" i="5"/>
  <c r="C160" i="5"/>
  <c r="E162" i="5"/>
  <c r="D162" i="5"/>
  <c r="C162" i="5"/>
  <c r="E161" i="5"/>
  <c r="D161" i="5"/>
  <c r="C161" i="5"/>
  <c r="E147" i="5"/>
  <c r="D147" i="5"/>
  <c r="D143" i="5"/>
  <c r="D149" i="5"/>
  <c r="C147" i="5"/>
  <c r="E145" i="5"/>
  <c r="D145" i="5"/>
  <c r="C145" i="5"/>
  <c r="E144" i="5"/>
  <c r="D144" i="5"/>
  <c r="C144" i="5"/>
  <c r="E143" i="5"/>
  <c r="E149" i="5"/>
  <c r="E137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D94" i="5"/>
  <c r="C95" i="5"/>
  <c r="C94" i="5"/>
  <c r="E89" i="5"/>
  <c r="D89" i="5"/>
  <c r="C89" i="5"/>
  <c r="E87" i="5"/>
  <c r="D87" i="5"/>
  <c r="C87" i="5"/>
  <c r="E84" i="5"/>
  <c r="E79" i="5"/>
  <c r="D84" i="5"/>
  <c r="C84" i="5"/>
  <c r="E83" i="5"/>
  <c r="D83" i="5"/>
  <c r="C83" i="5"/>
  <c r="C79" i="5"/>
  <c r="E75" i="5"/>
  <c r="E88" i="5"/>
  <c r="E90" i="5"/>
  <c r="E86" i="5"/>
  <c r="D75" i="5"/>
  <c r="D77" i="5"/>
  <c r="C75" i="5"/>
  <c r="C88" i="5"/>
  <c r="C90" i="5"/>
  <c r="C86" i="5"/>
  <c r="E74" i="5"/>
  <c r="D74" i="5"/>
  <c r="C74" i="5"/>
  <c r="E67" i="5"/>
  <c r="D67" i="5"/>
  <c r="C67" i="5"/>
  <c r="E38" i="5"/>
  <c r="E49" i="5"/>
  <c r="D38" i="5"/>
  <c r="C38" i="5"/>
  <c r="C53" i="5"/>
  <c r="E33" i="5"/>
  <c r="E34" i="5"/>
  <c r="D33" i="5"/>
  <c r="D34" i="5"/>
  <c r="E26" i="5"/>
  <c r="D26" i="5"/>
  <c r="C26" i="5"/>
  <c r="E13" i="5"/>
  <c r="E25" i="5"/>
  <c r="E27" i="5"/>
  <c r="E21" i="5"/>
  <c r="D13" i="5"/>
  <c r="D15" i="5"/>
  <c r="C13" i="5"/>
  <c r="C25" i="5"/>
  <c r="C27" i="5"/>
  <c r="E186" i="4"/>
  <c r="F186" i="4"/>
  <c r="D183" i="4"/>
  <c r="D188" i="4"/>
  <c r="C183" i="4"/>
  <c r="E182" i="4"/>
  <c r="F182" i="4"/>
  <c r="E181" i="4"/>
  <c r="F181" i="4"/>
  <c r="E180" i="4"/>
  <c r="F180" i="4"/>
  <c r="E179" i="4"/>
  <c r="F179" i="4"/>
  <c r="F178" i="4"/>
  <c r="E178" i="4"/>
  <c r="E177" i="4"/>
  <c r="F177" i="4"/>
  <c r="E176" i="4"/>
  <c r="F176" i="4"/>
  <c r="E175" i="4"/>
  <c r="F175" i="4"/>
  <c r="E174" i="4"/>
  <c r="F174" i="4"/>
  <c r="E173" i="4"/>
  <c r="F173" i="4"/>
  <c r="F172" i="4"/>
  <c r="E172" i="4"/>
  <c r="E171" i="4"/>
  <c r="F171" i="4"/>
  <c r="E170" i="4"/>
  <c r="F170" i="4"/>
  <c r="D167" i="4"/>
  <c r="E167" i="4"/>
  <c r="C167" i="4"/>
  <c r="C188" i="4"/>
  <c r="E166" i="4"/>
  <c r="F166" i="4"/>
  <c r="E165" i="4"/>
  <c r="F165" i="4"/>
  <c r="E164" i="4"/>
  <c r="F164" i="4"/>
  <c r="E163" i="4"/>
  <c r="F163" i="4"/>
  <c r="E162" i="4"/>
  <c r="F162" i="4"/>
  <c r="F161" i="4"/>
  <c r="E161" i="4"/>
  <c r="E160" i="4"/>
  <c r="F160" i="4"/>
  <c r="E159" i="4"/>
  <c r="F159" i="4"/>
  <c r="F158" i="4"/>
  <c r="E158" i="4"/>
  <c r="E157" i="4"/>
  <c r="F157" i="4"/>
  <c r="E156" i="4"/>
  <c r="F156" i="4"/>
  <c r="E155" i="4"/>
  <c r="F155" i="4"/>
  <c r="F154" i="4"/>
  <c r="E154" i="4"/>
  <c r="F153" i="4"/>
  <c r="E153" i="4"/>
  <c r="E152" i="4"/>
  <c r="F152" i="4"/>
  <c r="E151" i="4"/>
  <c r="F151" i="4"/>
  <c r="E150" i="4"/>
  <c r="F150" i="4"/>
  <c r="E149" i="4"/>
  <c r="F149" i="4"/>
  <c r="E148" i="4"/>
  <c r="F148" i="4"/>
  <c r="E147" i="4"/>
  <c r="F147" i="4"/>
  <c r="E146" i="4"/>
  <c r="F146" i="4"/>
  <c r="E145" i="4"/>
  <c r="F145" i="4"/>
  <c r="E144" i="4"/>
  <c r="F144" i="4"/>
  <c r="E143" i="4"/>
  <c r="F143" i="4"/>
  <c r="E142" i="4"/>
  <c r="F142" i="4"/>
  <c r="E141" i="4"/>
  <c r="F141" i="4"/>
  <c r="E140" i="4"/>
  <c r="F140" i="4"/>
  <c r="E139" i="4"/>
  <c r="F139" i="4"/>
  <c r="E138" i="4"/>
  <c r="F138" i="4"/>
  <c r="E137" i="4"/>
  <c r="F137" i="4"/>
  <c r="E136" i="4"/>
  <c r="F136" i="4"/>
  <c r="E135" i="4"/>
  <c r="F135" i="4"/>
  <c r="E134" i="4"/>
  <c r="F134" i="4"/>
  <c r="E133" i="4"/>
  <c r="F133" i="4"/>
  <c r="D130" i="4"/>
  <c r="E130" i="4"/>
  <c r="C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D121" i="4"/>
  <c r="E121" i="4"/>
  <c r="C121" i="4"/>
  <c r="E120" i="4"/>
  <c r="F120" i="4"/>
  <c r="E119" i="4"/>
  <c r="F119" i="4"/>
  <c r="E118" i="4"/>
  <c r="F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E111" i="4"/>
  <c r="F111" i="4"/>
  <c r="E110" i="4"/>
  <c r="F110" i="4"/>
  <c r="E109" i="4"/>
  <c r="F109" i="4"/>
  <c r="F108" i="4"/>
  <c r="E108" i="4"/>
  <c r="E107" i="4"/>
  <c r="F107" i="4"/>
  <c r="E106" i="4"/>
  <c r="F106" i="4"/>
  <c r="E105" i="4"/>
  <c r="F105" i="4"/>
  <c r="E104" i="4"/>
  <c r="F104" i="4"/>
  <c r="E103" i="4"/>
  <c r="F103" i="4"/>
  <c r="E93" i="4"/>
  <c r="F93" i="4"/>
  <c r="D90" i="4"/>
  <c r="E90" i="4"/>
  <c r="F90" i="4"/>
  <c r="C90" i="4"/>
  <c r="E89" i="4"/>
  <c r="F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C59" i="4"/>
  <c r="E58" i="4"/>
  <c r="F58" i="4"/>
  <c r="E57" i="4"/>
  <c r="F57" i="4"/>
  <c r="E56" i="4"/>
  <c r="F56" i="4"/>
  <c r="E55" i="4"/>
  <c r="F55" i="4"/>
  <c r="E54" i="4"/>
  <c r="F54" i="4"/>
  <c r="E53" i="4"/>
  <c r="F53" i="4"/>
  <c r="E50" i="4"/>
  <c r="F50" i="4"/>
  <c r="E47" i="4"/>
  <c r="F47" i="4"/>
  <c r="E44" i="4"/>
  <c r="F44" i="4"/>
  <c r="D41" i="4"/>
  <c r="C41" i="4"/>
  <c r="F40" i="4"/>
  <c r="E40" i="4"/>
  <c r="F39" i="4"/>
  <c r="E39" i="4"/>
  <c r="E38" i="4"/>
  <c r="F38" i="4"/>
  <c r="D35" i="4"/>
  <c r="E35" i="4"/>
  <c r="C35" i="4"/>
  <c r="F35" i="4"/>
  <c r="F34" i="4"/>
  <c r="E34" i="4"/>
  <c r="E33" i="4"/>
  <c r="F33" i="4"/>
  <c r="D30" i="4"/>
  <c r="C30" i="4"/>
  <c r="F29" i="4"/>
  <c r="E29" i="4"/>
  <c r="E28" i="4"/>
  <c r="F28" i="4"/>
  <c r="F27" i="4"/>
  <c r="E27" i="4"/>
  <c r="D24" i="4"/>
  <c r="E24" i="4"/>
  <c r="C24" i="4"/>
  <c r="F24" i="4"/>
  <c r="E23" i="4"/>
  <c r="F23" i="4"/>
  <c r="F22" i="4"/>
  <c r="E22" i="4"/>
  <c r="E21" i="4"/>
  <c r="F21" i="4"/>
  <c r="D18" i="4"/>
  <c r="E18" i="4"/>
  <c r="F18" i="4"/>
  <c r="C18" i="4"/>
  <c r="F17" i="4"/>
  <c r="E17" i="4"/>
  <c r="E16" i="4"/>
  <c r="F16" i="4"/>
  <c r="F15" i="4"/>
  <c r="E15" i="4"/>
  <c r="D179" i="3"/>
  <c r="E179" i="3"/>
  <c r="C179" i="3"/>
  <c r="F179" i="3"/>
  <c r="E178" i="3"/>
  <c r="F178" i="3"/>
  <c r="F177" i="3"/>
  <c r="E177" i="3"/>
  <c r="E176" i="3"/>
  <c r="F176" i="3"/>
  <c r="F175" i="3"/>
  <c r="E175" i="3"/>
  <c r="E174" i="3"/>
  <c r="F174" i="3"/>
  <c r="F173" i="3"/>
  <c r="E173" i="3"/>
  <c r="E172" i="3"/>
  <c r="F172" i="3"/>
  <c r="F171" i="3"/>
  <c r="E171" i="3"/>
  <c r="E170" i="3"/>
  <c r="F170" i="3"/>
  <c r="F169" i="3"/>
  <c r="E169" i="3"/>
  <c r="E168" i="3"/>
  <c r="F168" i="3"/>
  <c r="D166" i="3"/>
  <c r="E166" i="3"/>
  <c r="C166" i="3"/>
  <c r="F166" i="3"/>
  <c r="F165" i="3"/>
  <c r="E165" i="3"/>
  <c r="F164" i="3"/>
  <c r="E164" i="3"/>
  <c r="F163" i="3"/>
  <c r="E163" i="3"/>
  <c r="E162" i="3"/>
  <c r="F162" i="3"/>
  <c r="F161" i="3"/>
  <c r="E161" i="3"/>
  <c r="E160" i="3"/>
  <c r="F160" i="3"/>
  <c r="F159" i="3"/>
  <c r="E159" i="3"/>
  <c r="E158" i="3"/>
  <c r="F158" i="3"/>
  <c r="F157" i="3"/>
  <c r="E157" i="3"/>
  <c r="E156" i="3"/>
  <c r="F156" i="3"/>
  <c r="F155" i="3"/>
  <c r="E155" i="3"/>
  <c r="D153" i="3"/>
  <c r="E153" i="3"/>
  <c r="C153" i="3"/>
  <c r="F153" i="3"/>
  <c r="E152" i="3"/>
  <c r="F152" i="3"/>
  <c r="F151" i="3"/>
  <c r="E151" i="3"/>
  <c r="E150" i="3"/>
  <c r="F150" i="3"/>
  <c r="F149" i="3"/>
  <c r="E149" i="3"/>
  <c r="E148" i="3"/>
  <c r="F148" i="3"/>
  <c r="F147" i="3"/>
  <c r="E147" i="3"/>
  <c r="E146" i="3"/>
  <c r="F146" i="3"/>
  <c r="F145" i="3"/>
  <c r="E145" i="3"/>
  <c r="E144" i="3"/>
  <c r="F144" i="3"/>
  <c r="F143" i="3"/>
  <c r="E143" i="3"/>
  <c r="E142" i="3"/>
  <c r="F142" i="3"/>
  <c r="D137" i="3"/>
  <c r="E137" i="3"/>
  <c r="C137" i="3"/>
  <c r="F137" i="3"/>
  <c r="F136" i="3"/>
  <c r="E136" i="3"/>
  <c r="F135" i="3"/>
  <c r="E135" i="3"/>
  <c r="F134" i="3"/>
  <c r="E134" i="3"/>
  <c r="E133" i="3"/>
  <c r="F133" i="3"/>
  <c r="F132" i="3"/>
  <c r="E132" i="3"/>
  <c r="E131" i="3"/>
  <c r="F131" i="3"/>
  <c r="F130" i="3"/>
  <c r="E130" i="3"/>
  <c r="E129" i="3"/>
  <c r="F129" i="3"/>
  <c r="F128" i="3"/>
  <c r="E128" i="3"/>
  <c r="E127" i="3"/>
  <c r="F127" i="3"/>
  <c r="F126" i="3"/>
  <c r="E126" i="3"/>
  <c r="D124" i="3"/>
  <c r="E124" i="3"/>
  <c r="C124" i="3"/>
  <c r="F124" i="3"/>
  <c r="E123" i="3"/>
  <c r="F123" i="3"/>
  <c r="F122" i="3"/>
  <c r="E122" i="3"/>
  <c r="E121" i="3"/>
  <c r="F121" i="3"/>
  <c r="F120" i="3"/>
  <c r="E120" i="3"/>
  <c r="E119" i="3"/>
  <c r="F119" i="3"/>
  <c r="F118" i="3"/>
  <c r="E118" i="3"/>
  <c r="E117" i="3"/>
  <c r="F117" i="3"/>
  <c r="F116" i="3"/>
  <c r="E116" i="3"/>
  <c r="E115" i="3"/>
  <c r="F115" i="3"/>
  <c r="F114" i="3"/>
  <c r="E114" i="3"/>
  <c r="E113" i="3"/>
  <c r="F113" i="3"/>
  <c r="D111" i="3"/>
  <c r="E111" i="3"/>
  <c r="C111" i="3"/>
  <c r="F111" i="3"/>
  <c r="F110" i="3"/>
  <c r="E110" i="3"/>
  <c r="F109" i="3"/>
  <c r="E109" i="3"/>
  <c r="F108" i="3"/>
  <c r="E108" i="3"/>
  <c r="E107" i="3"/>
  <c r="F107" i="3"/>
  <c r="F106" i="3"/>
  <c r="E106" i="3"/>
  <c r="E105" i="3"/>
  <c r="F105" i="3"/>
  <c r="F104" i="3"/>
  <c r="E104" i="3"/>
  <c r="E103" i="3"/>
  <c r="F103" i="3"/>
  <c r="F102" i="3"/>
  <c r="E102" i="3"/>
  <c r="E101" i="3"/>
  <c r="F101" i="3"/>
  <c r="F100" i="3"/>
  <c r="E100" i="3"/>
  <c r="D94" i="3"/>
  <c r="E94" i="3"/>
  <c r="F94" i="3"/>
  <c r="C94" i="3"/>
  <c r="F93" i="3"/>
  <c r="D93" i="3"/>
  <c r="E93" i="3"/>
  <c r="C93" i="3"/>
  <c r="D92" i="3"/>
  <c r="E92" i="3"/>
  <c r="C92" i="3"/>
  <c r="F92" i="3"/>
  <c r="D91" i="3"/>
  <c r="E91" i="3"/>
  <c r="C91" i="3"/>
  <c r="F91" i="3"/>
  <c r="D90" i="3"/>
  <c r="E90" i="3"/>
  <c r="F90" i="3"/>
  <c r="C90" i="3"/>
  <c r="D89" i="3"/>
  <c r="E89" i="3"/>
  <c r="F89" i="3"/>
  <c r="C89" i="3"/>
  <c r="D88" i="3"/>
  <c r="E88" i="3"/>
  <c r="C88" i="3"/>
  <c r="F88" i="3"/>
  <c r="D87" i="3"/>
  <c r="E87" i="3"/>
  <c r="C87" i="3"/>
  <c r="F87" i="3"/>
  <c r="D86" i="3"/>
  <c r="C86" i="3"/>
  <c r="D85" i="3"/>
  <c r="E85" i="3"/>
  <c r="F85" i="3"/>
  <c r="C85" i="3"/>
  <c r="D84" i="3"/>
  <c r="D95" i="3"/>
  <c r="E95" i="3"/>
  <c r="F95" i="3"/>
  <c r="C84" i="3"/>
  <c r="C95" i="3"/>
  <c r="D81" i="3"/>
  <c r="E81" i="3"/>
  <c r="C81" i="3"/>
  <c r="F81" i="3"/>
  <c r="E80" i="3"/>
  <c r="F80" i="3"/>
  <c r="F79" i="3"/>
  <c r="E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E68" i="3"/>
  <c r="C68" i="3"/>
  <c r="F68" i="3"/>
  <c r="E67" i="3"/>
  <c r="F67" i="3"/>
  <c r="F66" i="3"/>
  <c r="E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D50" i="3"/>
  <c r="E50" i="3"/>
  <c r="C50" i="3"/>
  <c r="F50" i="3"/>
  <c r="D49" i="3"/>
  <c r="E49" i="3"/>
  <c r="C49" i="3"/>
  <c r="F49" i="3"/>
  <c r="D48" i="3"/>
  <c r="E48" i="3"/>
  <c r="C48" i="3"/>
  <c r="F48" i="3"/>
  <c r="D47" i="3"/>
  <c r="D52" i="3"/>
  <c r="C47" i="3"/>
  <c r="D46" i="3"/>
  <c r="C46" i="3"/>
  <c r="D45" i="3"/>
  <c r="E45" i="3"/>
  <c r="C45" i="3"/>
  <c r="D44" i="3"/>
  <c r="C44" i="3"/>
  <c r="D43" i="3"/>
  <c r="C43" i="3"/>
  <c r="D42" i="3"/>
  <c r="C42" i="3"/>
  <c r="D41" i="3"/>
  <c r="C41" i="3"/>
  <c r="D38" i="3"/>
  <c r="E38" i="3"/>
  <c r="F38" i="3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C25" i="3"/>
  <c r="F24" i="3"/>
  <c r="E24" i="3"/>
  <c r="F23" i="3"/>
  <c r="E23" i="3"/>
  <c r="F22" i="3"/>
  <c r="E22" i="3"/>
  <c r="E21" i="3"/>
  <c r="F21" i="3"/>
  <c r="F20" i="3"/>
  <c r="E20" i="3"/>
  <c r="E19" i="3"/>
  <c r="F19" i="3"/>
  <c r="F18" i="3"/>
  <c r="E18" i="3"/>
  <c r="E17" i="3"/>
  <c r="F17" i="3"/>
  <c r="F16" i="3"/>
  <c r="E16" i="3"/>
  <c r="E15" i="3"/>
  <c r="F15" i="3"/>
  <c r="F14" i="3"/>
  <c r="E14" i="3"/>
  <c r="E49" i="2"/>
  <c r="F49" i="2"/>
  <c r="D46" i="2"/>
  <c r="E46" i="2"/>
  <c r="F46" i="2"/>
  <c r="C46" i="2"/>
  <c r="F45" i="2"/>
  <c r="E45" i="2"/>
  <c r="F44" i="2"/>
  <c r="E44" i="2"/>
  <c r="D39" i="2"/>
  <c r="C39" i="2"/>
  <c r="F38" i="2"/>
  <c r="E38" i="2"/>
  <c r="E37" i="2"/>
  <c r="F37" i="2"/>
  <c r="F36" i="2"/>
  <c r="E36" i="2"/>
  <c r="D31" i="2"/>
  <c r="E31" i="2"/>
  <c r="F31" i="2"/>
  <c r="C31" i="2"/>
  <c r="E30" i="2"/>
  <c r="F30" i="2"/>
  <c r="F29" i="2"/>
  <c r="E29" i="2"/>
  <c r="E28" i="2"/>
  <c r="F28" i="2"/>
  <c r="F27" i="2"/>
  <c r="E27" i="2"/>
  <c r="E26" i="2"/>
  <c r="F26" i="2"/>
  <c r="F25" i="2"/>
  <c r="E25" i="2"/>
  <c r="E24" i="2"/>
  <c r="F24" i="2"/>
  <c r="F23" i="2"/>
  <c r="E23" i="2"/>
  <c r="E22" i="2"/>
  <c r="F22" i="2"/>
  <c r="F18" i="2"/>
  <c r="E18" i="2"/>
  <c r="F17" i="2"/>
  <c r="E17" i="2"/>
  <c r="D16" i="2"/>
  <c r="E16" i="2"/>
  <c r="F16" i="2"/>
  <c r="C16" i="2"/>
  <c r="C19" i="2"/>
  <c r="C33" i="2"/>
  <c r="F15" i="2"/>
  <c r="E15" i="2"/>
  <c r="F14" i="2"/>
  <c r="E14" i="2"/>
  <c r="F13" i="2"/>
  <c r="E13" i="2"/>
  <c r="F12" i="2"/>
  <c r="E12" i="2"/>
  <c r="D73" i="1"/>
  <c r="C73" i="1"/>
  <c r="F72" i="1"/>
  <c r="E72" i="1"/>
  <c r="E71" i="1"/>
  <c r="F71" i="1"/>
  <c r="F70" i="1"/>
  <c r="E70" i="1"/>
  <c r="F67" i="1"/>
  <c r="E67" i="1"/>
  <c r="F64" i="1"/>
  <c r="E64" i="1"/>
  <c r="F63" i="1"/>
  <c r="E63" i="1"/>
  <c r="D61" i="1"/>
  <c r="E61" i="1"/>
  <c r="F61" i="1"/>
  <c r="C61" i="1"/>
  <c r="C65" i="1"/>
  <c r="F60" i="1"/>
  <c r="E60" i="1"/>
  <c r="F59" i="1"/>
  <c r="E59" i="1"/>
  <c r="D56" i="1"/>
  <c r="C56" i="1"/>
  <c r="F55" i="1"/>
  <c r="E55" i="1"/>
  <c r="F54" i="1"/>
  <c r="E54" i="1"/>
  <c r="E53" i="1"/>
  <c r="F53" i="1"/>
  <c r="F52" i="1"/>
  <c r="E52" i="1"/>
  <c r="F51" i="1"/>
  <c r="E51" i="1"/>
  <c r="A51" i="1"/>
  <c r="A52" i="1"/>
  <c r="A53" i="1"/>
  <c r="A54" i="1"/>
  <c r="A55" i="1"/>
  <c r="E50" i="1"/>
  <c r="F50" i="1"/>
  <c r="A50" i="1"/>
  <c r="E49" i="1"/>
  <c r="F49" i="1"/>
  <c r="C41" i="1"/>
  <c r="F40" i="1"/>
  <c r="E40" i="1"/>
  <c r="D38" i="1"/>
  <c r="E38" i="1"/>
  <c r="F38" i="1"/>
  <c r="C38" i="1"/>
  <c r="F37" i="1"/>
  <c r="E37" i="1"/>
  <c r="F36" i="1"/>
  <c r="E36" i="1"/>
  <c r="F33" i="1"/>
  <c r="E33" i="1"/>
  <c r="F32" i="1"/>
  <c r="E32" i="1"/>
  <c r="F31" i="1"/>
  <c r="E31" i="1"/>
  <c r="D29" i="1"/>
  <c r="C29" i="1"/>
  <c r="F28" i="1"/>
  <c r="E28" i="1"/>
  <c r="E27" i="1"/>
  <c r="F27" i="1"/>
  <c r="F26" i="1"/>
  <c r="E26" i="1"/>
  <c r="E25" i="1"/>
  <c r="F25" i="1"/>
  <c r="D22" i="1"/>
  <c r="C22" i="1"/>
  <c r="C43" i="1"/>
  <c r="E21" i="1"/>
  <c r="F21" i="1"/>
  <c r="E20" i="1"/>
  <c r="F20" i="1"/>
  <c r="E19" i="1"/>
  <c r="F19" i="1"/>
  <c r="F18" i="1"/>
  <c r="E18" i="1"/>
  <c r="F17" i="1"/>
  <c r="E17" i="1"/>
  <c r="F16" i="1"/>
  <c r="E16" i="1"/>
  <c r="E15" i="1"/>
  <c r="F15" i="1"/>
  <c r="E14" i="1"/>
  <c r="F14" i="1"/>
  <c r="E13" i="1"/>
  <c r="F13" i="1"/>
  <c r="E146" i="14"/>
  <c r="D111" i="14"/>
  <c r="D199" i="14"/>
  <c r="D215" i="14"/>
  <c r="D255" i="14"/>
  <c r="E32" i="14"/>
  <c r="D205" i="14"/>
  <c r="D239" i="14"/>
  <c r="E157" i="5"/>
  <c r="E153" i="5"/>
  <c r="E156" i="5"/>
  <c r="E152" i="5"/>
  <c r="E154" i="5"/>
  <c r="E155" i="5"/>
  <c r="D24" i="5"/>
  <c r="D17" i="5"/>
  <c r="D139" i="5"/>
  <c r="D135" i="5"/>
  <c r="D138" i="5"/>
  <c r="D19" i="2"/>
  <c r="C95" i="4"/>
  <c r="E29" i="1"/>
  <c r="F29" i="1"/>
  <c r="E56" i="1"/>
  <c r="F56" i="1"/>
  <c r="E39" i="2"/>
  <c r="F39" i="2"/>
  <c r="E25" i="3"/>
  <c r="F25" i="3"/>
  <c r="E47" i="3"/>
  <c r="F47" i="3"/>
  <c r="E86" i="3"/>
  <c r="F86" i="3"/>
  <c r="E41" i="4"/>
  <c r="F41" i="4"/>
  <c r="E59" i="4"/>
  <c r="F59" i="4"/>
  <c r="E183" i="4"/>
  <c r="F183" i="4"/>
  <c r="E77" i="5"/>
  <c r="E71" i="5"/>
  <c r="E50" i="6"/>
  <c r="F50" i="6"/>
  <c r="E76" i="6"/>
  <c r="F76" i="6"/>
  <c r="E101" i="6"/>
  <c r="F101" i="6"/>
  <c r="E153" i="6"/>
  <c r="E203" i="6"/>
  <c r="F203" i="6"/>
  <c r="D53" i="5"/>
  <c r="D49" i="5"/>
  <c r="C138" i="5"/>
  <c r="C137" i="5"/>
  <c r="D156" i="5"/>
  <c r="D152" i="5"/>
  <c r="D155" i="5"/>
  <c r="D41" i="9"/>
  <c r="C139" i="14"/>
  <c r="E61" i="14"/>
  <c r="F61" i="14"/>
  <c r="E102" i="6"/>
  <c r="F102" i="6"/>
  <c r="E154" i="6"/>
  <c r="E198" i="6"/>
  <c r="F198" i="6"/>
  <c r="C49" i="5"/>
  <c r="C43" i="5"/>
  <c r="E140" i="5"/>
  <c r="E136" i="5"/>
  <c r="E139" i="5"/>
  <c r="E135" i="5"/>
  <c r="C166" i="5"/>
  <c r="C21" i="10"/>
  <c r="C22" i="10"/>
  <c r="D65" i="1"/>
  <c r="E65" i="1"/>
  <c r="D25" i="5"/>
  <c r="D27" i="5"/>
  <c r="D57" i="5"/>
  <c r="D62" i="5"/>
  <c r="D79" i="5"/>
  <c r="C139" i="5"/>
  <c r="E22" i="1"/>
  <c r="F22" i="1"/>
  <c r="E73" i="1"/>
  <c r="F73" i="1"/>
  <c r="E30" i="4"/>
  <c r="F30" i="4"/>
  <c r="E15" i="5"/>
  <c r="D43" i="5"/>
  <c r="C57" i="5"/>
  <c r="C62" i="5"/>
  <c r="D71" i="5"/>
  <c r="D88" i="5"/>
  <c r="D90" i="5"/>
  <c r="D86" i="5"/>
  <c r="D109" i="5"/>
  <c r="D106" i="5"/>
  <c r="C136" i="5"/>
  <c r="E138" i="5"/>
  <c r="D153" i="5"/>
  <c r="E49" i="6"/>
  <c r="F49" i="6"/>
  <c r="E75" i="6"/>
  <c r="F75" i="6"/>
  <c r="E128" i="6"/>
  <c r="F128" i="6"/>
  <c r="E180" i="6"/>
  <c r="E208" i="6"/>
  <c r="F208" i="6"/>
  <c r="F202" i="6"/>
  <c r="D41" i="8"/>
  <c r="E38" i="8"/>
  <c r="F33" i="11"/>
  <c r="H17" i="11"/>
  <c r="E20" i="14"/>
  <c r="F20" i="14"/>
  <c r="F31" i="14"/>
  <c r="E31" i="14"/>
  <c r="F37" i="14"/>
  <c r="E37" i="14"/>
  <c r="C68" i="14"/>
  <c r="E66" i="14"/>
  <c r="F66" i="14"/>
  <c r="E53" i="5"/>
  <c r="F200" i="6"/>
  <c r="F204" i="6"/>
  <c r="F23" i="7"/>
  <c r="F24" i="7"/>
  <c r="E47" i="7"/>
  <c r="E48" i="7"/>
  <c r="F59" i="7"/>
  <c r="E95" i="7"/>
  <c r="F95" i="7"/>
  <c r="E96" i="7"/>
  <c r="F96" i="7"/>
  <c r="E107" i="7"/>
  <c r="F107" i="7"/>
  <c r="E112" i="7"/>
  <c r="E114" i="7"/>
  <c r="E116" i="7"/>
  <c r="E118" i="7"/>
  <c r="F118" i="7"/>
  <c r="E120" i="7"/>
  <c r="D122" i="7"/>
  <c r="E122" i="7"/>
  <c r="F122" i="7"/>
  <c r="F74" i="12"/>
  <c r="F84" i="12"/>
  <c r="E14" i="13"/>
  <c r="F19" i="13"/>
  <c r="F44" i="14"/>
  <c r="F53" i="14"/>
  <c r="F38" i="8"/>
  <c r="C41" i="8"/>
  <c r="E41" i="8"/>
  <c r="F41" i="8"/>
  <c r="E24" i="10"/>
  <c r="E17" i="10"/>
  <c r="E28" i="10"/>
  <c r="E70" i="10"/>
  <c r="E72" i="10"/>
  <c r="E69" i="10"/>
  <c r="E31" i="11"/>
  <c r="E33" i="11"/>
  <c r="E36" i="11"/>
  <c r="E38" i="11"/>
  <c r="E40" i="11"/>
  <c r="E52" i="14"/>
  <c r="F52" i="14"/>
  <c r="D145" i="15"/>
  <c r="F201" i="6"/>
  <c r="F205" i="6"/>
  <c r="F60" i="7"/>
  <c r="F112" i="7"/>
  <c r="F114" i="7"/>
  <c r="F116" i="7"/>
  <c r="F120" i="7"/>
  <c r="E25" i="10"/>
  <c r="E27" i="10"/>
  <c r="D48" i="10"/>
  <c r="D42" i="10"/>
  <c r="F59" i="12"/>
  <c r="E99" i="12"/>
  <c r="F14" i="13"/>
  <c r="D21" i="10"/>
  <c r="F60" i="14"/>
  <c r="E60" i="14"/>
  <c r="F35" i="7"/>
  <c r="D43" i="8"/>
  <c r="F99" i="12"/>
  <c r="F24" i="14"/>
  <c r="G36" i="11"/>
  <c r="G38" i="11"/>
  <c r="G40" i="11"/>
  <c r="I33" i="11"/>
  <c r="I36" i="11"/>
  <c r="I38" i="11"/>
  <c r="I40" i="11"/>
  <c r="C126" i="14"/>
  <c r="E23" i="14"/>
  <c r="F23" i="14"/>
  <c r="C140" i="14"/>
  <c r="C62" i="14"/>
  <c r="F32" i="14"/>
  <c r="F207" i="6"/>
  <c r="F36" i="7"/>
  <c r="F108" i="7"/>
  <c r="F113" i="7"/>
  <c r="F117" i="7"/>
  <c r="F121" i="7"/>
  <c r="C43" i="8"/>
  <c r="F67" i="14"/>
  <c r="C181" i="14"/>
  <c r="E179" i="14"/>
  <c r="F179" i="14"/>
  <c r="C283" i="14"/>
  <c r="C287" i="14"/>
  <c r="C205" i="14"/>
  <c r="D22" i="15"/>
  <c r="D283" i="15"/>
  <c r="D289" i="15"/>
  <c r="E60" i="15"/>
  <c r="D320" i="15"/>
  <c r="E320" i="15"/>
  <c r="E316" i="15"/>
  <c r="D41" i="17"/>
  <c r="D109" i="19"/>
  <c r="D108" i="19"/>
  <c r="D90" i="14"/>
  <c r="D160" i="14"/>
  <c r="D104" i="14"/>
  <c r="D174" i="14"/>
  <c r="D254" i="14"/>
  <c r="D216" i="14"/>
  <c r="E76" i="14"/>
  <c r="F76" i="14"/>
  <c r="E88" i="14"/>
  <c r="F88" i="14"/>
  <c r="F101" i="14"/>
  <c r="C159" i="14"/>
  <c r="E189" i="14"/>
  <c r="E38" i="15"/>
  <c r="D71" i="15"/>
  <c r="E74" i="15"/>
  <c r="E215" i="15"/>
  <c r="C241" i="15"/>
  <c r="E276" i="15"/>
  <c r="E111" i="14"/>
  <c r="F111" i="14"/>
  <c r="E165" i="14"/>
  <c r="F165" i="14"/>
  <c r="C278" i="14"/>
  <c r="C279" i="14"/>
  <c r="C215" i="14"/>
  <c r="F189" i="14"/>
  <c r="F298" i="14"/>
  <c r="E298" i="14"/>
  <c r="F311" i="14"/>
  <c r="E311" i="14"/>
  <c r="E32" i="15"/>
  <c r="C71" i="15"/>
  <c r="C65" i="15"/>
  <c r="C66" i="15"/>
  <c r="C289" i="15"/>
  <c r="D76" i="15"/>
  <c r="E70" i="15"/>
  <c r="D163" i="15"/>
  <c r="D175" i="15"/>
  <c r="E175" i="15"/>
  <c r="E139" i="15"/>
  <c r="D253" i="15"/>
  <c r="E233" i="15"/>
  <c r="D175" i="14"/>
  <c r="D62" i="14"/>
  <c r="D105" i="14"/>
  <c r="F94" i="14"/>
  <c r="F135" i="14"/>
  <c r="E137" i="14"/>
  <c r="F137" i="14"/>
  <c r="F146" i="14"/>
  <c r="F158" i="14"/>
  <c r="C193" i="14"/>
  <c r="C266" i="14"/>
  <c r="F223" i="14"/>
  <c r="F238" i="14"/>
  <c r="E264" i="14"/>
  <c r="F264" i="14"/>
  <c r="F295" i="14"/>
  <c r="D55" i="15"/>
  <c r="C246" i="15"/>
  <c r="C261" i="15"/>
  <c r="C214" i="14"/>
  <c r="C190" i="14"/>
  <c r="C261" i="14"/>
  <c r="C254" i="14"/>
  <c r="E188" i="14"/>
  <c r="F188" i="14"/>
  <c r="C239" i="14"/>
  <c r="E237" i="14"/>
  <c r="F237" i="14"/>
  <c r="E294" i="14"/>
  <c r="F294" i="14"/>
  <c r="C33" i="15"/>
  <c r="C294" i="15"/>
  <c r="C144" i="15"/>
  <c r="E144" i="15"/>
  <c r="C163" i="15"/>
  <c r="D242" i="15"/>
  <c r="E242" i="15"/>
  <c r="E218" i="15"/>
  <c r="D217" i="15"/>
  <c r="D303" i="15"/>
  <c r="D207" i="14"/>
  <c r="D138" i="14"/>
  <c r="E138" i="14"/>
  <c r="F138" i="14"/>
  <c r="C77" i="14"/>
  <c r="E77" i="14"/>
  <c r="C89" i="14"/>
  <c r="C91" i="14"/>
  <c r="C192" i="14"/>
  <c r="C206" i="14"/>
  <c r="C255" i="14"/>
  <c r="C44" i="15"/>
  <c r="C76" i="15"/>
  <c r="E192" i="14"/>
  <c r="C43" i="15"/>
  <c r="C259" i="15"/>
  <c r="C263" i="15"/>
  <c r="C264" i="15"/>
  <c r="C266" i="15"/>
  <c r="C267" i="15"/>
  <c r="E37" i="15"/>
  <c r="C55" i="15"/>
  <c r="C284" i="15"/>
  <c r="E284" i="15"/>
  <c r="C283" i="15"/>
  <c r="D261" i="15"/>
  <c r="E261" i="15"/>
  <c r="E188" i="15"/>
  <c r="C245" i="15"/>
  <c r="E245" i="15"/>
  <c r="E221" i="15"/>
  <c r="E251" i="15"/>
  <c r="E265" i="15"/>
  <c r="C302" i="15"/>
  <c r="C303" i="15"/>
  <c r="E109" i="19"/>
  <c r="E108" i="19"/>
  <c r="E283" i="14"/>
  <c r="C304" i="14"/>
  <c r="C102" i="14"/>
  <c r="E136" i="14"/>
  <c r="F136" i="14"/>
  <c r="E170" i="14"/>
  <c r="F170" i="14"/>
  <c r="F180" i="14"/>
  <c r="E203" i="14"/>
  <c r="F203" i="14"/>
  <c r="E299" i="14"/>
  <c r="F299" i="14"/>
  <c r="E21" i="15"/>
  <c r="D65" i="15"/>
  <c r="D294" i="15"/>
  <c r="E294" i="15"/>
  <c r="D77" i="15"/>
  <c r="C77" i="15"/>
  <c r="E176" i="15"/>
  <c r="E219" i="15"/>
  <c r="E229" i="15"/>
  <c r="E262" i="15"/>
  <c r="F40" i="17"/>
  <c r="C199" i="14"/>
  <c r="C22" i="16"/>
  <c r="E25" i="17"/>
  <c r="F25" i="17"/>
  <c r="C39" i="17"/>
  <c r="E22" i="19"/>
  <c r="C33" i="19"/>
  <c r="D34" i="19"/>
  <c r="C53" i="19"/>
  <c r="D54" i="19"/>
  <c r="C101" i="19"/>
  <c r="C103" i="19"/>
  <c r="D102" i="19"/>
  <c r="C109" i="19"/>
  <c r="D193" i="14"/>
  <c r="D266" i="14"/>
  <c r="D267" i="14"/>
  <c r="D277" i="14"/>
  <c r="D285" i="14"/>
  <c r="E285" i="14"/>
  <c r="F285" i="14"/>
  <c r="D306" i="14"/>
  <c r="E306" i="14"/>
  <c r="E314" i="15"/>
  <c r="C49" i="16"/>
  <c r="E23" i="19"/>
  <c r="C110" i="19"/>
  <c r="D111" i="19"/>
  <c r="D124" i="14"/>
  <c r="E124" i="14"/>
  <c r="F124" i="14"/>
  <c r="D200" i="14"/>
  <c r="D206" i="14"/>
  <c r="D262" i="14"/>
  <c r="D274" i="14"/>
  <c r="D280" i="14"/>
  <c r="C29" i="19"/>
  <c r="D30" i="19"/>
  <c r="E33" i="19"/>
  <c r="C35" i="19"/>
  <c r="D36" i="19"/>
  <c r="C39" i="19"/>
  <c r="D40" i="19"/>
  <c r="E101" i="19"/>
  <c r="E103" i="19"/>
  <c r="D261" i="14"/>
  <c r="D21" i="14"/>
  <c r="D190" i="14"/>
  <c r="E190" i="14"/>
  <c r="D282" i="14"/>
  <c r="D288" i="14"/>
  <c r="C92" i="14"/>
  <c r="C265" i="14"/>
  <c r="D127" i="15"/>
  <c r="D123" i="15"/>
  <c r="D112" i="15"/>
  <c r="E77" i="15"/>
  <c r="D124" i="15"/>
  <c r="D113" i="15"/>
  <c r="D109" i="15"/>
  <c r="D121" i="15"/>
  <c r="D110" i="15"/>
  <c r="D122" i="15"/>
  <c r="D111" i="15"/>
  <c r="D125" i="15"/>
  <c r="D114" i="15"/>
  <c r="D126" i="15"/>
  <c r="D115" i="15"/>
  <c r="E102" i="14"/>
  <c r="F102" i="14"/>
  <c r="C103" i="14"/>
  <c r="C99" i="15"/>
  <c r="C95" i="15"/>
  <c r="C88" i="15"/>
  <c r="C84" i="15"/>
  <c r="C100" i="15"/>
  <c r="C96" i="15"/>
  <c r="C89" i="15"/>
  <c r="C85" i="15"/>
  <c r="C101" i="15"/>
  <c r="C258" i="15"/>
  <c r="C83" i="15"/>
  <c r="C97" i="15"/>
  <c r="C86" i="15"/>
  <c r="C98" i="15"/>
  <c r="C87" i="15"/>
  <c r="D208" i="14"/>
  <c r="E239" i="14"/>
  <c r="F239" i="14"/>
  <c r="E215" i="14"/>
  <c r="F215" i="14"/>
  <c r="E159" i="14"/>
  <c r="F159" i="14"/>
  <c r="F36" i="11"/>
  <c r="F38" i="11"/>
  <c r="F40" i="11"/>
  <c r="H33" i="11"/>
  <c r="H36" i="11"/>
  <c r="H38" i="11"/>
  <c r="H40" i="11"/>
  <c r="E24" i="5"/>
  <c r="E20" i="5"/>
  <c r="E17" i="5"/>
  <c r="D21" i="5"/>
  <c r="D20" i="5"/>
  <c r="C41" i="2"/>
  <c r="E302" i="15"/>
  <c r="D140" i="14"/>
  <c r="E76" i="15"/>
  <c r="E71" i="15"/>
  <c r="D125" i="14"/>
  <c r="C284" i="14"/>
  <c r="D272" i="14"/>
  <c r="E262" i="14"/>
  <c r="F262" i="14"/>
  <c r="D113" i="19"/>
  <c r="D56" i="19"/>
  <c r="D48" i="19"/>
  <c r="D38" i="19"/>
  <c r="D287" i="14"/>
  <c r="D279" i="14"/>
  <c r="E279" i="14"/>
  <c r="F279" i="14"/>
  <c r="D284" i="14"/>
  <c r="E277" i="14"/>
  <c r="F277" i="14"/>
  <c r="C126" i="15"/>
  <c r="C122" i="15"/>
  <c r="C115" i="15"/>
  <c r="C111" i="15"/>
  <c r="C127" i="15"/>
  <c r="C123" i="15"/>
  <c r="C112" i="15"/>
  <c r="C124" i="15"/>
  <c r="C113" i="15"/>
  <c r="C125" i="15"/>
  <c r="C114" i="15"/>
  <c r="C109" i="15"/>
  <c r="C121" i="15"/>
  <c r="C110" i="15"/>
  <c r="E89" i="14"/>
  <c r="F89" i="14"/>
  <c r="D306" i="15"/>
  <c r="C268" i="14"/>
  <c r="C271" i="14"/>
  <c r="C263" i="14"/>
  <c r="C194" i="14"/>
  <c r="D63" i="14"/>
  <c r="E62" i="14"/>
  <c r="F62" i="14"/>
  <c r="E254" i="14"/>
  <c r="D284" i="15"/>
  <c r="E22" i="15"/>
  <c r="C141" i="14"/>
  <c r="D139" i="14"/>
  <c r="E139" i="14"/>
  <c r="F139" i="14"/>
  <c r="C161" i="14"/>
  <c r="E43" i="8"/>
  <c r="E158" i="5"/>
  <c r="D268" i="14"/>
  <c r="E268" i="14"/>
  <c r="E261" i="14"/>
  <c r="F261" i="14"/>
  <c r="D271" i="14"/>
  <c r="D263" i="14"/>
  <c r="E263" i="14"/>
  <c r="F263" i="14"/>
  <c r="C112" i="19"/>
  <c r="C55" i="19"/>
  <c r="C47" i="19"/>
  <c r="C37" i="19"/>
  <c r="D270" i="14"/>
  <c r="E267" i="14"/>
  <c r="F267" i="14"/>
  <c r="D126" i="14"/>
  <c r="D91" i="14"/>
  <c r="D49" i="14"/>
  <c r="D161" i="14"/>
  <c r="E21" i="14"/>
  <c r="F21" i="14"/>
  <c r="C41" i="17"/>
  <c r="E54" i="19"/>
  <c r="E46" i="19"/>
  <c r="E40" i="19"/>
  <c r="E36" i="19"/>
  <c r="E30" i="19"/>
  <c r="E111" i="19"/>
  <c r="E199" i="14"/>
  <c r="F199" i="14"/>
  <c r="C216" i="14"/>
  <c r="E216" i="14"/>
  <c r="F216" i="14"/>
  <c r="E214" i="14"/>
  <c r="F214" i="14"/>
  <c r="C286" i="14"/>
  <c r="F283" i="14"/>
  <c r="C63" i="14"/>
  <c r="C127" i="14"/>
  <c r="E68" i="14"/>
  <c r="F68" i="14"/>
  <c r="E19" i="2"/>
  <c r="F19" i="2"/>
  <c r="D33" i="2"/>
  <c r="D28" i="5"/>
  <c r="D99" i="5"/>
  <c r="D101" i="5"/>
  <c r="D98" i="5"/>
  <c r="D112" i="5"/>
  <c r="D111" i="5"/>
  <c r="E163" i="15"/>
  <c r="E39" i="17"/>
  <c r="E41" i="17"/>
  <c r="F41" i="17"/>
  <c r="E283" i="15"/>
  <c r="F43" i="8"/>
  <c r="E33" i="15"/>
  <c r="C282" i="14"/>
  <c r="E141" i="5"/>
  <c r="E110" i="19"/>
  <c r="E53" i="19"/>
  <c r="E45" i="19"/>
  <c r="E39" i="19"/>
  <c r="E35" i="19"/>
  <c r="E29" i="19"/>
  <c r="F254" i="14"/>
  <c r="D281" i="14"/>
  <c r="E280" i="14"/>
  <c r="F280" i="14"/>
  <c r="D194" i="14"/>
  <c r="D196" i="14"/>
  <c r="E193" i="14"/>
  <c r="F193" i="14"/>
  <c r="D66" i="15"/>
  <c r="E65" i="15"/>
  <c r="E217" i="15"/>
  <c r="D241" i="15"/>
  <c r="E241" i="15"/>
  <c r="C145" i="15"/>
  <c r="E145" i="15"/>
  <c r="C168" i="15"/>
  <c r="D106" i="14"/>
  <c r="D176" i="14"/>
  <c r="E278" i="14"/>
  <c r="F278" i="14"/>
  <c r="C288" i="14"/>
  <c r="E205" i="14"/>
  <c r="F205" i="14"/>
  <c r="E181" i="14"/>
  <c r="F181" i="14"/>
  <c r="C155" i="5"/>
  <c r="C154" i="5"/>
  <c r="C156" i="5"/>
  <c r="C157" i="5"/>
  <c r="C152" i="5"/>
  <c r="C158" i="5"/>
  <c r="C153" i="5"/>
  <c r="D48" i="9"/>
  <c r="D300" i="14"/>
  <c r="E206" i="14"/>
  <c r="F206" i="14"/>
  <c r="D286" i="14"/>
  <c r="E286" i="14"/>
  <c r="F286" i="14"/>
  <c r="F192" i="14"/>
  <c r="F190" i="14"/>
  <c r="E55" i="15"/>
  <c r="E255" i="14"/>
  <c r="F255" i="14"/>
  <c r="E43" i="15"/>
  <c r="E289" i="15"/>
  <c r="D259" i="15"/>
  <c r="D75" i="1"/>
  <c r="D197" i="14"/>
  <c r="E259" i="15"/>
  <c r="C281" i="14"/>
  <c r="C148" i="14"/>
  <c r="D50" i="14"/>
  <c r="C322" i="14"/>
  <c r="E287" i="14"/>
  <c r="F287" i="14"/>
  <c r="D291" i="14"/>
  <c r="D289" i="14"/>
  <c r="E112" i="5"/>
  <c r="E111" i="5"/>
  <c r="E28" i="5"/>
  <c r="E109" i="15"/>
  <c r="F39" i="17"/>
  <c r="E282" i="14"/>
  <c r="F282" i="14"/>
  <c r="E115" i="15"/>
  <c r="E111" i="15"/>
  <c r="E112" i="15"/>
  <c r="E33" i="2"/>
  <c r="F33" i="2"/>
  <c r="D41" i="2"/>
  <c r="D310" i="15"/>
  <c r="E121" i="15"/>
  <c r="E288" i="14"/>
  <c r="F288" i="14"/>
  <c r="E63" i="14"/>
  <c r="D22" i="5"/>
  <c r="C102" i="15"/>
  <c r="C103" i="15"/>
  <c r="E125" i="15"/>
  <c r="E48" i="19"/>
  <c r="E38" i="19"/>
  <c r="E113" i="19"/>
  <c r="E56" i="19"/>
  <c r="D162" i="14"/>
  <c r="E161" i="14"/>
  <c r="F161" i="14"/>
  <c r="D127" i="14"/>
  <c r="E126" i="14"/>
  <c r="F126" i="14"/>
  <c r="D304" i="14"/>
  <c r="D273" i="14"/>
  <c r="E271" i="14"/>
  <c r="F271" i="14"/>
  <c r="C162" i="14"/>
  <c r="C48" i="2"/>
  <c r="D116" i="15"/>
  <c r="E110" i="15"/>
  <c r="E281" i="14"/>
  <c r="F63" i="14"/>
  <c r="E284" i="14"/>
  <c r="F284" i="14"/>
  <c r="E114" i="15"/>
  <c r="E124" i="15"/>
  <c r="E127" i="15"/>
  <c r="C291" i="14"/>
  <c r="C169" i="15"/>
  <c r="D295" i="15"/>
  <c r="E194" i="14"/>
  <c r="D195" i="14"/>
  <c r="E47" i="19"/>
  <c r="E37" i="19"/>
  <c r="E112" i="19"/>
  <c r="E55" i="19"/>
  <c r="D92" i="14"/>
  <c r="E91" i="14"/>
  <c r="F91" i="14"/>
  <c r="F194" i="14"/>
  <c r="C196" i="14"/>
  <c r="D141" i="14"/>
  <c r="E140" i="14"/>
  <c r="F140" i="14"/>
  <c r="D209" i="14"/>
  <c r="D210" i="14"/>
  <c r="E103" i="14"/>
  <c r="F103" i="14"/>
  <c r="C104" i="14"/>
  <c r="C105" i="14"/>
  <c r="D128" i="15"/>
  <c r="D129" i="15"/>
  <c r="E122" i="15"/>
  <c r="F268" i="14"/>
  <c r="C116" i="15"/>
  <c r="C117" i="15"/>
  <c r="C128" i="15"/>
  <c r="C129" i="15"/>
  <c r="C90" i="15"/>
  <c r="C91" i="15"/>
  <c r="C105" i="15"/>
  <c r="E126" i="15"/>
  <c r="E113" i="15"/>
  <c r="E123" i="15"/>
  <c r="C289" i="14"/>
  <c r="C131" i="15"/>
  <c r="E116" i="15"/>
  <c r="D117" i="15"/>
  <c r="E289" i="14"/>
  <c r="F289" i="14"/>
  <c r="C197" i="14"/>
  <c r="D324" i="14"/>
  <c r="D113" i="14"/>
  <c r="E92" i="14"/>
  <c r="F92" i="14"/>
  <c r="C305" i="14"/>
  <c r="E304" i="14"/>
  <c r="F304" i="14"/>
  <c r="D183" i="14"/>
  <c r="D323" i="14"/>
  <c r="E162" i="14"/>
  <c r="F162" i="14"/>
  <c r="E41" i="2"/>
  <c r="F41" i="2"/>
  <c r="D48" i="2"/>
  <c r="E48" i="2"/>
  <c r="F48" i="2"/>
  <c r="E104" i="14"/>
  <c r="F104" i="14"/>
  <c r="C106" i="14"/>
  <c r="E105" i="14"/>
  <c r="F105" i="14"/>
  <c r="D322" i="14"/>
  <c r="E322" i="14"/>
  <c r="F322" i="14"/>
  <c r="E141" i="14"/>
  <c r="F141" i="14"/>
  <c r="E99" i="5"/>
  <c r="E101" i="5"/>
  <c r="E98" i="5"/>
  <c r="E22" i="5"/>
  <c r="E197" i="14"/>
  <c r="D211" i="14"/>
  <c r="D148" i="14"/>
  <c r="E148" i="14"/>
  <c r="F148" i="14"/>
  <c r="E127" i="14"/>
  <c r="F127" i="14"/>
  <c r="E291" i="14"/>
  <c r="F291" i="14"/>
  <c r="D305" i="14"/>
  <c r="D70" i="14"/>
  <c r="E128" i="15"/>
  <c r="F281" i="14"/>
  <c r="E196" i="14"/>
  <c r="F196" i="14"/>
  <c r="C309" i="14"/>
  <c r="F197" i="14"/>
  <c r="F106" i="14"/>
  <c r="E106" i="14"/>
  <c r="C113" i="14"/>
  <c r="C324" i="14"/>
  <c r="E324" i="14"/>
  <c r="D325" i="14"/>
  <c r="E117" i="15"/>
  <c r="E113" i="14"/>
  <c r="D309" i="14"/>
  <c r="E309" i="14"/>
  <c r="F309" i="14"/>
  <c r="E305" i="14"/>
  <c r="F305" i="14"/>
  <c r="C310" i="14"/>
  <c r="F113" i="14"/>
  <c r="D310" i="14"/>
  <c r="D312" i="14"/>
  <c r="F324" i="14"/>
  <c r="C312" i="14"/>
  <c r="E310" i="14"/>
  <c r="F310" i="14"/>
  <c r="C313" i="14"/>
  <c r="C314" i="14"/>
  <c r="C251" i="14"/>
  <c r="C256" i="14"/>
  <c r="C257" i="14"/>
  <c r="D313" i="14"/>
  <c r="E312" i="14"/>
  <c r="F312" i="14"/>
  <c r="D131" i="15"/>
  <c r="E131" i="15"/>
  <c r="E129" i="15"/>
  <c r="C268" i="15"/>
  <c r="C271" i="15"/>
  <c r="C269" i="15"/>
  <c r="C295" i="15"/>
  <c r="E295" i="15"/>
  <c r="E266" i="14"/>
  <c r="F266" i="14"/>
  <c r="D265" i="14"/>
  <c r="E265" i="14"/>
  <c r="F265" i="14"/>
  <c r="C306" i="15"/>
  <c r="E303" i="15"/>
  <c r="C247" i="15"/>
  <c r="E66" i="15"/>
  <c r="E22" i="10"/>
  <c r="E21" i="10"/>
  <c r="E20" i="10"/>
  <c r="C315" i="14"/>
  <c r="C318" i="14"/>
  <c r="C75" i="1"/>
  <c r="F65" i="1"/>
  <c r="F121" i="4"/>
  <c r="E188" i="4"/>
  <c r="F188" i="4"/>
  <c r="C21" i="5"/>
  <c r="F41" i="3"/>
  <c r="F43" i="3"/>
  <c r="F45" i="3"/>
  <c r="F84" i="3"/>
  <c r="F130" i="4"/>
  <c r="D41" i="1"/>
  <c r="E41" i="3"/>
  <c r="E42" i="3"/>
  <c r="F42" i="3"/>
  <c r="E43" i="3"/>
  <c r="E44" i="3"/>
  <c r="F44" i="3"/>
  <c r="E46" i="3"/>
  <c r="F46" i="3"/>
  <c r="E51" i="3"/>
  <c r="F51" i="3"/>
  <c r="E84" i="3"/>
  <c r="D95" i="4"/>
  <c r="E95" i="4"/>
  <c r="F95" i="4"/>
  <c r="C15" i="5"/>
  <c r="E57" i="5"/>
  <c r="E62" i="5"/>
  <c r="E43" i="5"/>
  <c r="C77" i="5"/>
  <c r="C71" i="5"/>
  <c r="C135" i="5"/>
  <c r="C140" i="5"/>
  <c r="F23" i="6"/>
  <c r="F119" i="7"/>
  <c r="F22" i="8"/>
  <c r="C52" i="3"/>
  <c r="F167" i="4"/>
  <c r="D136" i="5"/>
  <c r="D140" i="5"/>
  <c r="D137" i="5"/>
  <c r="D157" i="5"/>
  <c r="D154" i="5"/>
  <c r="F56" i="8"/>
  <c r="E29" i="8"/>
  <c r="F29" i="8"/>
  <c r="E56" i="8"/>
  <c r="E19" i="9"/>
  <c r="C69" i="10"/>
  <c r="F75" i="12"/>
  <c r="D65" i="8"/>
  <c r="E65" i="8"/>
  <c r="F65" i="8"/>
  <c r="E73" i="8"/>
  <c r="F73" i="8"/>
  <c r="F16" i="9"/>
  <c r="C19" i="9"/>
  <c r="F31" i="9"/>
  <c r="I31" i="11"/>
  <c r="F23" i="12"/>
  <c r="F30" i="12"/>
  <c r="F37" i="12"/>
  <c r="F45" i="12"/>
  <c r="F65" i="12"/>
  <c r="F23" i="13"/>
  <c r="C24" i="10"/>
  <c r="C20" i="10"/>
  <c r="D15" i="10"/>
  <c r="C48" i="10"/>
  <c r="C42" i="10"/>
  <c r="E59" i="10"/>
  <c r="E61" i="10"/>
  <c r="E57" i="10"/>
  <c r="D33" i="11"/>
  <c r="D36" i="11"/>
  <c r="D38" i="11"/>
  <c r="D40" i="11"/>
  <c r="F50" i="12"/>
  <c r="F73" i="12"/>
  <c r="E30" i="14"/>
  <c r="F30" i="14"/>
  <c r="F35" i="14"/>
  <c r="F47" i="14"/>
  <c r="C48" i="14"/>
  <c r="E100" i="14"/>
  <c r="F100" i="14"/>
  <c r="F110" i="14"/>
  <c r="F120" i="14"/>
  <c r="E130" i="14"/>
  <c r="F130" i="14"/>
  <c r="E164" i="14"/>
  <c r="F164" i="14"/>
  <c r="C172" i="14"/>
  <c r="F171" i="14"/>
  <c r="E191" i="14"/>
  <c r="F191" i="14"/>
  <c r="C290" i="14"/>
  <c r="F198" i="14"/>
  <c r="C200" i="14"/>
  <c r="C269" i="14"/>
  <c r="C227" i="14"/>
  <c r="F226" i="14"/>
  <c r="F230" i="14"/>
  <c r="E250" i="14"/>
  <c r="F250" i="14"/>
  <c r="C274" i="14"/>
  <c r="E274" i="14"/>
  <c r="E189" i="15"/>
  <c r="E243" i="15"/>
  <c r="E244" i="15"/>
  <c r="D252" i="15"/>
  <c r="F43" i="17"/>
  <c r="E46" i="17"/>
  <c r="E144" i="14"/>
  <c r="F144" i="14"/>
  <c r="E204" i="14"/>
  <c r="F204" i="14"/>
  <c r="F296" i="14"/>
  <c r="F46" i="17"/>
  <c r="D44" i="15"/>
  <c r="D156" i="15"/>
  <c r="D260" i="15"/>
  <c r="D210" i="15"/>
  <c r="E205" i="15"/>
  <c r="C210" i="15"/>
  <c r="E216" i="15"/>
  <c r="D222" i="15"/>
  <c r="E220" i="15"/>
  <c r="C240" i="15"/>
  <c r="F19" i="17"/>
  <c r="C34" i="19"/>
  <c r="D101" i="19"/>
  <c r="D103" i="19"/>
  <c r="D326" i="15"/>
  <c r="D20" i="17"/>
  <c r="E20" i="17"/>
  <c r="F20" i="17"/>
  <c r="E36" i="17"/>
  <c r="F36" i="17"/>
  <c r="C23" i="19"/>
  <c r="D33" i="19"/>
  <c r="D22" i="19"/>
  <c r="D330" i="15"/>
  <c r="E330" i="15"/>
  <c r="E326" i="15"/>
  <c r="C253" i="15"/>
  <c r="E253" i="15"/>
  <c r="C252" i="15"/>
  <c r="C254" i="15"/>
  <c r="E240" i="15"/>
  <c r="C234" i="15"/>
  <c r="C180" i="15"/>
  <c r="C211" i="15"/>
  <c r="D53" i="19"/>
  <c r="D110" i="19"/>
  <c r="D35" i="19"/>
  <c r="D45" i="19"/>
  <c r="D29" i="19"/>
  <c r="D39" i="19"/>
  <c r="C46" i="19"/>
  <c r="C36" i="19"/>
  <c r="C111" i="19"/>
  <c r="C40" i="19"/>
  <c r="C30" i="19"/>
  <c r="C54" i="19"/>
  <c r="D263" i="15"/>
  <c r="E263" i="15"/>
  <c r="E260" i="15"/>
  <c r="D95" i="15"/>
  <c r="D96" i="15"/>
  <c r="D85" i="15"/>
  <c r="E85" i="15"/>
  <c r="D97" i="15"/>
  <c r="E97" i="15"/>
  <c r="D83" i="15"/>
  <c r="D258" i="15"/>
  <c r="D99" i="15"/>
  <c r="E99" i="15"/>
  <c r="D98" i="15"/>
  <c r="E98" i="15"/>
  <c r="D84" i="15"/>
  <c r="D100" i="15"/>
  <c r="E100" i="15"/>
  <c r="D89" i="15"/>
  <c r="E89" i="15"/>
  <c r="D101" i="15"/>
  <c r="E101" i="15"/>
  <c r="D86" i="15"/>
  <c r="E86" i="15"/>
  <c r="D88" i="15"/>
  <c r="E88" i="15"/>
  <c r="D87" i="15"/>
  <c r="E87" i="15"/>
  <c r="E44" i="15"/>
  <c r="F200" i="14"/>
  <c r="E200" i="14"/>
  <c r="E290" i="14"/>
  <c r="F290" i="14"/>
  <c r="F48" i="14"/>
  <c r="C125" i="14"/>
  <c r="C195" i="14"/>
  <c r="E48" i="14"/>
  <c r="C160" i="14"/>
  <c r="C90" i="14"/>
  <c r="C33" i="9"/>
  <c r="F19" i="9"/>
  <c r="D158" i="5"/>
  <c r="D141" i="5"/>
  <c r="D75" i="8"/>
  <c r="E75" i="8"/>
  <c r="F75" i="8"/>
  <c r="C141" i="5"/>
  <c r="C24" i="5"/>
  <c r="C20" i="5"/>
  <c r="C17" i="5"/>
  <c r="E52" i="3"/>
  <c r="F52" i="3"/>
  <c r="C310" i="15"/>
  <c r="E310" i="15"/>
  <c r="E306" i="15"/>
  <c r="E222" i="15"/>
  <c r="D246" i="15"/>
  <c r="E246" i="15"/>
  <c r="D223" i="15"/>
  <c r="E210" i="15"/>
  <c r="D180" i="15"/>
  <c r="E180" i="15"/>
  <c r="D234" i="15"/>
  <c r="E234" i="15"/>
  <c r="D211" i="15"/>
  <c r="D157" i="15"/>
  <c r="D168" i="15"/>
  <c r="E168" i="15"/>
  <c r="E156" i="15"/>
  <c r="D254" i="15"/>
  <c r="E254" i="15"/>
  <c r="E252" i="15"/>
  <c r="C300" i="14"/>
  <c r="F274" i="14"/>
  <c r="F227" i="14"/>
  <c r="E227" i="14"/>
  <c r="C272" i="14"/>
  <c r="E269" i="14"/>
  <c r="F269" i="14"/>
  <c r="E172" i="14"/>
  <c r="C207" i="14"/>
  <c r="C173" i="14"/>
  <c r="F172" i="14"/>
  <c r="D24" i="10"/>
  <c r="D20" i="10"/>
  <c r="D17" i="10"/>
  <c r="D28" i="10"/>
  <c r="C270" i="14"/>
  <c r="C49" i="14"/>
  <c r="E41" i="1"/>
  <c r="F41" i="1"/>
  <c r="D43" i="1"/>
  <c r="E43" i="1"/>
  <c r="F43" i="1"/>
  <c r="E75" i="1"/>
  <c r="F75" i="1"/>
  <c r="D315" i="14"/>
  <c r="E315" i="14"/>
  <c r="F315" i="14"/>
  <c r="D314" i="14"/>
  <c r="D251" i="14"/>
  <c r="E251" i="14"/>
  <c r="F251" i="14"/>
  <c r="D256" i="14"/>
  <c r="E313" i="14"/>
  <c r="F313" i="14"/>
  <c r="D257" i="14"/>
  <c r="E257" i="14"/>
  <c r="F257" i="14"/>
  <c r="E256" i="14"/>
  <c r="F256" i="14"/>
  <c r="D318" i="14"/>
  <c r="E318" i="14"/>
  <c r="F318" i="14"/>
  <c r="E314" i="14"/>
  <c r="F314" i="14"/>
  <c r="E49" i="14"/>
  <c r="C50" i="14"/>
  <c r="F49" i="14"/>
  <c r="D70" i="10"/>
  <c r="D72" i="10"/>
  <c r="D69" i="10"/>
  <c r="D22" i="10"/>
  <c r="E207" i="14"/>
  <c r="F207" i="14"/>
  <c r="C208" i="14"/>
  <c r="C273" i="14"/>
  <c r="E272" i="14"/>
  <c r="F272" i="14"/>
  <c r="E300" i="14"/>
  <c r="F300" i="14"/>
  <c r="D235" i="15"/>
  <c r="E211" i="15"/>
  <c r="D181" i="15"/>
  <c r="D247" i="15"/>
  <c r="E247" i="15"/>
  <c r="E223" i="15"/>
  <c r="E90" i="14"/>
  <c r="F90" i="14"/>
  <c r="F125" i="14"/>
  <c r="E125" i="14"/>
  <c r="E258" i="15"/>
  <c r="D264" i="15"/>
  <c r="E96" i="15"/>
  <c r="D102" i="15"/>
  <c r="E102" i="15"/>
  <c r="C56" i="19"/>
  <c r="C38" i="19"/>
  <c r="C48" i="19"/>
  <c r="C113" i="19"/>
  <c r="D47" i="19"/>
  <c r="D112" i="19"/>
  <c r="D37" i="19"/>
  <c r="D55" i="19"/>
  <c r="E270" i="14"/>
  <c r="F270" i="14"/>
  <c r="E173" i="14"/>
  <c r="C174" i="14"/>
  <c r="C175" i="14"/>
  <c r="F173" i="14"/>
  <c r="D169" i="15"/>
  <c r="E169" i="15"/>
  <c r="E157" i="15"/>
  <c r="C28" i="5"/>
  <c r="C112" i="5"/>
  <c r="C111" i="5"/>
  <c r="E33" i="9"/>
  <c r="C41" i="9"/>
  <c r="F33" i="9"/>
  <c r="E160" i="14"/>
  <c r="F160" i="14"/>
  <c r="F195" i="14"/>
  <c r="E195" i="14"/>
  <c r="D90" i="15"/>
  <c r="E90" i="15"/>
  <c r="E84" i="15"/>
  <c r="E83" i="15"/>
  <c r="E95" i="15"/>
  <c r="D103" i="15"/>
  <c r="E103" i="15"/>
  <c r="C235" i="15"/>
  <c r="C181" i="15"/>
  <c r="E41" i="9"/>
  <c r="C48" i="9"/>
  <c r="F41" i="9"/>
  <c r="D91" i="15"/>
  <c r="C99" i="5"/>
  <c r="C101" i="5"/>
  <c r="C98" i="5"/>
  <c r="C22" i="5"/>
  <c r="E175" i="14"/>
  <c r="C176" i="14"/>
  <c r="F175" i="14"/>
  <c r="E264" i="15"/>
  <c r="D266" i="15"/>
  <c r="E181" i="15"/>
  <c r="E235" i="15"/>
  <c r="C210" i="14"/>
  <c r="E208" i="14"/>
  <c r="C209" i="14"/>
  <c r="F208" i="14"/>
  <c r="C70" i="14"/>
  <c r="E50" i="14"/>
  <c r="F50" i="14"/>
  <c r="F174" i="14"/>
  <c r="E174" i="14"/>
  <c r="F273" i="14"/>
  <c r="E273" i="14"/>
  <c r="F209" i="14"/>
  <c r="E209" i="14"/>
  <c r="E210" i="14"/>
  <c r="F210" i="14"/>
  <c r="C323" i="14"/>
  <c r="E176" i="14"/>
  <c r="C211" i="14"/>
  <c r="F176" i="14"/>
  <c r="C183" i="14"/>
  <c r="E91" i="15"/>
  <c r="D105" i="15"/>
  <c r="E105" i="15"/>
  <c r="E48" i="9"/>
  <c r="F48" i="9"/>
  <c r="E70" i="14"/>
  <c r="F70" i="14"/>
  <c r="E266" i="15"/>
  <c r="D267" i="15"/>
  <c r="D269" i="15"/>
  <c r="E269" i="15"/>
  <c r="E267" i="15"/>
  <c r="D268" i="15"/>
  <c r="E183" i="14"/>
  <c r="F183" i="14"/>
  <c r="E211" i="14"/>
  <c r="F211" i="14"/>
  <c r="E323" i="14"/>
  <c r="C325" i="14"/>
  <c r="F323" i="14"/>
  <c r="D271" i="15"/>
  <c r="E271" i="15"/>
  <c r="E268" i="15"/>
  <c r="F325" i="14"/>
  <c r="E325" i="14"/>
</calcChain>
</file>

<file path=xl/sharedStrings.xml><?xml version="1.0" encoding="utf-8"?>
<sst xmlns="http://schemas.openxmlformats.org/spreadsheetml/2006/main" count="2322" uniqueCount="999">
  <si>
    <t>GREENWICH HOSPITAL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</si>
  <si>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</si>
  <si>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</si>
  <si>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</si>
  <si>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</si>
  <si>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</si>
  <si>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</si>
  <si>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</si>
  <si>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</si>
  <si>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</si>
  <si>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</si>
  <si>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</si>
  <si>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</si>
  <si>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</si>
  <si>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</si>
  <si>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</si>
  <si>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</si>
  <si>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</si>
  <si>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</si>
  <si>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</si>
  <si>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</si>
  <si>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</si>
  <si>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</si>
  <si>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</si>
  <si>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</si>
  <si>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</si>
  <si>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</si>
  <si>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</si>
  <si>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</si>
  <si>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</si>
  <si>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</si>
  <si>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</si>
  <si>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</si>
  <si>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</si>
  <si>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</si>
  <si>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</si>
  <si>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</si>
  <si>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</si>
  <si>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</si>
  <si>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</si>
  <si>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</si>
  <si>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</si>
  <si>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</si>
  <si>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</si>
  <si>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</si>
  <si>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</si>
  <si>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</si>
  <si>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</si>
  <si>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</si>
  <si>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</si>
  <si>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</si>
  <si>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</si>
  <si>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</si>
  <si>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</si>
  <si>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</si>
  <si>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</si>
  <si>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</si>
  <si>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</si>
  <si>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</si>
  <si>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</si>
  <si>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</si>
  <si>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</si>
  <si>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</si>
  <si>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</si>
  <si>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</si>
  <si>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</si>
  <si>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</si>
  <si>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</si>
  <si>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</si>
  <si>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</si>
  <si>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</si>
  <si>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</si>
  <si>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</si>
  <si>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</si>
  <si>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</si>
  <si>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</si>
  <si>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</si>
  <si>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</si>
  <si>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</si>
  <si>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</si>
  <si>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</si>
  <si>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</si>
  <si>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</si>
  <si>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</si>
  <si>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</si>
  <si>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</si>
  <si>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</si>
  <si>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</si>
  <si>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</si>
  <si>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</si>
  <si>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</si>
  <si>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</si>
  <si>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</si>
  <si>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</si>
  <si>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</si>
  <si>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</si>
  <si>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</si>
  <si>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</si>
  <si>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</si>
  <si>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</si>
  <si>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</si>
  <si>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</si>
  <si>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</si>
  <si>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</si>
  <si>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</si>
  <si>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</si>
  <si>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</si>
  <si>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</si>
  <si>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</si>
  <si>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</si>
  <si>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</si>
  <si>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</si>
  <si>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</si>
  <si>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</si>
  <si>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</si>
  <si>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</si>
  <si>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</si>
  <si>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</si>
  <si>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</si>
  <si>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</si>
  <si>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</si>
  <si>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</si>
  <si>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</si>
  <si>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</si>
  <si>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</si>
  <si>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</si>
  <si>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</si>
  <si>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</si>
  <si>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</si>
  <si>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</si>
  <si>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</si>
  <si>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</si>
  <si>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</si>
  <si>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</si>
  <si>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</si>
  <si>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</si>
  <si>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</si>
  <si>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</si>
  <si>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</si>
  <si>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</si>
  <si>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</si>
  <si>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</si>
  <si>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</si>
  <si>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</si>
  <si>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</si>
  <si>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</si>
  <si>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</si>
  <si>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</si>
  <si>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</si>
  <si>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</si>
  <si>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</si>
  <si>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</si>
  <si>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</si>
  <si>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</si>
  <si>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</si>
  <si>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</si>
  <si>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</si>
  <si>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</si>
  <si>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</si>
  <si>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</si>
  <si>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</si>
  <si>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</si>
  <si>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</si>
  <si>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</si>
  <si>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</si>
  <si>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</si>
  <si>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</si>
  <si>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</si>
  <si>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</si>
  <si>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</si>
  <si>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</si>
  <si>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</si>
  <si>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</si>
  <si>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</si>
  <si>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</si>
  <si>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</si>
  <si>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</si>
  <si>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</si>
  <si>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</si>
  <si>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</si>
  <si>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</si>
  <si>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</si>
  <si>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</si>
  <si>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</si>
  <si>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</si>
  <si>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</si>
  <si>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</si>
  <si>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</si>
  <si>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</si>
  <si>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</si>
  <si>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</si>
  <si>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</si>
  <si>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</si>
  <si>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</si>
  <si>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</si>
  <si>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</si>
  <si>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</si>
  <si>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</si>
  <si>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</si>
  <si>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</si>
  <si>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</si>
  <si>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</si>
  <si>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</si>
  <si>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</si>
  <si>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</si>
  <si>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</si>
  <si>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</si>
  <si>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</si>
  <si>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</si>
  <si>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</si>
  <si>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</si>
  <si>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</si>
  <si>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</si>
  <si>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</si>
  <si>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</si>
  <si>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</si>
  <si>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</si>
  <si>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</si>
  <si>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</si>
  <si>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</si>
  <si>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</si>
  <si>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</si>
  <si>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</si>
  <si>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</si>
  <si>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</si>
  <si>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</si>
  <si>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</si>
  <si>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</si>
  <si>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</si>
  <si>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</si>
  <si>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</si>
  <si>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</si>
  <si>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</si>
  <si>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</si>
  <si>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</si>
  <si>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</si>
  <si>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</si>
  <si>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</si>
  <si>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</si>
  <si>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</si>
  <si>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</si>
  <si>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</si>
  <si>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</si>
  <si>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</si>
  <si>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</si>
  <si>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</si>
  <si>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</si>
  <si>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</si>
  <si>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</si>
  <si>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</si>
  <si>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</si>
  <si>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</si>
  <si>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</si>
  <si>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</si>
  <si>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</si>
  <si>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</si>
  <si>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</si>
  <si>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</si>
  <si>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</si>
  <si>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</si>
  <si>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</si>
  <si>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</si>
  <si>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</si>
  <si>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</si>
  <si>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</si>
  <si>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</si>
  <si>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</si>
  <si>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</si>
  <si>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</si>
  <si>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</si>
  <si>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</si>
  <si>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</si>
  <si>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</si>
  <si>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</si>
  <si>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</si>
  <si>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</si>
  <si>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</si>
  <si>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</si>
  <si>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</si>
  <si>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</si>
  <si>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</si>
  <si>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</si>
  <si>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</si>
  <si>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</si>
  <si>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</si>
  <si>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</si>
  <si>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</si>
  <si>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</si>
  <si>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</si>
  <si>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</si>
  <si>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</si>
  <si>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</si>
  <si>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</si>
  <si>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</si>
  <si>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</si>
  <si>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</si>
  <si>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</si>
  <si>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</si>
  <si>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</si>
  <si>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</si>
  <si>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</si>
  <si>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</si>
  <si>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</si>
  <si>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</si>
  <si>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</si>
  <si>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</si>
  <si>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</si>
  <si>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</si>
  <si>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</si>
  <si>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</si>
  <si>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</si>
  <si>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</si>
  <si>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</si>
  <si>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</si>
  <si>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</si>
  <si>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</si>
  <si>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</si>
  <si>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</si>
  <si>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</si>
  <si>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</si>
  <si>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</si>
  <si>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</si>
  <si>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</si>
  <si>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</si>
  <si>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</si>
  <si>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</si>
  <si>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</si>
  <si>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</si>
  <si>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</si>
  <si>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</si>
  <si>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</si>
  <si>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</si>
  <si>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</si>
  <si>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</si>
  <si>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</si>
  <si>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</si>
  <si>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</si>
  <si>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</si>
  <si>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</si>
  <si>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</si>
  <si>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</si>
  <si>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</si>
  <si>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</si>
  <si>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</si>
  <si>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</si>
  <si>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</si>
  <si>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</si>
  <si>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</si>
  <si>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</si>
  <si>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</si>
  <si>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</si>
  <si>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</si>
  <si>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</si>
  <si>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</si>
  <si>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</si>
  <si>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</si>
  <si>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</si>
  <si>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</si>
  <si>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</si>
  <si>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</si>
  <si>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</si>
  <si>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</si>
  <si>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</si>
  <si>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</si>
  <si>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</si>
  <si>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</si>
  <si>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</si>
  <si>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</si>
  <si>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</si>
  <si>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</si>
  <si>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</si>
  <si>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</si>
  <si>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</si>
  <si>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</si>
  <si>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</si>
  <si>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</si>
  <si>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</si>
  <si>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</si>
  <si>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</si>
  <si>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</si>
  <si>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</si>
  <si>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</si>
  <si>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</si>
  <si>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</si>
  <si>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</si>
  <si>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</si>
  <si>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</si>
  <si>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</si>
  <si>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</si>
  <si>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</si>
  <si>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</si>
  <si>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</si>
  <si>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</si>
  <si>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</si>
  <si>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</si>
  <si>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</si>
  <si>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</si>
  <si>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</si>
  <si>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</si>
  <si>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</si>
  <si>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</si>
  <si>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</si>
  <si>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</si>
  <si>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</si>
  <si>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</si>
  <si>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</si>
  <si>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</si>
  <si>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</si>
  <si>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</si>
  <si>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</si>
  <si>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</si>
  <si>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</si>
  <si>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</si>
  <si>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</si>
  <si>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</si>
  <si>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</si>
  <si>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</si>
  <si>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</si>
  <si>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</si>
  <si>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</si>
  <si>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</si>
  <si>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</si>
  <si>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</si>
  <si>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</si>
  <si>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</si>
  <si>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</si>
  <si>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</si>
  <si>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</si>
  <si>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</si>
  <si>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</si>
  <si>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</si>
  <si>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</si>
  <si>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</si>
  <si>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</si>
  <si>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</si>
  <si>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</si>
  <si>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</si>
  <si>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</si>
  <si>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</si>
  <si>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</si>
  <si>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</si>
  <si>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</si>
  <si>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</si>
  <si>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</si>
  <si>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</si>
  <si>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</si>
  <si>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</si>
  <si>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</si>
  <si>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</si>
  <si>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</si>
  <si>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</si>
  <si>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</si>
  <si>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</si>
  <si>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</si>
  <si>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</si>
  <si>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</si>
  <si>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</si>
  <si>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</si>
  <si>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</si>
  <si>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</si>
  <si>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</si>
  <si>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</si>
  <si>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</si>
  <si>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</si>
  <si>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</si>
  <si>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</si>
  <si>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</si>
  <si>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</si>
  <si>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</si>
  <si>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</si>
  <si>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</si>
  <si>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</si>
  <si>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</si>
  <si>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</si>
  <si>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</si>
  <si>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</si>
  <si>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</si>
  <si>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</si>
  <si>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</si>
  <si>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</si>
  <si>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</si>
  <si>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</si>
  <si>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</si>
  <si>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</si>
  <si>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</si>
  <si>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</si>
  <si>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</si>
  <si>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</si>
  <si>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</si>
  <si>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</si>
  <si>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</si>
  <si>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GREENWICH HEALTH CARE SERVICES,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</si>
  <si>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</si>
  <si>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</si>
  <si>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</si>
  <si>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</si>
  <si>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</si>
  <si>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</si>
  <si>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</si>
  <si>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</si>
  <si>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</si>
  <si>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</si>
  <si>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</si>
  <si>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</si>
  <si>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</si>
  <si>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</si>
  <si>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</si>
  <si>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</si>
  <si>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</si>
  <si>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</si>
  <si>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</si>
  <si>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</si>
  <si>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</si>
  <si>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</si>
  <si>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</si>
  <si>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</si>
  <si>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</si>
  <si>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</si>
  <si>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</si>
  <si>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</si>
  <si>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</si>
  <si>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</si>
  <si>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</si>
  <si>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</si>
  <si>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</si>
  <si>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</si>
  <si>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</si>
  <si>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</si>
  <si>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</si>
  <si>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</si>
  <si>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</si>
  <si>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</si>
  <si>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</si>
  <si>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</si>
  <si>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</si>
  <si>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</si>
  <si>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</si>
  <si>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</si>
  <si>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</si>
  <si>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</si>
  <si>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</si>
  <si>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</si>
  <si>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</si>
  <si>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</si>
  <si>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</si>
  <si>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</si>
  <si>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</si>
  <si>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</si>
  <si>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</si>
  <si>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</si>
  <si>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</si>
  <si>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</si>
  <si>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</si>
  <si>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</si>
  <si>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</si>
  <si>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</si>
  <si>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</si>
  <si>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</si>
  <si>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</si>
  <si>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</si>
  <si>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</si>
  <si>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</si>
  <si>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</si>
  <si>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</si>
  <si>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</si>
  <si>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</si>
  <si>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</si>
  <si>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</si>
  <si>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</si>
  <si>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</si>
  <si>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</si>
  <si>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</si>
  <si>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</si>
  <si>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</si>
  <si>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</si>
  <si>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</si>
  <si>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</si>
  <si>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</si>
  <si>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</si>
  <si>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</si>
  <si>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</si>
  <si>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</si>
  <si>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</si>
  <si>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</si>
  <si>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</si>
  <si>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</si>
  <si>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</si>
  <si>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</si>
  <si>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</si>
  <si>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</si>
  <si>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</si>
  <si>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</si>
  <si>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</si>
  <si>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</si>
  <si>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</si>
  <si>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</si>
  <si>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</si>
  <si>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</si>
  <si>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</si>
  <si>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</si>
  <si>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</si>
  <si>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at Greenwich Hospital Campus</t>
  </si>
  <si>
    <t>Helmsley Surgical Center</t>
  </si>
  <si>
    <t xml:space="preserve">      Total Outpatient Surgical Procedures(A)     </t>
  </si>
  <si>
    <t>G Hosp @500 W Putnam St.</t>
  </si>
  <si>
    <t xml:space="preserve">      Total Outpatient Endoscopy Procedures(B)     </t>
  </si>
  <si>
    <t>Outpatient Hospital Emergency Room Visits</t>
  </si>
  <si>
    <t>At Greenwich Hospital Campus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</si>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</sst>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32149000</v>
      </c>
      <c r="D13" s="23">
        <v>35083000</v>
      </c>
      <c r="E13" s="23">
        <f t="shared" ref="E13:E22" si="0">D13-C13</f>
        <v>2934000</v>
      </c>
      <c r="F13" s="24">
        <f t="shared" ref="F13:F22" si="1">IF(C13=0,0,E13/C13)</f>
        <v>9.1262558711001904E-2</v>
      </c>
    </row>
    <row r="14" spans="1:8" ht="24" customHeight="1" x14ac:dyDescent="0.2">
      <c r="A14" s="21">
        <v>2</v>
      </c>
      <c r="B14" s="22" t="s">
        <v>17</v>
      </c>
      <c r="C14" s="23">
        <v>21585000</v>
      </c>
      <c r="D14" s="23">
        <v>10243000</v>
      </c>
      <c r="E14" s="23">
        <f t="shared" si="0"/>
        <v>-11342000</v>
      </c>
      <c r="F14" s="24">
        <f t="shared" si="1"/>
        <v>-0.52545749362983551</v>
      </c>
    </row>
    <row r="15" spans="1:8" ht="30" customHeight="1" x14ac:dyDescent="0.2">
      <c r="A15" s="21">
        <v>3</v>
      </c>
      <c r="B15" s="22" t="s">
        <v>18</v>
      </c>
      <c r="C15" s="23">
        <v>32433000</v>
      </c>
      <c r="D15" s="23">
        <v>36589000</v>
      </c>
      <c r="E15" s="23">
        <f t="shared" si="0"/>
        <v>4156000</v>
      </c>
      <c r="F15" s="24">
        <f t="shared" si="1"/>
        <v>0.12814109086424322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1224000</v>
      </c>
      <c r="D19" s="23">
        <v>2188590</v>
      </c>
      <c r="E19" s="23">
        <f t="shared" si="0"/>
        <v>964590</v>
      </c>
      <c r="F19" s="24">
        <f t="shared" si="1"/>
        <v>0.7880637254901961</v>
      </c>
    </row>
    <row r="20" spans="1:11" ht="24" customHeight="1" x14ac:dyDescent="0.2">
      <c r="A20" s="21">
        <v>8</v>
      </c>
      <c r="B20" s="22" t="s">
        <v>23</v>
      </c>
      <c r="C20" s="23">
        <v>3926000</v>
      </c>
      <c r="D20" s="23">
        <v>6473410</v>
      </c>
      <c r="E20" s="23">
        <f t="shared" si="0"/>
        <v>2547410</v>
      </c>
      <c r="F20" s="24">
        <f t="shared" si="1"/>
        <v>0.64885634233316347</v>
      </c>
    </row>
    <row r="21" spans="1:11" ht="24" customHeight="1" x14ac:dyDescent="0.2">
      <c r="A21" s="21">
        <v>9</v>
      </c>
      <c r="B21" s="22" t="s">
        <v>24</v>
      </c>
      <c r="C21" s="23">
        <v>11852000</v>
      </c>
      <c r="D21" s="23">
        <v>20025000</v>
      </c>
      <c r="E21" s="23">
        <f t="shared" si="0"/>
        <v>8173000</v>
      </c>
      <c r="F21" s="24">
        <f t="shared" si="1"/>
        <v>0.68958825514681066</v>
      </c>
    </row>
    <row r="22" spans="1:11" ht="24" customHeight="1" x14ac:dyDescent="0.25">
      <c r="A22" s="25"/>
      <c r="B22" s="26" t="s">
        <v>25</v>
      </c>
      <c r="C22" s="27">
        <f>SUM(C13:C21)</f>
        <v>103169000</v>
      </c>
      <c r="D22" s="27">
        <f>SUM(D13:D21)</f>
        <v>110602000</v>
      </c>
      <c r="E22" s="27">
        <f t="shared" si="0"/>
        <v>7433000</v>
      </c>
      <c r="F22" s="28">
        <f t="shared" si="1"/>
        <v>7.2046835774312049E-2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799000</v>
      </c>
      <c r="D25" s="23">
        <v>797000</v>
      </c>
      <c r="E25" s="23">
        <f>D25-C25</f>
        <v>-2000</v>
      </c>
      <c r="F25" s="24">
        <f>IF(C25=0,0,E25/C25)</f>
        <v>-2.5031289111389237E-3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21014000</v>
      </c>
      <c r="D26" s="23">
        <v>39189000</v>
      </c>
      <c r="E26" s="23">
        <f>D26-C26</f>
        <v>18175000</v>
      </c>
      <c r="F26" s="24">
        <f>IF(C26=0,0,E26/C26)</f>
        <v>0.86489959074902445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6000</v>
      </c>
      <c r="D27" s="23">
        <v>5000</v>
      </c>
      <c r="E27" s="23">
        <f>D27-C27</f>
        <v>-1000</v>
      </c>
      <c r="F27" s="24">
        <f>IF(C27=0,0,E27/C27)</f>
        <v>-0.16666666666666666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21819000</v>
      </c>
      <c r="D29" s="27">
        <f>SUM(D25:D28)</f>
        <v>39991000</v>
      </c>
      <c r="E29" s="27">
        <f>D29-C29</f>
        <v>18172000</v>
      </c>
      <c r="F29" s="28">
        <f>IF(C29=0,0,E29/C29)</f>
        <v>0.83285210137953158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45826000</v>
      </c>
      <c r="D31" s="23">
        <v>51267000</v>
      </c>
      <c r="E31" s="23">
        <f>D31-C31</f>
        <v>5441000</v>
      </c>
      <c r="F31" s="24">
        <f>IF(C31=0,0,E31/C31)</f>
        <v>0.11873172434862306</v>
      </c>
    </row>
    <row r="32" spans="1:11" ht="24" customHeight="1" x14ac:dyDescent="0.2">
      <c r="A32" s="21">
        <v>6</v>
      </c>
      <c r="B32" s="22" t="s">
        <v>34</v>
      </c>
      <c r="C32" s="23">
        <v>35756000</v>
      </c>
      <c r="D32" s="23">
        <v>39879000</v>
      </c>
      <c r="E32" s="23">
        <f>D32-C32</f>
        <v>4123000</v>
      </c>
      <c r="F32" s="24">
        <f>IF(C32=0,0,E32/C32)</f>
        <v>0.11530931871574002</v>
      </c>
    </row>
    <row r="33" spans="1:8" ht="24" customHeight="1" x14ac:dyDescent="0.2">
      <c r="A33" s="21">
        <v>7</v>
      </c>
      <c r="B33" s="22" t="s">
        <v>35</v>
      </c>
      <c r="C33" s="23">
        <v>26792000</v>
      </c>
      <c r="D33" s="23">
        <v>26912000</v>
      </c>
      <c r="E33" s="23">
        <f>D33-C33</f>
        <v>120000</v>
      </c>
      <c r="F33" s="24">
        <f>IF(C33=0,0,E33/C33)</f>
        <v>4.4789489399820843E-3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430954000</v>
      </c>
      <c r="D36" s="23">
        <v>410832000</v>
      </c>
      <c r="E36" s="23">
        <f>D36-C36</f>
        <v>-20122000</v>
      </c>
      <c r="F36" s="24">
        <f>IF(C36=0,0,E36/C36)</f>
        <v>-4.6691758285106993E-2</v>
      </c>
    </row>
    <row r="37" spans="1:8" ht="24" customHeight="1" x14ac:dyDescent="0.2">
      <c r="A37" s="21">
        <v>2</v>
      </c>
      <c r="B37" s="22" t="s">
        <v>39</v>
      </c>
      <c r="C37" s="23">
        <v>191442000</v>
      </c>
      <c r="D37" s="23">
        <v>177284000</v>
      </c>
      <c r="E37" s="23">
        <f>D37-C37</f>
        <v>-14158000</v>
      </c>
      <c r="F37" s="24">
        <f>IF(C37=0,0,E37/C37)</f>
        <v>-7.3954513638595495E-2</v>
      </c>
    </row>
    <row r="38" spans="1:8" ht="24" customHeight="1" x14ac:dyDescent="0.25">
      <c r="A38" s="25"/>
      <c r="B38" s="26" t="s">
        <v>40</v>
      </c>
      <c r="C38" s="27">
        <f>C36-C37</f>
        <v>239512000</v>
      </c>
      <c r="D38" s="27">
        <f>D36-D37</f>
        <v>233548000</v>
      </c>
      <c r="E38" s="27">
        <f>D38-C38</f>
        <v>-5964000</v>
      </c>
      <c r="F38" s="28">
        <f>IF(C38=0,0,E38/C38)</f>
        <v>-2.4900631283610006E-2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25000</v>
      </c>
      <c r="D40" s="23">
        <v>1339000</v>
      </c>
      <c r="E40" s="23">
        <f>D40-C40</f>
        <v>1314000</v>
      </c>
      <c r="F40" s="24">
        <f>IF(C40=0,0,E40/C40)</f>
        <v>52.56</v>
      </c>
    </row>
    <row r="41" spans="1:8" ht="24" customHeight="1" x14ac:dyDescent="0.25">
      <c r="A41" s="25"/>
      <c r="B41" s="26" t="s">
        <v>42</v>
      </c>
      <c r="C41" s="27">
        <f>+C38+C40</f>
        <v>239537000</v>
      </c>
      <c r="D41" s="27">
        <f>+D38+D40</f>
        <v>234887000</v>
      </c>
      <c r="E41" s="27">
        <f>D41-C41</f>
        <v>-4650000</v>
      </c>
      <c r="F41" s="28">
        <f>IF(C41=0,0,E41/C41)</f>
        <v>-1.9412449851171219E-2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472899000</v>
      </c>
      <c r="D43" s="27">
        <f>D22+D29+D31+D32+D33+D41</f>
        <v>503538000</v>
      </c>
      <c r="E43" s="27">
        <f>D43-C43</f>
        <v>30639000</v>
      </c>
      <c r="F43" s="28">
        <f>IF(C43=0,0,E43/C43)</f>
        <v>6.4789733114259077E-2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17078000</v>
      </c>
      <c r="D49" s="23">
        <v>17805000</v>
      </c>
      <c r="E49" s="23">
        <f t="shared" ref="E49:E56" si="2">D49-C49</f>
        <v>727000</v>
      </c>
      <c r="F49" s="24">
        <f t="shared" ref="F49:F56" si="3">IF(C49=0,0,E49/C49)</f>
        <v>4.2569387516102591E-2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11818000</v>
      </c>
      <c r="D50" s="23">
        <v>11214000</v>
      </c>
      <c r="E50" s="23">
        <f t="shared" si="2"/>
        <v>-604000</v>
      </c>
      <c r="F50" s="24">
        <f t="shared" si="3"/>
        <v>-5.110847859197834E-2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228000</v>
      </c>
      <c r="D51" s="23">
        <v>492000</v>
      </c>
      <c r="E51" s="23">
        <f t="shared" si="2"/>
        <v>264000</v>
      </c>
      <c r="F51" s="24">
        <f t="shared" si="3"/>
        <v>1.1578947368421053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2360000</v>
      </c>
      <c r="D53" s="23">
        <v>2430000</v>
      </c>
      <c r="E53" s="23">
        <f t="shared" si="2"/>
        <v>70000</v>
      </c>
      <c r="F53" s="24">
        <f t="shared" si="3"/>
        <v>2.9661016949152543E-2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11494000</v>
      </c>
      <c r="D55" s="23">
        <v>20697000</v>
      </c>
      <c r="E55" s="23">
        <f t="shared" si="2"/>
        <v>9203000</v>
      </c>
      <c r="F55" s="24">
        <f t="shared" si="3"/>
        <v>0.80067861492952841</v>
      </c>
    </row>
    <row r="56" spans="1:6" ht="24" customHeight="1" x14ac:dyDescent="0.25">
      <c r="A56" s="25"/>
      <c r="B56" s="26" t="s">
        <v>54</v>
      </c>
      <c r="C56" s="27">
        <f>SUM(C49:C55)</f>
        <v>42978000</v>
      </c>
      <c r="D56" s="27">
        <f>SUM(D49:D55)</f>
        <v>52638000</v>
      </c>
      <c r="E56" s="27">
        <f t="shared" si="2"/>
        <v>9660000</v>
      </c>
      <c r="F56" s="28">
        <f t="shared" si="3"/>
        <v>0.22476615943040626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42645000</v>
      </c>
      <c r="D59" s="23">
        <v>40215000</v>
      </c>
      <c r="E59" s="23">
        <f>D59-C59</f>
        <v>-2430000</v>
      </c>
      <c r="F59" s="24">
        <f>IF(C59=0,0,E59/C59)</f>
        <v>-5.6982061202954626E-2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42645000</v>
      </c>
      <c r="D61" s="27">
        <f>SUM(D59:D60)</f>
        <v>40215000</v>
      </c>
      <c r="E61" s="27">
        <f>D61-C61</f>
        <v>-2430000</v>
      </c>
      <c r="F61" s="28">
        <f>IF(C61=0,0,E61/C61)</f>
        <v>-5.6982061202954626E-2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46068000</v>
      </c>
      <c r="D63" s="23">
        <v>54164000</v>
      </c>
      <c r="E63" s="23">
        <f>D63-C63</f>
        <v>8096000</v>
      </c>
      <c r="F63" s="24">
        <f>IF(C63=0,0,E63/C63)</f>
        <v>0.17574021012416427</v>
      </c>
    </row>
    <row r="64" spans="1:6" ht="24" customHeight="1" x14ac:dyDescent="0.2">
      <c r="A64" s="21">
        <v>4</v>
      </c>
      <c r="B64" s="22" t="s">
        <v>60</v>
      </c>
      <c r="C64" s="23">
        <v>29906000</v>
      </c>
      <c r="D64" s="23">
        <v>36794000</v>
      </c>
      <c r="E64" s="23">
        <f>D64-C64</f>
        <v>6888000</v>
      </c>
      <c r="F64" s="24">
        <f>IF(C64=0,0,E64/C64)</f>
        <v>0.23032167458035177</v>
      </c>
    </row>
    <row r="65" spans="1:6" ht="24" customHeight="1" x14ac:dyDescent="0.25">
      <c r="A65" s="25"/>
      <c r="B65" s="26" t="s">
        <v>61</v>
      </c>
      <c r="C65" s="27">
        <f>SUM(C61:C64)</f>
        <v>118619000</v>
      </c>
      <c r="D65" s="27">
        <f>SUM(D61:D64)</f>
        <v>131173000</v>
      </c>
      <c r="E65" s="27">
        <f>D65-C65</f>
        <v>12554000</v>
      </c>
      <c r="F65" s="28">
        <f>IF(C65=0,0,E65/C65)</f>
        <v>0.10583464706328666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266335000</v>
      </c>
      <c r="D70" s="23">
        <v>267939000</v>
      </c>
      <c r="E70" s="23">
        <f>D70-C70</f>
        <v>1604000</v>
      </c>
      <c r="F70" s="24">
        <f>IF(C70=0,0,E70/C70)</f>
        <v>6.0224904725252031E-3</v>
      </c>
    </row>
    <row r="71" spans="1:6" ht="24" customHeight="1" x14ac:dyDescent="0.2">
      <c r="A71" s="21">
        <v>2</v>
      </c>
      <c r="B71" s="22" t="s">
        <v>65</v>
      </c>
      <c r="C71" s="23">
        <v>24575000</v>
      </c>
      <c r="D71" s="23">
        <v>29999000</v>
      </c>
      <c r="E71" s="23">
        <f>D71-C71</f>
        <v>5424000</v>
      </c>
      <c r="F71" s="24">
        <f>IF(C71=0,0,E71/C71)</f>
        <v>0.22071210579857578</v>
      </c>
    </row>
    <row r="72" spans="1:6" ht="24" customHeight="1" x14ac:dyDescent="0.2">
      <c r="A72" s="21">
        <v>3</v>
      </c>
      <c r="B72" s="22" t="s">
        <v>66</v>
      </c>
      <c r="C72" s="23">
        <v>20392000</v>
      </c>
      <c r="D72" s="23">
        <v>21789000</v>
      </c>
      <c r="E72" s="23">
        <f>D72-C72</f>
        <v>1397000</v>
      </c>
      <c r="F72" s="24">
        <f>IF(C72=0,0,E72/C72)</f>
        <v>6.8507257748136527E-2</v>
      </c>
    </row>
    <row r="73" spans="1:6" ht="24" customHeight="1" x14ac:dyDescent="0.25">
      <c r="A73" s="21"/>
      <c r="B73" s="26" t="s">
        <v>67</v>
      </c>
      <c r="C73" s="27">
        <f>SUM(C70:C72)</f>
        <v>311302000</v>
      </c>
      <c r="D73" s="27">
        <f>SUM(D70:D72)</f>
        <v>319727000</v>
      </c>
      <c r="E73" s="27">
        <f>D73-C73</f>
        <v>8425000</v>
      </c>
      <c r="F73" s="28">
        <f>IF(C73=0,0,E73/C73)</f>
        <v>2.7063751598126577E-2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472899000</v>
      </c>
      <c r="D75" s="27">
        <f>D56+D65+D67+D73</f>
        <v>503538000</v>
      </c>
      <c r="E75" s="27">
        <f>D75-C75</f>
        <v>30639000</v>
      </c>
      <c r="F75" s="28">
        <f>IF(C75=0,0,E75/C75)</f>
        <v>6.4789733114259077E-2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FILING&amp;RGREENWICH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288416000</v>
      </c>
      <c r="D11" s="51">
        <v>310407000</v>
      </c>
      <c r="E11" s="51">
        <v>327382000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14769000</v>
      </c>
      <c r="D12" s="49">
        <v>12951000</v>
      </c>
      <c r="E12" s="49">
        <v>13249000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303185000</v>
      </c>
      <c r="D13" s="51">
        <f>+D11+D12</f>
        <v>323358000</v>
      </c>
      <c r="E13" s="51">
        <f>+E11+E12</f>
        <v>340631000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294701000</v>
      </c>
      <c r="D14" s="49">
        <v>314917000</v>
      </c>
      <c r="E14" s="49">
        <v>327936000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8484000</v>
      </c>
      <c r="D15" s="51">
        <f>+D13-D14</f>
        <v>8441000</v>
      </c>
      <c r="E15" s="51">
        <f>+E13-E14</f>
        <v>12695000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-378000</v>
      </c>
      <c r="D16" s="49">
        <v>-6254000</v>
      </c>
      <c r="E16" s="49">
        <v>-2618000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8106000</v>
      </c>
      <c r="D17" s="51">
        <f>D15+D16</f>
        <v>2187000</v>
      </c>
      <c r="E17" s="51">
        <f>E15+E16</f>
        <v>10077000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2.8017846350976035E-2</v>
      </c>
      <c r="D20" s="169">
        <f>IF(+D27=0,0,+D24/+D27)</f>
        <v>2.6619027196124932E-2</v>
      </c>
      <c r="E20" s="169">
        <f>IF(+E27=0,0,+E24/+E27)</f>
        <v>3.7557727069668916E-2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-1.2483198869246749E-3</v>
      </c>
      <c r="D21" s="169">
        <f>IF(+D27=0,0,+D26/+D27)</f>
        <v>-1.972223623795348E-2</v>
      </c>
      <c r="E21" s="169">
        <f>IF(+E27=0,0,+E26/+E27)</f>
        <v>-7.7452642353992305E-3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2.6769526464051358E-2</v>
      </c>
      <c r="D22" s="169">
        <f>IF(+D27=0,0,+D28/+D27)</f>
        <v>6.8967909581714518E-3</v>
      </c>
      <c r="E22" s="169">
        <f>IF(+E27=0,0,+E28/+E27)</f>
        <v>2.9812462834269689E-2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8484000</v>
      </c>
      <c r="D24" s="51">
        <f>+D15</f>
        <v>8441000</v>
      </c>
      <c r="E24" s="51">
        <f>+E15</f>
        <v>12695000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303185000</v>
      </c>
      <c r="D25" s="51">
        <f>+D13</f>
        <v>323358000</v>
      </c>
      <c r="E25" s="51">
        <f>+E13</f>
        <v>340631000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-378000</v>
      </c>
      <c r="D26" s="51">
        <f>+D16</f>
        <v>-6254000</v>
      </c>
      <c r="E26" s="51">
        <f>+E16</f>
        <v>-2618000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302807000</v>
      </c>
      <c r="D27" s="51">
        <f>SUM(D25:D26)</f>
        <v>317104000</v>
      </c>
      <c r="E27" s="51">
        <f>SUM(E25:E26)</f>
        <v>338013000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8106000</v>
      </c>
      <c r="D28" s="51">
        <f>+D17</f>
        <v>2187000</v>
      </c>
      <c r="E28" s="51">
        <f>+E17</f>
        <v>10077000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310901000</v>
      </c>
      <c r="D31" s="51">
        <v>297016000</v>
      </c>
      <c r="E31" s="52">
        <v>299329000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359741000</v>
      </c>
      <c r="D32" s="51">
        <v>341983000</v>
      </c>
      <c r="E32" s="51">
        <v>351117000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3115000</v>
      </c>
      <c r="D33" s="51">
        <f>+D32-C32</f>
        <v>-17758000</v>
      </c>
      <c r="E33" s="51">
        <f>+E32-D32</f>
        <v>9134000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1.0086999999999999</v>
      </c>
      <c r="D34" s="171">
        <f>IF(C32=0,0,+D33/C32)</f>
        <v>-4.9363291923911923E-2</v>
      </c>
      <c r="E34" s="171">
        <f>IF(D32=0,0,+E33/D32)</f>
        <v>2.670892997605144E-2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2.3428732726246286</v>
      </c>
      <c r="D38" s="269">
        <f>IF(+D40=0,0,+D39/+D40)</f>
        <v>2.1270506862639142</v>
      </c>
      <c r="E38" s="269">
        <f>IF(+E40=0,0,+E39/+E40)</f>
        <v>1.851033589406833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95451000</v>
      </c>
      <c r="D39" s="270">
        <v>98408000</v>
      </c>
      <c r="E39" s="270">
        <v>102886000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40741000</v>
      </c>
      <c r="D40" s="270">
        <v>46265000</v>
      </c>
      <c r="E40" s="270">
        <v>55583000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77.268571093641242</v>
      </c>
      <c r="D42" s="271">
        <f>IF((D48/365)=0,0,+D45/(D48/365))</f>
        <v>71.164730373595333</v>
      </c>
      <c r="E42" s="271">
        <f>IF((E48/365)=0,0,+E45/(E48/365))</f>
        <v>56.351151427848393</v>
      </c>
    </row>
    <row r="43" spans="1:14" ht="24" customHeight="1" x14ac:dyDescent="0.2">
      <c r="A43" s="17">
        <v>5</v>
      </c>
      <c r="B43" s="188" t="s">
        <v>16</v>
      </c>
      <c r="C43" s="272">
        <v>34318000</v>
      </c>
      <c r="D43" s="272">
        <v>35827000</v>
      </c>
      <c r="E43" s="272">
        <v>37343000</v>
      </c>
    </row>
    <row r="44" spans="1:14" ht="24" customHeight="1" x14ac:dyDescent="0.2">
      <c r="A44" s="17">
        <v>6</v>
      </c>
      <c r="B44" s="273" t="s">
        <v>17</v>
      </c>
      <c r="C44" s="274">
        <v>23470000</v>
      </c>
      <c r="D44" s="274">
        <v>21585000</v>
      </c>
      <c r="E44" s="274">
        <v>10243000</v>
      </c>
    </row>
    <row r="45" spans="1:14" ht="24" customHeight="1" x14ac:dyDescent="0.2">
      <c r="A45" s="17">
        <v>7</v>
      </c>
      <c r="B45" s="45" t="s">
        <v>358</v>
      </c>
      <c r="C45" s="270">
        <f>+C43+C44</f>
        <v>57788000</v>
      </c>
      <c r="D45" s="270">
        <f>+D43+D44</f>
        <v>57412000</v>
      </c>
      <c r="E45" s="270">
        <f>+E43+E44</f>
        <v>47586000</v>
      </c>
    </row>
    <row r="46" spans="1:14" ht="24" customHeight="1" x14ac:dyDescent="0.2">
      <c r="A46" s="17">
        <v>8</v>
      </c>
      <c r="B46" s="45" t="s">
        <v>336</v>
      </c>
      <c r="C46" s="270">
        <f>+C14</f>
        <v>294701000</v>
      </c>
      <c r="D46" s="270">
        <f>+D14</f>
        <v>314917000</v>
      </c>
      <c r="E46" s="270">
        <f>+E14</f>
        <v>327936000</v>
      </c>
    </row>
    <row r="47" spans="1:14" ht="24" customHeight="1" x14ac:dyDescent="0.2">
      <c r="A47" s="17">
        <v>9</v>
      </c>
      <c r="B47" s="45" t="s">
        <v>359</v>
      </c>
      <c r="C47" s="270">
        <v>21723000</v>
      </c>
      <c r="D47" s="270">
        <v>20454000</v>
      </c>
      <c r="E47" s="270">
        <v>19710000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272978000</v>
      </c>
      <c r="D48" s="270">
        <f>+D46-D47</f>
        <v>294463000</v>
      </c>
      <c r="E48" s="270">
        <f>+E46-E47</f>
        <v>308226000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41.939767557971813</v>
      </c>
      <c r="D50" s="278">
        <f>IF((D55/365)=0,0,+D54/(D55/365))</f>
        <v>40.313717151997217</v>
      </c>
      <c r="E50" s="278">
        <f>IF((E55/365)=0,0,+E54/(E55/365))</f>
        <v>43.780110085465907</v>
      </c>
    </row>
    <row r="51" spans="1:5" ht="24" customHeight="1" x14ac:dyDescent="0.2">
      <c r="A51" s="17">
        <v>12</v>
      </c>
      <c r="B51" s="188" t="s">
        <v>362</v>
      </c>
      <c r="C51" s="279">
        <v>33404000</v>
      </c>
      <c r="D51" s="279">
        <v>34512000</v>
      </c>
      <c r="E51" s="279">
        <v>39760000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264000</v>
      </c>
      <c r="D53" s="270">
        <v>228000</v>
      </c>
      <c r="E53" s="270">
        <v>492000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33140000</v>
      </c>
      <c r="D54" s="280">
        <f>+D51+D52-D53</f>
        <v>34284000</v>
      </c>
      <c r="E54" s="280">
        <f>+E51+E52-E53</f>
        <v>39268000</v>
      </c>
    </row>
    <row r="55" spans="1:5" ht="24" customHeight="1" x14ac:dyDescent="0.2">
      <c r="A55" s="17">
        <v>16</v>
      </c>
      <c r="B55" s="45" t="s">
        <v>75</v>
      </c>
      <c r="C55" s="270">
        <f>+C11</f>
        <v>288416000</v>
      </c>
      <c r="D55" s="270">
        <f>+D11</f>
        <v>310407000</v>
      </c>
      <c r="E55" s="270">
        <f>+E11</f>
        <v>327382000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54.474957688898002</v>
      </c>
      <c r="D57" s="283">
        <f>IF((D61/365)=0,0,+D58/(D61/365))</f>
        <v>57.347527533170556</v>
      </c>
      <c r="E57" s="283">
        <f>IF((E61/365)=0,0,+E58/(E61/365))</f>
        <v>65.821166935949591</v>
      </c>
    </row>
    <row r="58" spans="1:5" ht="24" customHeight="1" x14ac:dyDescent="0.2">
      <c r="A58" s="17">
        <v>18</v>
      </c>
      <c r="B58" s="45" t="s">
        <v>54</v>
      </c>
      <c r="C58" s="281">
        <f>+C40</f>
        <v>40741000</v>
      </c>
      <c r="D58" s="281">
        <f>+D40</f>
        <v>46265000</v>
      </c>
      <c r="E58" s="281">
        <f>+E40</f>
        <v>55583000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294701000</v>
      </c>
      <c r="D59" s="281">
        <f t="shared" si="0"/>
        <v>314917000</v>
      </c>
      <c r="E59" s="281">
        <f t="shared" si="0"/>
        <v>327936000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21723000</v>
      </c>
      <c r="D60" s="176">
        <f t="shared" si="0"/>
        <v>20454000</v>
      </c>
      <c r="E60" s="176">
        <f t="shared" si="0"/>
        <v>19710000</v>
      </c>
    </row>
    <row r="61" spans="1:5" ht="24" customHeight="1" x14ac:dyDescent="0.2">
      <c r="A61" s="17">
        <v>21</v>
      </c>
      <c r="B61" s="45" t="s">
        <v>365</v>
      </c>
      <c r="C61" s="281">
        <f>+C59-C60</f>
        <v>272978000</v>
      </c>
      <c r="D61" s="281">
        <f>+D59-D60</f>
        <v>294463000</v>
      </c>
      <c r="E61" s="281">
        <f>+E59-E60</f>
        <v>308226000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71.47049123657473</v>
      </c>
      <c r="D65" s="284">
        <f>IF(D67=0,0,(D66/D67)*100)</f>
        <v>67.319090635291516</v>
      </c>
      <c r="E65" s="284">
        <f>IF(E67=0,0,(E66/E67)*100)</f>
        <v>65.051903755264021</v>
      </c>
    </row>
    <row r="66" spans="1:5" ht="24" customHeight="1" x14ac:dyDescent="0.2">
      <c r="A66" s="17">
        <v>2</v>
      </c>
      <c r="B66" s="45" t="s">
        <v>67</v>
      </c>
      <c r="C66" s="281">
        <f>+C32</f>
        <v>359741000</v>
      </c>
      <c r="D66" s="281">
        <f>+D32</f>
        <v>341983000</v>
      </c>
      <c r="E66" s="281">
        <f>+E32</f>
        <v>351117000</v>
      </c>
    </row>
    <row r="67" spans="1:5" ht="24" customHeight="1" x14ac:dyDescent="0.2">
      <c r="A67" s="17">
        <v>3</v>
      </c>
      <c r="B67" s="45" t="s">
        <v>43</v>
      </c>
      <c r="C67" s="281">
        <v>503342000</v>
      </c>
      <c r="D67" s="281">
        <v>508003000</v>
      </c>
      <c r="E67" s="281">
        <v>539749000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34.787628577426354</v>
      </c>
      <c r="D69" s="284">
        <f>IF(D75=0,0,(D72/D75)*100)</f>
        <v>25.465077044202001</v>
      </c>
      <c r="E69" s="284">
        <f>IF(E75=0,0,(E72/E75)*100)</f>
        <v>31.093551013591096</v>
      </c>
    </row>
    <row r="70" spans="1:5" ht="24" customHeight="1" x14ac:dyDescent="0.2">
      <c r="A70" s="17">
        <v>5</v>
      </c>
      <c r="B70" s="45" t="s">
        <v>370</v>
      </c>
      <c r="C70" s="281">
        <f>+C28</f>
        <v>8106000</v>
      </c>
      <c r="D70" s="281">
        <f>+D28</f>
        <v>2187000</v>
      </c>
      <c r="E70" s="281">
        <f>+E28</f>
        <v>10077000</v>
      </c>
    </row>
    <row r="71" spans="1:5" ht="24" customHeight="1" x14ac:dyDescent="0.2">
      <c r="A71" s="17">
        <v>6</v>
      </c>
      <c r="B71" s="45" t="s">
        <v>359</v>
      </c>
      <c r="C71" s="176">
        <f>+C47</f>
        <v>21723000</v>
      </c>
      <c r="D71" s="176">
        <f>+D47</f>
        <v>20454000</v>
      </c>
      <c r="E71" s="176">
        <f>+E47</f>
        <v>19710000</v>
      </c>
    </row>
    <row r="72" spans="1:5" ht="24" customHeight="1" x14ac:dyDescent="0.2">
      <c r="A72" s="17">
        <v>7</v>
      </c>
      <c r="B72" s="45" t="s">
        <v>371</v>
      </c>
      <c r="C72" s="281">
        <f>+C70+C71</f>
        <v>29829000</v>
      </c>
      <c r="D72" s="281">
        <f>+D70+D71</f>
        <v>22641000</v>
      </c>
      <c r="E72" s="281">
        <f>+E70+E71</f>
        <v>29787000</v>
      </c>
    </row>
    <row r="73" spans="1:5" ht="24" customHeight="1" x14ac:dyDescent="0.2">
      <c r="A73" s="17">
        <v>8</v>
      </c>
      <c r="B73" s="45" t="s">
        <v>54</v>
      </c>
      <c r="C73" s="270">
        <f>+C40</f>
        <v>40741000</v>
      </c>
      <c r="D73" s="270">
        <f>+D40</f>
        <v>46265000</v>
      </c>
      <c r="E73" s="270">
        <f>+E40</f>
        <v>55583000</v>
      </c>
    </row>
    <row r="74" spans="1:5" ht="24" customHeight="1" x14ac:dyDescent="0.2">
      <c r="A74" s="17">
        <v>9</v>
      </c>
      <c r="B74" s="45" t="s">
        <v>58</v>
      </c>
      <c r="C74" s="281">
        <v>45005000</v>
      </c>
      <c r="D74" s="281">
        <v>42645000</v>
      </c>
      <c r="E74" s="281">
        <v>40215000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85746000</v>
      </c>
      <c r="D75" s="270">
        <f>+D73+D74</f>
        <v>88910000</v>
      </c>
      <c r="E75" s="270">
        <f>+E73+E74</f>
        <v>95798000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11.119319276780994</v>
      </c>
      <c r="D77" s="286">
        <f>IF(D80=0,0,(D78/D80)*100)</f>
        <v>11.0873363353682</v>
      </c>
      <c r="E77" s="286">
        <f>IF(E80=0,0,(E78/E80)*100)</f>
        <v>10.276440464873815</v>
      </c>
    </row>
    <row r="78" spans="1:5" ht="24" customHeight="1" x14ac:dyDescent="0.2">
      <c r="A78" s="17">
        <v>12</v>
      </c>
      <c r="B78" s="45" t="s">
        <v>58</v>
      </c>
      <c r="C78" s="270">
        <f>+C74</f>
        <v>45005000</v>
      </c>
      <c r="D78" s="270">
        <f>+D74</f>
        <v>42645000</v>
      </c>
      <c r="E78" s="270">
        <f>+E74</f>
        <v>40215000</v>
      </c>
    </row>
    <row r="79" spans="1:5" ht="24" customHeight="1" x14ac:dyDescent="0.2">
      <c r="A79" s="17">
        <v>13</v>
      </c>
      <c r="B79" s="45" t="s">
        <v>67</v>
      </c>
      <c r="C79" s="270">
        <f>+C32</f>
        <v>359741000</v>
      </c>
      <c r="D79" s="270">
        <f>+D32</f>
        <v>341983000</v>
      </c>
      <c r="E79" s="270">
        <f>+E32</f>
        <v>351117000</v>
      </c>
    </row>
    <row r="80" spans="1:5" ht="24" customHeight="1" x14ac:dyDescent="0.2">
      <c r="A80" s="17">
        <v>14</v>
      </c>
      <c r="B80" s="45" t="s">
        <v>374</v>
      </c>
      <c r="C80" s="270">
        <f>+C78+C79</f>
        <v>404746000</v>
      </c>
      <c r="D80" s="270">
        <f>+D78+D79</f>
        <v>384628000</v>
      </c>
      <c r="E80" s="270">
        <f>+E78+E79</f>
        <v>391332000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FILING&amp;R&amp;8GREENWICH HEALTH CARE SERVICES,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34741</v>
      </c>
      <c r="D11" s="296">
        <v>8353</v>
      </c>
      <c r="E11" s="296">
        <v>7836</v>
      </c>
      <c r="F11" s="297">
        <v>129</v>
      </c>
      <c r="G11" s="297">
        <v>129</v>
      </c>
      <c r="H11" s="298">
        <f>IF(F11=0,0,$C11/(F11*365))</f>
        <v>0.73783582882021881</v>
      </c>
      <c r="I11" s="298">
        <f>IF(G11=0,0,$C11/(G11*365))</f>
        <v>0.73783582882021881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1873</v>
      </c>
      <c r="D13" s="296">
        <v>517</v>
      </c>
      <c r="E13" s="296">
        <v>0</v>
      </c>
      <c r="F13" s="297">
        <v>10</v>
      </c>
      <c r="G13" s="297">
        <v>10</v>
      </c>
      <c r="H13" s="298">
        <f>IF(F13=0,0,$C13/(F13*365))</f>
        <v>0.51315068493150684</v>
      </c>
      <c r="I13" s="298">
        <f>IF(G13=0,0,$C13/(G13*365))</f>
        <v>0.51315068493150684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0</v>
      </c>
      <c r="D16" s="296">
        <v>0</v>
      </c>
      <c r="E16" s="296">
        <v>0</v>
      </c>
      <c r="F16" s="297">
        <v>0</v>
      </c>
      <c r="G16" s="297">
        <v>0</v>
      </c>
      <c r="H16" s="298">
        <f t="shared" si="0"/>
        <v>0</v>
      </c>
      <c r="I16" s="298">
        <f t="shared" si="0"/>
        <v>0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0">
        <f>SUM(F15:F16)</f>
        <v>0</v>
      </c>
      <c r="G17" s="300">
        <f>SUM(G15:G16)</f>
        <v>0</v>
      </c>
      <c r="H17" s="301">
        <f t="shared" si="0"/>
        <v>0</v>
      </c>
      <c r="I17" s="301">
        <f t="shared" si="0"/>
        <v>0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7477</v>
      </c>
      <c r="D21" s="296">
        <v>2295</v>
      </c>
      <c r="E21" s="296">
        <v>2295</v>
      </c>
      <c r="F21" s="297">
        <v>25</v>
      </c>
      <c r="G21" s="297">
        <v>25</v>
      </c>
      <c r="H21" s="298">
        <f>IF(F21=0,0,$C21/(F21*365))</f>
        <v>0.81939726027397264</v>
      </c>
      <c r="I21" s="298">
        <f>IF(G21=0,0,$C21/(G21*365))</f>
        <v>0.81939726027397264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5270</v>
      </c>
      <c r="D23" s="296">
        <v>1988</v>
      </c>
      <c r="E23" s="296">
        <v>1988</v>
      </c>
      <c r="F23" s="297">
        <v>22</v>
      </c>
      <c r="G23" s="297">
        <v>22</v>
      </c>
      <c r="H23" s="298">
        <f>IF(F23=0,0,$C23/(F23*365))</f>
        <v>0.65628891656288912</v>
      </c>
      <c r="I23" s="298">
        <f>IF(G23=0,0,$C23/(G23*365))</f>
        <v>0.65628891656288912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2098</v>
      </c>
      <c r="D25" s="296">
        <v>237</v>
      </c>
      <c r="E25" s="296">
        <v>0</v>
      </c>
      <c r="F25" s="297">
        <v>10</v>
      </c>
      <c r="G25" s="297">
        <v>10</v>
      </c>
      <c r="H25" s="298">
        <f>IF(F25=0,0,$C25/(F25*365))</f>
        <v>0.57479452054794522</v>
      </c>
      <c r="I25" s="298">
        <f>IF(G25=0,0,$C25/(G25*365))</f>
        <v>0.57479452054794522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460</v>
      </c>
      <c r="D27" s="296">
        <v>154</v>
      </c>
      <c r="E27" s="296">
        <v>154</v>
      </c>
      <c r="F27" s="297">
        <v>10</v>
      </c>
      <c r="G27" s="297">
        <v>10</v>
      </c>
      <c r="H27" s="298">
        <f>IF(F27=0,0,$C27/(F27*365))</f>
        <v>0.12602739726027398</v>
      </c>
      <c r="I27" s="298">
        <f>IF(G27=0,0,$C27/(G27*365))</f>
        <v>0.12602739726027398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46649</v>
      </c>
      <c r="D31" s="300">
        <f>SUM(D10:D29)-D13-D17-D23</f>
        <v>11039</v>
      </c>
      <c r="E31" s="300">
        <f>SUM(E10:E29)-E17-E23</f>
        <v>10285</v>
      </c>
      <c r="F31" s="300">
        <f>SUM(F10:F29)-F17-F23</f>
        <v>184</v>
      </c>
      <c r="G31" s="300">
        <f>SUM(G10:G29)-G17-G23</f>
        <v>184</v>
      </c>
      <c r="H31" s="301">
        <f>IF(F31=0,0,$C31/(F31*365))</f>
        <v>0.69459499702203698</v>
      </c>
      <c r="I31" s="301">
        <f>IF(G31=0,0,$C31/(G31*365))</f>
        <v>0.69459499702203698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51919</v>
      </c>
      <c r="D33" s="300">
        <f>SUM(D10:D29)-D13-D17</f>
        <v>13027</v>
      </c>
      <c r="E33" s="300">
        <f>SUM(E10:E29)-E17</f>
        <v>12273</v>
      </c>
      <c r="F33" s="300">
        <f>SUM(F10:F29)-F17</f>
        <v>206</v>
      </c>
      <c r="G33" s="300">
        <f>SUM(G10:G29)-G17</f>
        <v>206</v>
      </c>
      <c r="H33" s="301">
        <f>IF(F33=0,0,$C33/(F33*365))</f>
        <v>0.69050405639047741</v>
      </c>
      <c r="I33" s="301">
        <f>IF(G33=0,0,$C33/(G33*365))</f>
        <v>0.69050405639047741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51919</v>
      </c>
      <c r="D36" s="300">
        <f t="shared" si="1"/>
        <v>13027</v>
      </c>
      <c r="E36" s="300">
        <f t="shared" si="1"/>
        <v>12273</v>
      </c>
      <c r="F36" s="300">
        <f t="shared" si="1"/>
        <v>206</v>
      </c>
      <c r="G36" s="300">
        <f t="shared" si="1"/>
        <v>206</v>
      </c>
      <c r="H36" s="301">
        <f t="shared" si="1"/>
        <v>0.69050405639047741</v>
      </c>
      <c r="I36" s="301">
        <f t="shared" si="1"/>
        <v>0.69050405639047741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52638</v>
      </c>
      <c r="D37" s="300">
        <v>13479</v>
      </c>
      <c r="E37" s="300">
        <v>12725</v>
      </c>
      <c r="F37" s="302">
        <v>206</v>
      </c>
      <c r="G37" s="302">
        <v>206</v>
      </c>
      <c r="H37" s="301">
        <f>IF(F37=0,0,$C37/(F37*365))</f>
        <v>0.70006649820454847</v>
      </c>
      <c r="I37" s="301">
        <f>IF(G37=0,0,$C37/(G37*365))</f>
        <v>0.70006649820454847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-719</v>
      </c>
      <c r="D38" s="300">
        <f t="shared" si="2"/>
        <v>-452</v>
      </c>
      <c r="E38" s="300">
        <f t="shared" si="2"/>
        <v>-452</v>
      </c>
      <c r="F38" s="300">
        <f t="shared" si="2"/>
        <v>0</v>
      </c>
      <c r="G38" s="300">
        <f t="shared" si="2"/>
        <v>0</v>
      </c>
      <c r="H38" s="301">
        <f t="shared" si="2"/>
        <v>-9.5624418140710654E-3</v>
      </c>
      <c r="I38" s="301">
        <f t="shared" si="2"/>
        <v>-9.5624418140710654E-3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-1.365933356130552E-2</v>
      </c>
      <c r="D40" s="148">
        <f t="shared" si="3"/>
        <v>-3.3533644929149044E-2</v>
      </c>
      <c r="E40" s="148">
        <f t="shared" si="3"/>
        <v>-3.5520628683693517E-2</v>
      </c>
      <c r="F40" s="148">
        <f t="shared" si="3"/>
        <v>0</v>
      </c>
      <c r="G40" s="148">
        <f t="shared" si="3"/>
        <v>0</v>
      </c>
      <c r="H40" s="148">
        <f t="shared" si="3"/>
        <v>-1.3659333561305586E-2</v>
      </c>
      <c r="I40" s="148">
        <f t="shared" si="3"/>
        <v>-1.3659333561305586E-2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206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FILING&amp;RGREENWICH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6095</v>
      </c>
      <c r="D12" s="296">
        <v>5659</v>
      </c>
      <c r="E12" s="296">
        <f>+D12-C12</f>
        <v>-436</v>
      </c>
      <c r="F12" s="316">
        <f>IF(C12=0,0,+E12/C12)</f>
        <v>-7.1534044298605409E-2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6323</v>
      </c>
      <c r="D13" s="296">
        <v>6948</v>
      </c>
      <c r="E13" s="296">
        <f>+D13-C13</f>
        <v>625</v>
      </c>
      <c r="F13" s="316">
        <f>IF(C13=0,0,+E13/C13)</f>
        <v>9.8845484738257161E-2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7014</v>
      </c>
      <c r="D14" s="296">
        <v>5373</v>
      </c>
      <c r="E14" s="296">
        <f>+D14-C14</f>
        <v>-1641</v>
      </c>
      <c r="F14" s="316">
        <f>IF(C14=0,0,+E14/C14)</f>
        <v>-0.2339606501283148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609</v>
      </c>
      <c r="D15" s="296">
        <v>630</v>
      </c>
      <c r="E15" s="296">
        <f>+D15-C15</f>
        <v>21</v>
      </c>
      <c r="F15" s="316">
        <f>IF(C15=0,0,+E15/C15)</f>
        <v>3.4482758620689655E-2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20041</v>
      </c>
      <c r="D16" s="300">
        <f>SUM(D12:D15)</f>
        <v>18610</v>
      </c>
      <c r="E16" s="300">
        <f>+D16-C16</f>
        <v>-1431</v>
      </c>
      <c r="F16" s="309">
        <f>IF(C16=0,0,+E16/C16)</f>
        <v>-7.140362257372386E-2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1240</v>
      </c>
      <c r="D19" s="296">
        <v>1063</v>
      </c>
      <c r="E19" s="296">
        <f>+D19-C19</f>
        <v>-177</v>
      </c>
      <c r="F19" s="316">
        <f>IF(C19=0,0,+E19/C19)</f>
        <v>-0.14274193548387096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5309</v>
      </c>
      <c r="D20" s="296">
        <v>6807</v>
      </c>
      <c r="E20" s="296">
        <f>+D20-C20</f>
        <v>1498</v>
      </c>
      <c r="F20" s="316">
        <f>IF(C20=0,0,+E20/C20)</f>
        <v>0.28216236579393483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115</v>
      </c>
      <c r="D21" s="296">
        <v>133</v>
      </c>
      <c r="E21" s="296">
        <f>+D21-C21</f>
        <v>18</v>
      </c>
      <c r="F21" s="316">
        <f>IF(C21=0,0,+E21/C21)</f>
        <v>0.15652173913043479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1962</v>
      </c>
      <c r="D22" s="296">
        <v>1801</v>
      </c>
      <c r="E22" s="296">
        <f>+D22-C22</f>
        <v>-161</v>
      </c>
      <c r="F22" s="316">
        <f>IF(C22=0,0,+E22/C22)</f>
        <v>-8.205912334352701E-2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8626</v>
      </c>
      <c r="D23" s="300">
        <f>SUM(D19:D22)</f>
        <v>9804</v>
      </c>
      <c r="E23" s="300">
        <f>+D23-C23</f>
        <v>1178</v>
      </c>
      <c r="F23" s="309">
        <f>IF(C23=0,0,+E23/C23)</f>
        <v>0.13656387665198239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3</v>
      </c>
      <c r="D27" s="296">
        <v>0</v>
      </c>
      <c r="E27" s="296">
        <f>+D27-C27</f>
        <v>-3</v>
      </c>
      <c r="F27" s="316">
        <f>IF(C27=0,0,+E27/C27)</f>
        <v>-1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3</v>
      </c>
      <c r="D30" s="300">
        <f>SUM(D26:D29)</f>
        <v>0</v>
      </c>
      <c r="E30" s="300">
        <f>+D30-C30</f>
        <v>-3</v>
      </c>
      <c r="F30" s="309">
        <f>IF(C30=0,0,+E30/C30)</f>
        <v>-1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31</v>
      </c>
      <c r="D33" s="296">
        <v>31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764</v>
      </c>
      <c r="D34" s="296">
        <v>836</v>
      </c>
      <c r="E34" s="296">
        <f>+D34-C34</f>
        <v>72</v>
      </c>
      <c r="F34" s="316">
        <f>IF(C34=0,0,+E34/C34)</f>
        <v>9.4240837696335081E-2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795</v>
      </c>
      <c r="D37" s="300">
        <f>SUM(D33:D36)</f>
        <v>867</v>
      </c>
      <c r="E37" s="300">
        <f>+D37-C37</f>
        <v>72</v>
      </c>
      <c r="F37" s="309">
        <f>IF(C37=0,0,+E37/C37)</f>
        <v>9.056603773584905E-2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186</v>
      </c>
      <c r="D43" s="296">
        <v>150</v>
      </c>
      <c r="E43" s="296">
        <f>+D43-C43</f>
        <v>-36</v>
      </c>
      <c r="F43" s="316">
        <f>IF(C43=0,0,+E43/C43)</f>
        <v>-0.19354838709677419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5855</v>
      </c>
      <c r="D44" s="296">
        <v>5887</v>
      </c>
      <c r="E44" s="296">
        <f>+D44-C44</f>
        <v>32</v>
      </c>
      <c r="F44" s="316">
        <f>IF(C44=0,0,+E44/C44)</f>
        <v>5.4654141759180189E-3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6041</v>
      </c>
      <c r="D45" s="300">
        <f>SUM(D43:D44)</f>
        <v>6037</v>
      </c>
      <c r="E45" s="300">
        <f>+D45-C45</f>
        <v>-4</v>
      </c>
      <c r="F45" s="309">
        <f>IF(C45=0,0,+E45/C45)</f>
        <v>-6.6214202946532027E-4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190</v>
      </c>
      <c r="D48" s="296">
        <v>184</v>
      </c>
      <c r="E48" s="296">
        <f>+D48-C48</f>
        <v>-6</v>
      </c>
      <c r="F48" s="316">
        <f>IF(C48=0,0,+E48/C48)</f>
        <v>-3.1578947368421054E-2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80</v>
      </c>
      <c r="D49" s="296">
        <v>65</v>
      </c>
      <c r="E49" s="296">
        <f>+D49-C49</f>
        <v>-15</v>
      </c>
      <c r="F49" s="316">
        <f>IF(C49=0,0,+E49/C49)</f>
        <v>-0.1875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270</v>
      </c>
      <c r="D50" s="300">
        <f>SUM(D48:D49)</f>
        <v>249</v>
      </c>
      <c r="E50" s="300">
        <f>+D50-C50</f>
        <v>-21</v>
      </c>
      <c r="F50" s="309">
        <f>IF(C50=0,0,+E50/C50)</f>
        <v>-7.7777777777777779E-2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38</v>
      </c>
      <c r="D53" s="296">
        <v>39</v>
      </c>
      <c r="E53" s="296">
        <f>+D53-C53</f>
        <v>1</v>
      </c>
      <c r="F53" s="316">
        <f>IF(C53=0,0,+E53/C53)</f>
        <v>2.6315789473684209E-2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38</v>
      </c>
      <c r="D55" s="300">
        <f>SUM(D53:D54)</f>
        <v>39</v>
      </c>
      <c r="E55" s="300">
        <f>+D55-C55</f>
        <v>1</v>
      </c>
      <c r="F55" s="309">
        <f>IF(C55=0,0,+E55/C55)</f>
        <v>2.6315789473684209E-2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6</v>
      </c>
      <c r="D58" s="296">
        <v>1</v>
      </c>
      <c r="E58" s="296">
        <f>+D58-C58</f>
        <v>-5</v>
      </c>
      <c r="F58" s="316">
        <f>IF(C58=0,0,+E58/C58)</f>
        <v>-0.83333333333333337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2</v>
      </c>
      <c r="D59" s="296">
        <v>0</v>
      </c>
      <c r="E59" s="296">
        <f>+D59-C59</f>
        <v>-2</v>
      </c>
      <c r="F59" s="316">
        <f>IF(C59=0,0,+E59/C59)</f>
        <v>-1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8</v>
      </c>
      <c r="D60" s="300">
        <f>SUM(D58:D59)</f>
        <v>1</v>
      </c>
      <c r="E60" s="300">
        <f>SUM(E58:E59)</f>
        <v>-7</v>
      </c>
      <c r="F60" s="309">
        <f>IF(C60=0,0,+E60/C60)</f>
        <v>-0.875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2608</v>
      </c>
      <c r="D63" s="296">
        <v>1939</v>
      </c>
      <c r="E63" s="296">
        <f>+D63-C63</f>
        <v>-669</v>
      </c>
      <c r="F63" s="316">
        <f>IF(C63=0,0,+E63/C63)</f>
        <v>-0.25651840490797545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6539</v>
      </c>
      <c r="D64" s="296">
        <v>5783</v>
      </c>
      <c r="E64" s="296">
        <f>+D64-C64</f>
        <v>-756</v>
      </c>
      <c r="F64" s="316">
        <f>IF(C64=0,0,+E64/C64)</f>
        <v>-0.11561400825814344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9147</v>
      </c>
      <c r="D65" s="300">
        <f>SUM(D63:D64)</f>
        <v>7722</v>
      </c>
      <c r="E65" s="300">
        <f>+D65-C65</f>
        <v>-1425</v>
      </c>
      <c r="F65" s="309">
        <f>IF(C65=0,0,+E65/C65)</f>
        <v>-0.15578878320760906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478</v>
      </c>
      <c r="D68" s="296">
        <v>359</v>
      </c>
      <c r="E68" s="296">
        <f>+D68-C68</f>
        <v>-119</v>
      </c>
      <c r="F68" s="316">
        <f>IF(C68=0,0,+E68/C68)</f>
        <v>-0.2489539748953975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2658</v>
      </c>
      <c r="D69" s="296">
        <v>2820</v>
      </c>
      <c r="E69" s="296">
        <f>+D69-C69</f>
        <v>162</v>
      </c>
      <c r="F69" s="318">
        <f>IF(C69=0,0,+E69/C69)</f>
        <v>6.0948081264108354E-2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3136</v>
      </c>
      <c r="D70" s="300">
        <f>SUM(D68:D69)</f>
        <v>3179</v>
      </c>
      <c r="E70" s="300">
        <f>+D70-C70</f>
        <v>43</v>
      </c>
      <c r="F70" s="309">
        <f>IF(C70=0,0,+E70/C70)</f>
        <v>1.3711734693877551E-2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7715</v>
      </c>
      <c r="D73" s="319">
        <v>7663</v>
      </c>
      <c r="E73" s="296">
        <f>+D73-C73</f>
        <v>-52</v>
      </c>
      <c r="F73" s="316">
        <f>IF(C73=0,0,+E73/C73)</f>
        <v>-6.7401166558651981E-3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35170</v>
      </c>
      <c r="D74" s="319">
        <v>35924</v>
      </c>
      <c r="E74" s="296">
        <f>+D74-C74</f>
        <v>754</v>
      </c>
      <c r="F74" s="316">
        <f>IF(C74=0,0,+E74/C74)</f>
        <v>2.1438726187091271E-2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42885</v>
      </c>
      <c r="D75" s="300">
        <f>SUM(D73:D74)</f>
        <v>43587</v>
      </c>
      <c r="E75" s="300">
        <f>SUM(E73:E74)</f>
        <v>702</v>
      </c>
      <c r="F75" s="309">
        <f>IF(C75=0,0,+E75/C75)</f>
        <v>1.6369359916054566E-2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6542</v>
      </c>
      <c r="D79" s="319">
        <v>5645</v>
      </c>
      <c r="E79" s="296">
        <f t="shared" ref="E79:E84" si="0">+D79-C79</f>
        <v>-897</v>
      </c>
      <c r="F79" s="316">
        <f t="shared" ref="F79:F84" si="1">IF(C79=0,0,+E79/C79)</f>
        <v>-0.13711403240599204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2420</v>
      </c>
      <c r="D80" s="319">
        <v>0</v>
      </c>
      <c r="E80" s="296">
        <f t="shared" si="0"/>
        <v>-2420</v>
      </c>
      <c r="F80" s="316">
        <f t="shared" si="1"/>
        <v>-1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6876</v>
      </c>
      <c r="D81" s="319">
        <v>7414</v>
      </c>
      <c r="E81" s="296">
        <f t="shared" si="0"/>
        <v>538</v>
      </c>
      <c r="F81" s="316">
        <f t="shared" si="1"/>
        <v>7.8243164630599188E-2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10377</v>
      </c>
      <c r="D82" s="319">
        <v>9736</v>
      </c>
      <c r="E82" s="296">
        <f t="shared" si="0"/>
        <v>-641</v>
      </c>
      <c r="F82" s="316">
        <f t="shared" si="1"/>
        <v>-6.1771224824130291E-2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3974</v>
      </c>
      <c r="D83" s="319">
        <v>3927</v>
      </c>
      <c r="E83" s="296">
        <f t="shared" si="0"/>
        <v>-47</v>
      </c>
      <c r="F83" s="316">
        <f t="shared" si="1"/>
        <v>-1.1826874685455461E-2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30189</v>
      </c>
      <c r="D84" s="320">
        <f>SUM(D79:D83)</f>
        <v>26722</v>
      </c>
      <c r="E84" s="300">
        <f t="shared" si="0"/>
        <v>-3467</v>
      </c>
      <c r="F84" s="309">
        <f t="shared" si="1"/>
        <v>-0.11484315479148034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32580</v>
      </c>
      <c r="D87" s="322">
        <v>26540</v>
      </c>
      <c r="E87" s="323">
        <f t="shared" ref="E87:E92" si="2">+D87-C87</f>
        <v>-6040</v>
      </c>
      <c r="F87" s="318">
        <f t="shared" ref="F87:F92" si="3">IF(C87=0,0,+E87/C87)</f>
        <v>-0.18538980969920196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2713</v>
      </c>
      <c r="D88" s="322">
        <v>1879</v>
      </c>
      <c r="E88" s="296">
        <f t="shared" si="2"/>
        <v>-834</v>
      </c>
      <c r="F88" s="316">
        <f t="shared" si="3"/>
        <v>-0.30740877257648358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44337</v>
      </c>
      <c r="D89" s="322">
        <v>53594</v>
      </c>
      <c r="E89" s="296">
        <f t="shared" si="2"/>
        <v>9257</v>
      </c>
      <c r="F89" s="316">
        <f t="shared" si="3"/>
        <v>0.20878724316034011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1374</v>
      </c>
      <c r="D90" s="322">
        <v>1625</v>
      </c>
      <c r="E90" s="296">
        <f t="shared" si="2"/>
        <v>251</v>
      </c>
      <c r="F90" s="316">
        <f t="shared" si="3"/>
        <v>0.18267831149927219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203345</v>
      </c>
      <c r="D91" s="322">
        <v>189183</v>
      </c>
      <c r="E91" s="296">
        <f t="shared" si="2"/>
        <v>-14162</v>
      </c>
      <c r="F91" s="316">
        <f t="shared" si="3"/>
        <v>-6.9645184292704512E-2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284349</v>
      </c>
      <c r="D92" s="320">
        <f>SUM(D87:D91)</f>
        <v>272821</v>
      </c>
      <c r="E92" s="300">
        <f t="shared" si="2"/>
        <v>-11528</v>
      </c>
      <c r="F92" s="309">
        <f t="shared" si="3"/>
        <v>-4.0541728650355727E-2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361.7</v>
      </c>
      <c r="D96" s="325">
        <v>430.3</v>
      </c>
      <c r="E96" s="326">
        <f>+D96-C96</f>
        <v>68.600000000000023</v>
      </c>
      <c r="F96" s="316">
        <f>IF(C96=0,0,+E96/C96)</f>
        <v>0.18965993917611287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61.7</v>
      </c>
      <c r="D97" s="325">
        <v>47.3</v>
      </c>
      <c r="E97" s="326">
        <f>+D97-C97</f>
        <v>-14.400000000000006</v>
      </c>
      <c r="F97" s="316">
        <f>IF(C97=0,0,+E97/C97)</f>
        <v>-0.23338735818476508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1189.5999999999999</v>
      </c>
      <c r="D98" s="325">
        <v>1011.7</v>
      </c>
      <c r="E98" s="326">
        <f>+D98-C98</f>
        <v>-177.89999999999986</v>
      </c>
      <c r="F98" s="316">
        <f>IF(C98=0,0,+E98/C98)</f>
        <v>-0.14954606590450562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1613</v>
      </c>
      <c r="D99" s="327">
        <f>SUM(D96:D98)</f>
        <v>1489.3000000000002</v>
      </c>
      <c r="E99" s="327">
        <f>+D99-C99</f>
        <v>-123.69999999999982</v>
      </c>
      <c r="F99" s="309">
        <f>IF(C99=0,0,+E99/C99)</f>
        <v>-7.6689398636081721E-2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FILING&amp;RGREENWICH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5133</v>
      </c>
      <c r="D12" s="296">
        <v>4702</v>
      </c>
      <c r="E12" s="296">
        <f>+D12-C12</f>
        <v>-431</v>
      </c>
      <c r="F12" s="316">
        <f>IF(C12=0,0,+E12/C12)</f>
        <v>-8.396649133060588E-2</v>
      </c>
    </row>
    <row r="13" spans="1:16" ht="15.75" customHeight="1" x14ac:dyDescent="0.2">
      <c r="A13" s="294">
        <v>2</v>
      </c>
      <c r="B13" s="295" t="s">
        <v>602</v>
      </c>
      <c r="C13" s="296">
        <v>1406</v>
      </c>
      <c r="D13" s="296">
        <v>1081</v>
      </c>
      <c r="E13" s="296">
        <f>+D13-C13</f>
        <v>-325</v>
      </c>
      <c r="F13" s="316">
        <f>IF(C13=0,0,+E13/C13)</f>
        <v>-0.23115220483641535</v>
      </c>
    </row>
    <row r="14" spans="1:16" ht="15.75" customHeight="1" x14ac:dyDescent="0.25">
      <c r="A14" s="294"/>
      <c r="B14" s="135" t="s">
        <v>603</v>
      </c>
      <c r="C14" s="300">
        <f>SUM(C11:C13)</f>
        <v>6539</v>
      </c>
      <c r="D14" s="300">
        <f>SUM(D11:D13)</f>
        <v>5783</v>
      </c>
      <c r="E14" s="300">
        <f>+D14-C14</f>
        <v>-756</v>
      </c>
      <c r="F14" s="309">
        <f>IF(C14=0,0,+E14/C14)</f>
        <v>-0.11561400825814344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576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601</v>
      </c>
      <c r="C17" s="296">
        <v>396</v>
      </c>
      <c r="D17" s="296">
        <v>278</v>
      </c>
      <c r="E17" s="296">
        <f>+D17-C17</f>
        <v>-118</v>
      </c>
      <c r="F17" s="316">
        <f>IF(C17=0,0,+E17/C17)</f>
        <v>-0.29797979797979796</v>
      </c>
    </row>
    <row r="18" spans="1:6" ht="15.75" customHeight="1" x14ac:dyDescent="0.2">
      <c r="A18" s="294">
        <v>2</v>
      </c>
      <c r="B18" s="295" t="s">
        <v>604</v>
      </c>
      <c r="C18" s="296">
        <v>2262</v>
      </c>
      <c r="D18" s="296">
        <v>2542</v>
      </c>
      <c r="E18" s="296">
        <f>+D18-C18</f>
        <v>280</v>
      </c>
      <c r="F18" s="316">
        <f>IF(C18=0,0,+E18/C18)</f>
        <v>0.1237842617152962</v>
      </c>
    </row>
    <row r="19" spans="1:6" ht="15.75" customHeight="1" x14ac:dyDescent="0.25">
      <c r="A19" s="294"/>
      <c r="B19" s="135" t="s">
        <v>605</v>
      </c>
      <c r="C19" s="300">
        <f>SUM(C16:C18)</f>
        <v>2658</v>
      </c>
      <c r="D19" s="300">
        <f>SUM(D16:D18)</f>
        <v>2820</v>
      </c>
      <c r="E19" s="300">
        <f>+D19-C19</f>
        <v>162</v>
      </c>
      <c r="F19" s="309">
        <f>IF(C19=0,0,+E19/C19)</f>
        <v>6.0948081264108354E-2</v>
      </c>
    </row>
    <row r="20" spans="1:6" ht="15.75" customHeight="1" x14ac:dyDescent="0.25">
      <c r="A20" s="293"/>
      <c r="B20" s="135"/>
      <c r="C20" s="300"/>
      <c r="D20" s="300"/>
      <c r="E20" s="300"/>
      <c r="F20" s="309"/>
    </row>
    <row r="21" spans="1:6" ht="15.75" customHeight="1" x14ac:dyDescent="0.25">
      <c r="A21" s="293" t="s">
        <v>141</v>
      </c>
      <c r="B21" s="291" t="s">
        <v>606</v>
      </c>
      <c r="C21" s="296"/>
      <c r="D21" s="296"/>
      <c r="E21" s="296"/>
      <c r="F21" s="316"/>
    </row>
    <row r="22" spans="1:6" ht="15.75" customHeight="1" x14ac:dyDescent="0.2">
      <c r="A22" s="294">
        <v>1</v>
      </c>
      <c r="B22" s="295" t="s">
        <v>607</v>
      </c>
      <c r="C22" s="296">
        <v>35170</v>
      </c>
      <c r="D22" s="296">
        <v>35924</v>
      </c>
      <c r="E22" s="296">
        <f>+D22-C22</f>
        <v>754</v>
      </c>
      <c r="F22" s="316">
        <f>IF(C22=0,0,+E22/C22)</f>
        <v>2.1438726187091271E-2</v>
      </c>
    </row>
    <row r="23" spans="1:6" ht="15.75" customHeight="1" x14ac:dyDescent="0.25">
      <c r="A23" s="294"/>
      <c r="B23" s="135" t="s">
        <v>608</v>
      </c>
      <c r="C23" s="300">
        <f>SUM(C21:C22)</f>
        <v>35170</v>
      </c>
      <c r="D23" s="300">
        <f>SUM(D21:D22)</f>
        <v>35924</v>
      </c>
      <c r="E23" s="300">
        <f>+D23-C23</f>
        <v>754</v>
      </c>
      <c r="F23" s="309">
        <f>IF(C23=0,0,+E23/C23)</f>
        <v>2.1438726187091271E-2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610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699" t="s">
        <v>611</v>
      </c>
      <c r="C29" s="700"/>
      <c r="D29" s="700"/>
      <c r="E29" s="700"/>
      <c r="F29" s="701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FILING&amp;RGREENWICH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612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613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614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615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616</v>
      </c>
      <c r="D7" s="341" t="s">
        <v>616</v>
      </c>
      <c r="E7" s="341" t="s">
        <v>617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618</v>
      </c>
      <c r="D8" s="344" t="s">
        <v>619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620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621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622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623</v>
      </c>
      <c r="C15" s="361">
        <v>220470561</v>
      </c>
      <c r="D15" s="361">
        <v>213196920</v>
      </c>
      <c r="E15" s="361">
        <f t="shared" ref="E15:E24" si="0">D15-C15</f>
        <v>-7273641</v>
      </c>
      <c r="F15" s="362">
        <f t="shared" ref="F15:F24" si="1">IF(C15=0,0,E15/C15)</f>
        <v>-3.29914387073202E-2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624</v>
      </c>
      <c r="C16" s="361">
        <v>52061988</v>
      </c>
      <c r="D16" s="361">
        <v>46677998</v>
      </c>
      <c r="E16" s="361">
        <f t="shared" si="0"/>
        <v>-5383990</v>
      </c>
      <c r="F16" s="362">
        <f t="shared" si="1"/>
        <v>-0.10341499060696645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625</v>
      </c>
      <c r="C17" s="366">
        <f>IF(C15=0,0,C16/C15)</f>
        <v>0.23614031625746168</v>
      </c>
      <c r="D17" s="366">
        <f>IF(LN_IA1=0,0,LN_IA2/LN_IA1)</f>
        <v>0.21894311606377803</v>
      </c>
      <c r="E17" s="367">
        <f t="shared" si="0"/>
        <v>-1.7197200193683648E-2</v>
      </c>
      <c r="F17" s="362">
        <f t="shared" si="1"/>
        <v>-7.2826192774865656E-2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5255</v>
      </c>
      <c r="D18" s="369">
        <v>4984</v>
      </c>
      <c r="E18" s="369">
        <f t="shared" si="0"/>
        <v>-271</v>
      </c>
      <c r="F18" s="362">
        <f t="shared" si="1"/>
        <v>-5.1569933396764987E-2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626</v>
      </c>
      <c r="C19" s="372">
        <v>1.4139999999999999</v>
      </c>
      <c r="D19" s="372">
        <v>1.347</v>
      </c>
      <c r="E19" s="373">
        <f t="shared" si="0"/>
        <v>-6.6999999999999948E-2</v>
      </c>
      <c r="F19" s="362">
        <f t="shared" si="1"/>
        <v>-4.7383309759547347E-2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627</v>
      </c>
      <c r="C20" s="376">
        <f>C18*C19</f>
        <v>7430.57</v>
      </c>
      <c r="D20" s="376">
        <f>LN_IA4*LN_IA5</f>
        <v>6713.4480000000003</v>
      </c>
      <c r="E20" s="376">
        <f t="shared" si="0"/>
        <v>-717.12199999999939</v>
      </c>
      <c r="F20" s="362">
        <f t="shared" si="1"/>
        <v>-9.6509689027894141E-2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628</v>
      </c>
      <c r="C21" s="378">
        <f>IF(C20=0,0,C16/C20)</f>
        <v>7006.4595313683876</v>
      </c>
      <c r="D21" s="378">
        <f>IF(LN_IA6=0,0,LN_IA2/LN_IA6)</f>
        <v>6952.9097417601206</v>
      </c>
      <c r="E21" s="378">
        <f t="shared" si="0"/>
        <v>-53.54978960826702</v>
      </c>
      <c r="F21" s="362">
        <f t="shared" si="1"/>
        <v>-7.6429171350410339E-3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25128</v>
      </c>
      <c r="D22" s="369">
        <v>24296</v>
      </c>
      <c r="E22" s="369">
        <f t="shared" si="0"/>
        <v>-832</v>
      </c>
      <c r="F22" s="362">
        <f t="shared" si="1"/>
        <v>-3.3110474371219355E-2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629</v>
      </c>
      <c r="C23" s="378">
        <f>IF(C22=0,0,C16/C22)</f>
        <v>2071.8715377268386</v>
      </c>
      <c r="D23" s="378">
        <f>IF(LN_IA8=0,0,LN_IA2/LN_IA8)</f>
        <v>1921.2215179453408</v>
      </c>
      <c r="E23" s="378">
        <f t="shared" si="0"/>
        <v>-150.6500197814978</v>
      </c>
      <c r="F23" s="362">
        <f t="shared" si="1"/>
        <v>-7.2712046590873117E-2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630</v>
      </c>
      <c r="C24" s="379">
        <f>IF(C18=0,0,C22/C18)</f>
        <v>4.7817316841103708</v>
      </c>
      <c r="D24" s="379">
        <f>IF(LN_IA4=0,0,LN_IA8/LN_IA4)</f>
        <v>4.8747993579454256</v>
      </c>
      <c r="E24" s="379">
        <f t="shared" si="0"/>
        <v>9.3067673835054876E-2</v>
      </c>
      <c r="F24" s="362">
        <f t="shared" si="1"/>
        <v>1.9463173591340872E-2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631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632</v>
      </c>
      <c r="C27" s="361">
        <v>144536486</v>
      </c>
      <c r="D27" s="361">
        <v>159146991</v>
      </c>
      <c r="E27" s="361">
        <f t="shared" ref="E27:E32" si="2">D27-C27</f>
        <v>14610505</v>
      </c>
      <c r="F27" s="362">
        <f t="shared" ref="F27:F32" si="3">IF(C27=0,0,E27/C27)</f>
        <v>0.10108523739811967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633</v>
      </c>
      <c r="C28" s="361">
        <v>26007621</v>
      </c>
      <c r="D28" s="361">
        <v>30084155</v>
      </c>
      <c r="E28" s="361">
        <f t="shared" si="2"/>
        <v>4076534</v>
      </c>
      <c r="F28" s="362">
        <f t="shared" si="3"/>
        <v>0.15674382520415842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634</v>
      </c>
      <c r="C29" s="366">
        <f>IF(C27=0,0,C28/C27)</f>
        <v>0.17993810227266768</v>
      </c>
      <c r="D29" s="366">
        <f>IF(LN_IA11=0,0,LN_IA12/LN_IA11)</f>
        <v>0.18903376564625091</v>
      </c>
      <c r="E29" s="367">
        <f t="shared" si="2"/>
        <v>9.0956633735832237E-3</v>
      </c>
      <c r="F29" s="362">
        <f t="shared" si="3"/>
        <v>5.0548845734741533E-2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635</v>
      </c>
      <c r="C30" s="366">
        <f>IF(C15=0,0,C27/C15)</f>
        <v>0.65558179443286313</v>
      </c>
      <c r="D30" s="366">
        <f>IF(LN_IA1=0,0,LN_IA11/LN_IA1)</f>
        <v>0.74647884688015198</v>
      </c>
      <c r="E30" s="367">
        <f t="shared" si="2"/>
        <v>9.0897052447288851E-2</v>
      </c>
      <c r="F30" s="362">
        <f t="shared" si="3"/>
        <v>0.13865097112088498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636</v>
      </c>
      <c r="C31" s="376">
        <f>C30*C18</f>
        <v>3445.0823297446959</v>
      </c>
      <c r="D31" s="376">
        <f>LN_IA14*LN_IA4</f>
        <v>3720.4505728506774</v>
      </c>
      <c r="E31" s="376">
        <f t="shared" si="2"/>
        <v>275.36824310598149</v>
      </c>
      <c r="F31" s="362">
        <f t="shared" si="3"/>
        <v>7.993081637801909E-2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637</v>
      </c>
      <c r="C32" s="378">
        <f>IF(C31=0,0,C28/C31)</f>
        <v>7549.2015895966533</v>
      </c>
      <c r="D32" s="378">
        <f>IF(LN_IA15=0,0,LN_IA12/LN_IA15)</f>
        <v>8086.1590312565204</v>
      </c>
      <c r="E32" s="378">
        <f t="shared" si="2"/>
        <v>536.95744165986707</v>
      </c>
      <c r="F32" s="362">
        <f t="shared" si="3"/>
        <v>7.1127712684190783E-2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638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639</v>
      </c>
      <c r="C35" s="361">
        <f>C15+C27</f>
        <v>365007047</v>
      </c>
      <c r="D35" s="361">
        <f>LN_IA1+LN_IA11</f>
        <v>372343911</v>
      </c>
      <c r="E35" s="361">
        <f>D35-C35</f>
        <v>7336864</v>
      </c>
      <c r="F35" s="362">
        <f>IF(C35=0,0,E35/C35)</f>
        <v>2.0100609180841379E-2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640</v>
      </c>
      <c r="C36" s="361">
        <f>C16+C28</f>
        <v>78069609</v>
      </c>
      <c r="D36" s="361">
        <f>LN_IA2+LN_IA12</f>
        <v>76762153</v>
      </c>
      <c r="E36" s="361">
        <f>D36-C36</f>
        <v>-1307456</v>
      </c>
      <c r="F36" s="362">
        <f>IF(C36=0,0,E36/C36)</f>
        <v>-1.6747310723690189E-2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641</v>
      </c>
      <c r="C37" s="361">
        <f>C35-C36</f>
        <v>286937438</v>
      </c>
      <c r="D37" s="361">
        <f>LN_IA17-LN_IA18</f>
        <v>295581758</v>
      </c>
      <c r="E37" s="361">
        <f>D37-C37</f>
        <v>8644320</v>
      </c>
      <c r="F37" s="362">
        <f>IF(C37=0,0,E37/C37)</f>
        <v>3.0126148962130204E-2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642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643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623</v>
      </c>
      <c r="C42" s="361">
        <v>180120722</v>
      </c>
      <c r="D42" s="361">
        <v>186681940</v>
      </c>
      <c r="E42" s="361">
        <f t="shared" ref="E42:E53" si="4">D42-C42</f>
        <v>6561218</v>
      </c>
      <c r="F42" s="362">
        <f t="shared" ref="F42:F53" si="5">IF(C42=0,0,E42/C42)</f>
        <v>3.6426780478927903E-2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624</v>
      </c>
      <c r="C43" s="361">
        <v>74166562</v>
      </c>
      <c r="D43" s="361">
        <v>76812231</v>
      </c>
      <c r="E43" s="361">
        <f t="shared" si="4"/>
        <v>2645669</v>
      </c>
      <c r="F43" s="362">
        <f t="shared" si="5"/>
        <v>3.5671991914631287E-2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625</v>
      </c>
      <c r="C44" s="366">
        <f>IF(C42=0,0,C43/C42)</f>
        <v>0.41176029707453649</v>
      </c>
      <c r="D44" s="366">
        <f>IF(LN_IB1=0,0,LN_IB2/LN_IB1)</f>
        <v>0.41146042836280788</v>
      </c>
      <c r="E44" s="367">
        <f t="shared" si="4"/>
        <v>-2.9986871172860141E-4</v>
      </c>
      <c r="F44" s="362">
        <f t="shared" si="5"/>
        <v>-7.28260383186773E-4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7441</v>
      </c>
      <c r="D45" s="369">
        <v>7317</v>
      </c>
      <c r="E45" s="369">
        <f t="shared" si="4"/>
        <v>-124</v>
      </c>
      <c r="F45" s="362">
        <f t="shared" si="5"/>
        <v>-1.6664426824351566E-2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626</v>
      </c>
      <c r="C46" s="372">
        <v>0.94159999999999999</v>
      </c>
      <c r="D46" s="372">
        <v>0.8478</v>
      </c>
      <c r="E46" s="373">
        <f t="shared" si="4"/>
        <v>-9.3799999999999994E-2</v>
      </c>
      <c r="F46" s="362">
        <f t="shared" si="5"/>
        <v>-9.9617672047578584E-2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627</v>
      </c>
      <c r="C47" s="376">
        <f>C45*C46</f>
        <v>7006.4456</v>
      </c>
      <c r="D47" s="376">
        <f>LN_IB4*LN_IB5</f>
        <v>6203.3526000000002</v>
      </c>
      <c r="E47" s="376">
        <f t="shared" si="4"/>
        <v>-803.09299999999985</v>
      </c>
      <c r="F47" s="362">
        <f t="shared" si="5"/>
        <v>-0.11462202746568101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628</v>
      </c>
      <c r="C48" s="378">
        <f>IF(C47=0,0,C43/C47)</f>
        <v>10585.476036522712</v>
      </c>
      <c r="D48" s="378">
        <f>IF(LN_IB6=0,0,LN_IB2/LN_IB6)</f>
        <v>12382.373847328943</v>
      </c>
      <c r="E48" s="378">
        <f t="shared" si="4"/>
        <v>1796.8978108062311</v>
      </c>
      <c r="F48" s="362">
        <f t="shared" si="5"/>
        <v>0.16975125205578426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644</v>
      </c>
      <c r="C49" s="378">
        <f>C21-C48</f>
        <v>-3579.0165051543245</v>
      </c>
      <c r="D49" s="378">
        <f>LN_IA7-LN_IB7</f>
        <v>-5429.4641055688226</v>
      </c>
      <c r="E49" s="378">
        <f t="shared" si="4"/>
        <v>-1850.4476004144981</v>
      </c>
      <c r="F49" s="362">
        <f t="shared" si="5"/>
        <v>0.51702684180125291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645</v>
      </c>
      <c r="C50" s="391">
        <f>C49*C47</f>
        <v>-25076184.444865894</v>
      </c>
      <c r="D50" s="391">
        <f>LN_IB8*LN_IB6</f>
        <v>-33680880.275887027</v>
      </c>
      <c r="E50" s="391">
        <f t="shared" si="4"/>
        <v>-8604695.8310211338</v>
      </c>
      <c r="F50" s="362">
        <f t="shared" si="5"/>
        <v>0.34314214947413429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24155</v>
      </c>
      <c r="D51" s="369">
        <v>24293</v>
      </c>
      <c r="E51" s="369">
        <f t="shared" si="4"/>
        <v>138</v>
      </c>
      <c r="F51" s="362">
        <f t="shared" si="5"/>
        <v>5.7131028772510872E-3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629</v>
      </c>
      <c r="C52" s="378">
        <f>IF(C51=0,0,C43/C51)</f>
        <v>3070.4434692610225</v>
      </c>
      <c r="D52" s="378">
        <f>IF(LN_IB10=0,0,LN_IB2/LN_IB10)</f>
        <v>3161.9079981887785</v>
      </c>
      <c r="E52" s="378">
        <f t="shared" si="4"/>
        <v>91.464528927755964</v>
      </c>
      <c r="F52" s="362">
        <f t="shared" si="5"/>
        <v>2.9788703111921857E-2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630</v>
      </c>
      <c r="C53" s="379">
        <f>IF(C45=0,0,C51/C45)</f>
        <v>3.2462034672759037</v>
      </c>
      <c r="D53" s="379">
        <f>IF(LN_IB4=0,0,LN_IB10/LN_IB4)</f>
        <v>3.3200765340986744</v>
      </c>
      <c r="E53" s="379">
        <f t="shared" si="4"/>
        <v>7.3873066822770728E-2</v>
      </c>
      <c r="F53" s="362">
        <f t="shared" si="5"/>
        <v>2.2756758030562492E-2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646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632</v>
      </c>
      <c r="C56" s="361">
        <v>348211695</v>
      </c>
      <c r="D56" s="361">
        <v>359527568</v>
      </c>
      <c r="E56" s="361">
        <f t="shared" ref="E56:E63" si="6">D56-C56</f>
        <v>11315873</v>
      </c>
      <c r="F56" s="362">
        <f t="shared" ref="F56:F63" si="7">IF(C56=0,0,E56/C56)</f>
        <v>3.2497107829764303E-2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633</v>
      </c>
      <c r="C57" s="361">
        <v>129105273</v>
      </c>
      <c r="D57" s="361">
        <v>144513283</v>
      </c>
      <c r="E57" s="361">
        <f t="shared" si="6"/>
        <v>15408010</v>
      </c>
      <c r="F57" s="362">
        <f t="shared" si="7"/>
        <v>0.11934454450981255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634</v>
      </c>
      <c r="C58" s="366">
        <f>IF(C56=0,0,C57/C56)</f>
        <v>0.37076661942672545</v>
      </c>
      <c r="D58" s="366">
        <f>IF(LN_IB13=0,0,LN_IB14/LN_IB13)</f>
        <v>0.40195327385854318</v>
      </c>
      <c r="E58" s="367">
        <f t="shared" si="6"/>
        <v>3.1186654431817729E-2</v>
      </c>
      <c r="F58" s="362">
        <f t="shared" si="7"/>
        <v>8.4113975740421648E-2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635</v>
      </c>
      <c r="C59" s="366">
        <f>IF(C42=0,0,C56/C42)</f>
        <v>1.9332128537659314</v>
      </c>
      <c r="D59" s="366">
        <f>IF(LN_IB1=0,0,LN_IB13/LN_IB1)</f>
        <v>1.9258829643617374</v>
      </c>
      <c r="E59" s="367">
        <f t="shared" si="6"/>
        <v>-7.3298894041939899E-3</v>
      </c>
      <c r="F59" s="362">
        <f t="shared" si="7"/>
        <v>-3.7915583842282248E-3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636</v>
      </c>
      <c r="C60" s="376">
        <f>C59*C45</f>
        <v>14385.036844872297</v>
      </c>
      <c r="D60" s="376">
        <f>LN_IB16*LN_IB4</f>
        <v>14091.685650234833</v>
      </c>
      <c r="E60" s="376">
        <f t="shared" si="6"/>
        <v>-293.35119463746378</v>
      </c>
      <c r="F60" s="362">
        <f t="shared" si="7"/>
        <v>-2.0392801061335619E-2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637</v>
      </c>
      <c r="C61" s="378">
        <f>IF(C60=0,0,C57/C60)</f>
        <v>8974.9699213332897</v>
      </c>
      <c r="D61" s="378">
        <f>IF(LN_IB17=0,0,LN_IB14/LN_IB17)</f>
        <v>10255.216202441454</v>
      </c>
      <c r="E61" s="378">
        <f t="shared" si="6"/>
        <v>1280.2462811081641</v>
      </c>
      <c r="F61" s="362">
        <f t="shared" si="7"/>
        <v>0.14264630325557406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647</v>
      </c>
      <c r="C62" s="378">
        <f>C32-C61</f>
        <v>-1425.7683317366364</v>
      </c>
      <c r="D62" s="378">
        <f>LN_IA16-LN_IB18</f>
        <v>-2169.0571711849334</v>
      </c>
      <c r="E62" s="378">
        <f t="shared" si="6"/>
        <v>-743.28883944829704</v>
      </c>
      <c r="F62" s="362">
        <f t="shared" si="7"/>
        <v>0.52132511495955647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648</v>
      </c>
      <c r="C63" s="361">
        <f>C62*C60</f>
        <v>-20509729.984283622</v>
      </c>
      <c r="D63" s="361">
        <f>LN_IB19*LN_IB17</f>
        <v>-30565671.813725684</v>
      </c>
      <c r="E63" s="361">
        <f t="shared" si="6"/>
        <v>-10055941.829442061</v>
      </c>
      <c r="F63" s="362">
        <f t="shared" si="7"/>
        <v>0.49030103454057256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649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639</v>
      </c>
      <c r="C66" s="361">
        <f>C42+C56</f>
        <v>528332417</v>
      </c>
      <c r="D66" s="361">
        <f>LN_IB1+LN_IB13</f>
        <v>546209508</v>
      </c>
      <c r="E66" s="361">
        <f>D66-C66</f>
        <v>17877091</v>
      </c>
      <c r="F66" s="362">
        <f>IF(C66=0,0,E66/C66)</f>
        <v>3.3836823985759705E-2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640</v>
      </c>
      <c r="C67" s="361">
        <f>C43+C57</f>
        <v>203271835</v>
      </c>
      <c r="D67" s="361">
        <f>LN_IB2+LN_IB14</f>
        <v>221325514</v>
      </c>
      <c r="E67" s="361">
        <f>D67-C67</f>
        <v>18053679</v>
      </c>
      <c r="F67" s="362">
        <f>IF(C67=0,0,E67/C67)</f>
        <v>8.8815447550812929E-2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641</v>
      </c>
      <c r="C68" s="361">
        <f>C66-C67</f>
        <v>325060582</v>
      </c>
      <c r="D68" s="361">
        <f>LN_IB21-LN_IB22</f>
        <v>324883994</v>
      </c>
      <c r="E68" s="361">
        <f>D68-C68</f>
        <v>-176588</v>
      </c>
      <c r="F68" s="362">
        <f>IF(C68=0,0,E68/C68)</f>
        <v>-5.4324642783048973E-4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650</v>
      </c>
      <c r="C70" s="353">
        <f>C50+C63</f>
        <v>-45585914.429149516</v>
      </c>
      <c r="D70" s="353">
        <f>LN_IB9+LN_IB20</f>
        <v>-64246552.089612707</v>
      </c>
      <c r="E70" s="361">
        <f>D70-C70</f>
        <v>-18660637.660463192</v>
      </c>
      <c r="F70" s="362">
        <f>IF(C70=0,0,E70/C70)</f>
        <v>0.409350956192091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651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652</v>
      </c>
      <c r="C73" s="400">
        <v>474455885</v>
      </c>
      <c r="D73" s="400">
        <v>484405308</v>
      </c>
      <c r="E73" s="400">
        <f>D73-C73</f>
        <v>9949423</v>
      </c>
      <c r="F73" s="401">
        <f>IF(C73=0,0,E73/C73)</f>
        <v>2.0970175130191504E-2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653</v>
      </c>
      <c r="C74" s="400">
        <v>194693903</v>
      </c>
      <c r="D74" s="400">
        <v>200620172</v>
      </c>
      <c r="E74" s="400">
        <f>D74-C74</f>
        <v>5926269</v>
      </c>
      <c r="F74" s="401">
        <f>IF(C74=0,0,E74/C74)</f>
        <v>3.0438903882881223E-2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654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655</v>
      </c>
      <c r="C76" s="353">
        <f>C73-C74</f>
        <v>279761982</v>
      </c>
      <c r="D76" s="353">
        <f>LN_IB32-LN_IB33</f>
        <v>283785136</v>
      </c>
      <c r="E76" s="400">
        <f>D76-C76</f>
        <v>4023154</v>
      </c>
      <c r="F76" s="401">
        <f>IF(C76=0,0,E76/C76)</f>
        <v>1.4380631604189878E-2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656</v>
      </c>
      <c r="C77" s="366">
        <f>IF(C73=0,0,C76/C73)</f>
        <v>0.58964803861585569</v>
      </c>
      <c r="D77" s="366">
        <f>IF(LN_IB1=0,0,LN_IB34/LN_IB32)</f>
        <v>0.58584233350308379</v>
      </c>
      <c r="E77" s="405">
        <f>D77-C77</f>
        <v>-3.8057051127718955E-3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657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658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623</v>
      </c>
      <c r="C83" s="361">
        <v>7142474</v>
      </c>
      <c r="D83" s="361">
        <v>11328527</v>
      </c>
      <c r="E83" s="361">
        <f t="shared" ref="E83:E95" si="8">D83-C83</f>
        <v>4186053</v>
      </c>
      <c r="F83" s="362">
        <f t="shared" ref="F83:F95" si="9">IF(C83=0,0,E83/C83)</f>
        <v>0.58607885726990394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624</v>
      </c>
      <c r="C84" s="361">
        <v>1006552</v>
      </c>
      <c r="D84" s="361">
        <v>3467346</v>
      </c>
      <c r="E84" s="361">
        <f t="shared" si="8"/>
        <v>2460794</v>
      </c>
      <c r="F84" s="362">
        <f t="shared" si="9"/>
        <v>2.4447758287698997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625</v>
      </c>
      <c r="C85" s="366">
        <f>IF(C83=0,0,C84/C83)</f>
        <v>0.14092483920837515</v>
      </c>
      <c r="D85" s="366">
        <f>IF(LN_IC1=0,0,LN_IC2/LN_IC1)</f>
        <v>0.30607209569258209</v>
      </c>
      <c r="E85" s="367">
        <f t="shared" si="8"/>
        <v>0.16514725648420694</v>
      </c>
      <c r="F85" s="362">
        <f t="shared" si="9"/>
        <v>1.1718818159516642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290</v>
      </c>
      <c r="D86" s="369">
        <v>370</v>
      </c>
      <c r="E86" s="369">
        <f t="shared" si="8"/>
        <v>80</v>
      </c>
      <c r="F86" s="362">
        <f t="shared" si="9"/>
        <v>0.27586206896551724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626</v>
      </c>
      <c r="C87" s="372">
        <v>0.99399999999999999</v>
      </c>
      <c r="D87" s="372">
        <v>0.90229999999999999</v>
      </c>
      <c r="E87" s="373">
        <f t="shared" si="8"/>
        <v>-9.1700000000000004E-2</v>
      </c>
      <c r="F87" s="362">
        <f t="shared" si="9"/>
        <v>-9.2253521126760565E-2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627</v>
      </c>
      <c r="C88" s="376">
        <f>C86*C87</f>
        <v>288.26</v>
      </c>
      <c r="D88" s="376">
        <f>LN_IC4*LN_IC5</f>
        <v>333.851</v>
      </c>
      <c r="E88" s="376">
        <f t="shared" si="8"/>
        <v>45.591000000000008</v>
      </c>
      <c r="F88" s="362">
        <f t="shared" si="9"/>
        <v>0.15815930063137448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628</v>
      </c>
      <c r="C89" s="378">
        <f>IF(C88=0,0,C84/C88)</f>
        <v>3491.8198848261986</v>
      </c>
      <c r="D89" s="378">
        <f>IF(LN_IC6=0,0,LN_IC2/LN_IC6)</f>
        <v>10385.908683814037</v>
      </c>
      <c r="E89" s="378">
        <f t="shared" si="8"/>
        <v>6894.0887989878393</v>
      </c>
      <c r="F89" s="362">
        <f t="shared" si="9"/>
        <v>1.9743540693339585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659</v>
      </c>
      <c r="C90" s="378">
        <f>C48-C89</f>
        <v>7093.6561516965139</v>
      </c>
      <c r="D90" s="378">
        <f>LN_IB7-LN_IC7</f>
        <v>1996.4651635149057</v>
      </c>
      <c r="E90" s="378">
        <f t="shared" si="8"/>
        <v>-5097.1909881816082</v>
      </c>
      <c r="F90" s="362">
        <f t="shared" si="9"/>
        <v>-0.71855625352838215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660</v>
      </c>
      <c r="C91" s="378">
        <f>C21-C89</f>
        <v>3514.639646542189</v>
      </c>
      <c r="D91" s="378">
        <f>LN_IA7-LN_IC7</f>
        <v>-3432.9989420539168</v>
      </c>
      <c r="E91" s="378">
        <f t="shared" si="8"/>
        <v>-6947.6385885961063</v>
      </c>
      <c r="F91" s="362">
        <f t="shared" si="9"/>
        <v>-1.9767712446513279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645</v>
      </c>
      <c r="C92" s="353">
        <f>C91*C88</f>
        <v>1013130.0245122514</v>
      </c>
      <c r="D92" s="353">
        <f>LN_IC9*LN_IC6</f>
        <v>-1146110.1298036422</v>
      </c>
      <c r="E92" s="353">
        <f t="shared" si="8"/>
        <v>-2159240.1543158935</v>
      </c>
      <c r="F92" s="362">
        <f t="shared" si="9"/>
        <v>-2.131256701582219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694</v>
      </c>
      <c r="D93" s="369">
        <v>1052</v>
      </c>
      <c r="E93" s="369">
        <f t="shared" si="8"/>
        <v>358</v>
      </c>
      <c r="F93" s="362">
        <f t="shared" si="9"/>
        <v>0.51585014409221897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629</v>
      </c>
      <c r="C94" s="411">
        <f>IF(C93=0,0,C84/C93)</f>
        <v>1450.3631123919308</v>
      </c>
      <c r="D94" s="411">
        <f>IF(LN_IC11=0,0,LN_IC2/LN_IC11)</f>
        <v>3295.9562737642586</v>
      </c>
      <c r="E94" s="411">
        <f t="shared" si="8"/>
        <v>1845.5931613723278</v>
      </c>
      <c r="F94" s="362">
        <f t="shared" si="9"/>
        <v>1.2725042064318539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630</v>
      </c>
      <c r="C95" s="379">
        <f>IF(C86=0,0,C93/C86)</f>
        <v>2.3931034482758622</v>
      </c>
      <c r="D95" s="379">
        <f>IF(LN_IC4=0,0,LN_IC11/LN_IC4)</f>
        <v>2.8432432432432431</v>
      </c>
      <c r="E95" s="379">
        <f t="shared" si="8"/>
        <v>0.45013979496738088</v>
      </c>
      <c r="F95" s="362">
        <f t="shared" si="9"/>
        <v>0.18809876158579317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661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632</v>
      </c>
      <c r="C98" s="361">
        <v>26201618</v>
      </c>
      <c r="D98" s="361">
        <v>32051536</v>
      </c>
      <c r="E98" s="361">
        <f t="shared" ref="E98:E106" si="10">D98-C98</f>
        <v>5849918</v>
      </c>
      <c r="F98" s="362">
        <f t="shared" ref="F98:F106" si="11">IF(C98=0,0,E98/C98)</f>
        <v>0.22326552505268948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633</v>
      </c>
      <c r="C99" s="361">
        <v>3692459</v>
      </c>
      <c r="D99" s="361">
        <v>9810082</v>
      </c>
      <c r="E99" s="361">
        <f t="shared" si="10"/>
        <v>6117623</v>
      </c>
      <c r="F99" s="362">
        <f t="shared" si="11"/>
        <v>1.6567883353613404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634</v>
      </c>
      <c r="C100" s="366">
        <f>IF(C98=0,0,C99/C98)</f>
        <v>0.14092484670221511</v>
      </c>
      <c r="D100" s="366">
        <f>IF(LN_IC14=0,0,LN_IC15/LN_IC14)</f>
        <v>0.30607213332927319</v>
      </c>
      <c r="E100" s="367">
        <f t="shared" si="10"/>
        <v>0.16514728662705808</v>
      </c>
      <c r="F100" s="362">
        <f t="shared" si="11"/>
        <v>1.1718819675285992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635</v>
      </c>
      <c r="C101" s="366">
        <f>IF(C83=0,0,C98/C83)</f>
        <v>3.6684232942255024</v>
      </c>
      <c r="D101" s="366">
        <f>IF(LN_IC1=0,0,LN_IC14/LN_IC1)</f>
        <v>2.8292765687895698</v>
      </c>
      <c r="E101" s="367">
        <f t="shared" si="10"/>
        <v>-0.83914672543593261</v>
      </c>
      <c r="F101" s="362">
        <f t="shared" si="11"/>
        <v>-0.22874860890694945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636</v>
      </c>
      <c r="C102" s="376">
        <f>C101*C86</f>
        <v>1063.8427553253957</v>
      </c>
      <c r="D102" s="376">
        <f>LN_IC17*LN_IC4</f>
        <v>1046.8323304521409</v>
      </c>
      <c r="E102" s="376">
        <f t="shared" si="10"/>
        <v>-17.010424873254806</v>
      </c>
      <c r="F102" s="362">
        <f t="shared" si="11"/>
        <v>-1.5989604467487168E-2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637</v>
      </c>
      <c r="C103" s="378">
        <f>IF(C102=0,0,C99/C102)</f>
        <v>3470.8691500846794</v>
      </c>
      <c r="D103" s="378">
        <f>IF(LN_IC18=0,0,LN_IC15/LN_IC18)</f>
        <v>9371.2065577520843</v>
      </c>
      <c r="E103" s="378">
        <f t="shared" si="10"/>
        <v>5900.3374076674045</v>
      </c>
      <c r="F103" s="362">
        <f t="shared" si="11"/>
        <v>1.6999596217919806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662</v>
      </c>
      <c r="C104" s="378">
        <f>C61-C103</f>
        <v>5504.1007712486098</v>
      </c>
      <c r="D104" s="378">
        <f>LN_IB18-LN_IC19</f>
        <v>884.00964468936945</v>
      </c>
      <c r="E104" s="378">
        <f t="shared" si="10"/>
        <v>-4620.0911265592404</v>
      </c>
      <c r="F104" s="362">
        <f t="shared" si="11"/>
        <v>-0.839390723130087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663</v>
      </c>
      <c r="C105" s="378">
        <f>C32-C103</f>
        <v>4078.3324395119739</v>
      </c>
      <c r="D105" s="378">
        <f>LN_IA16-LN_IC19</f>
        <v>-1285.0475264955639</v>
      </c>
      <c r="E105" s="378">
        <f t="shared" si="10"/>
        <v>-5363.3799660075383</v>
      </c>
      <c r="F105" s="362">
        <f t="shared" si="11"/>
        <v>-1.315091411883367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648</v>
      </c>
      <c r="C106" s="361">
        <f>C105*C102</f>
        <v>4338704.4195833616</v>
      </c>
      <c r="D106" s="361">
        <f>LN_IC21*LN_IC18</f>
        <v>-1345229.2969031106</v>
      </c>
      <c r="E106" s="361">
        <f t="shared" si="10"/>
        <v>-5683933.7164864726</v>
      </c>
      <c r="F106" s="362">
        <f t="shared" si="11"/>
        <v>-1.31005322483625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664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639</v>
      </c>
      <c r="C109" s="361">
        <f>C83+C98</f>
        <v>33344092</v>
      </c>
      <c r="D109" s="361">
        <f>LN_IC1+LN_IC14</f>
        <v>43380063</v>
      </c>
      <c r="E109" s="361">
        <f>D109-C109</f>
        <v>10035971</v>
      </c>
      <c r="F109" s="362">
        <f>IF(C109=0,0,E109/C109)</f>
        <v>0.3009819850545038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640</v>
      </c>
      <c r="C110" s="361">
        <f>C84+C99</f>
        <v>4699011</v>
      </c>
      <c r="D110" s="361">
        <f>LN_IC2+LN_IC15</f>
        <v>13277428</v>
      </c>
      <c r="E110" s="361">
        <f>D110-C110</f>
        <v>8578417</v>
      </c>
      <c r="F110" s="362">
        <f>IF(C110=0,0,E110/C110)</f>
        <v>1.8255792548687373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641</v>
      </c>
      <c r="C111" s="361">
        <f>C109-C110</f>
        <v>28645081</v>
      </c>
      <c r="D111" s="361">
        <f>LN_IC23-LN_IC24</f>
        <v>30102635</v>
      </c>
      <c r="E111" s="361">
        <f>D111-C111</f>
        <v>1457554</v>
      </c>
      <c r="F111" s="362">
        <f>IF(C111=0,0,E111/C111)</f>
        <v>5.0883221450831295E-2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650</v>
      </c>
      <c r="C113" s="361">
        <f>C92+C106</f>
        <v>5351834.4440956134</v>
      </c>
      <c r="D113" s="361">
        <f>LN_IC10+LN_IC22</f>
        <v>-2491339.4267067527</v>
      </c>
      <c r="E113" s="361">
        <f>D113-C113</f>
        <v>-7843173.8708023662</v>
      </c>
      <c r="F113" s="362">
        <f>IF(C113=0,0,E113/C113)</f>
        <v>-1.4655113032233857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665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666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623</v>
      </c>
      <c r="C118" s="361">
        <v>11488001</v>
      </c>
      <c r="D118" s="361">
        <v>11753834</v>
      </c>
      <c r="E118" s="361">
        <f t="shared" ref="E118:E130" si="12">D118-C118</f>
        <v>265833</v>
      </c>
      <c r="F118" s="362">
        <f t="shared" ref="F118:F130" si="13">IF(C118=0,0,E118/C118)</f>
        <v>2.3140057177919813E-2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624</v>
      </c>
      <c r="C119" s="361">
        <v>3265205</v>
      </c>
      <c r="D119" s="361">
        <v>1184120</v>
      </c>
      <c r="E119" s="361">
        <f t="shared" si="12"/>
        <v>-2081085</v>
      </c>
      <c r="F119" s="362">
        <f t="shared" si="13"/>
        <v>-0.63735201924534601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625</v>
      </c>
      <c r="C120" s="366">
        <f>IF(C118=0,0,C119/C118)</f>
        <v>0.28422742999413042</v>
      </c>
      <c r="D120" s="366">
        <f>IF(LN_ID1=0,0,LN_1D2/LN_ID1)</f>
        <v>0.10074329788901222</v>
      </c>
      <c r="E120" s="367">
        <f t="shared" si="12"/>
        <v>-0.18348413210511821</v>
      </c>
      <c r="F120" s="362">
        <f t="shared" si="13"/>
        <v>-0.6455539217622569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445</v>
      </c>
      <c r="D121" s="369">
        <v>425</v>
      </c>
      <c r="E121" s="369">
        <f t="shared" si="12"/>
        <v>-20</v>
      </c>
      <c r="F121" s="362">
        <f t="shared" si="13"/>
        <v>-4.49438202247191E-2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626</v>
      </c>
      <c r="C122" s="372">
        <v>0.97989999999999999</v>
      </c>
      <c r="D122" s="372">
        <v>0.92859999999999998</v>
      </c>
      <c r="E122" s="373">
        <f t="shared" si="12"/>
        <v>-5.1300000000000012E-2</v>
      </c>
      <c r="F122" s="362">
        <f t="shared" si="13"/>
        <v>-5.2352280844984195E-2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627</v>
      </c>
      <c r="C123" s="376">
        <f>C121*C122</f>
        <v>436.05549999999999</v>
      </c>
      <c r="D123" s="376">
        <f>LN_ID4*LN_ID5</f>
        <v>394.65499999999997</v>
      </c>
      <c r="E123" s="376">
        <f t="shared" si="12"/>
        <v>-41.400500000000022</v>
      </c>
      <c r="F123" s="362">
        <f t="shared" si="13"/>
        <v>-9.4943189571052355E-2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628</v>
      </c>
      <c r="C124" s="378">
        <f>IF(C123=0,0,C119/C123)</f>
        <v>7488.0491130142836</v>
      </c>
      <c r="D124" s="378">
        <f>IF(LN_ID6=0,0,LN_1D2/LN_ID6)</f>
        <v>3000.3927480964389</v>
      </c>
      <c r="E124" s="378">
        <f t="shared" si="12"/>
        <v>-4487.6563649178443</v>
      </c>
      <c r="F124" s="362">
        <f t="shared" si="13"/>
        <v>-0.59930915211523716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667</v>
      </c>
      <c r="C125" s="378">
        <f>C48-C124</f>
        <v>3097.4269235084284</v>
      </c>
      <c r="D125" s="378">
        <f>LN_IB7-LN_ID7</f>
        <v>9381.9810992325038</v>
      </c>
      <c r="E125" s="378">
        <f t="shared" si="12"/>
        <v>6284.5541757240753</v>
      </c>
      <c r="F125" s="362">
        <f t="shared" si="13"/>
        <v>2.0289596271106265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668</v>
      </c>
      <c r="C126" s="378">
        <f>C21-C124</f>
        <v>-481.58958164589603</v>
      </c>
      <c r="D126" s="378">
        <f>LN_IA7-LN_ID7</f>
        <v>3952.5169936636817</v>
      </c>
      <c r="E126" s="378">
        <f t="shared" si="12"/>
        <v>4434.1065753095772</v>
      </c>
      <c r="F126" s="362">
        <f t="shared" si="13"/>
        <v>-9.2072311036202912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645</v>
      </c>
      <c r="C127" s="391">
        <f>C126*C123</f>
        <v>-209999.78581939201</v>
      </c>
      <c r="D127" s="391">
        <f>LN_ID9*LN_ID6</f>
        <v>1559880.5941343401</v>
      </c>
      <c r="E127" s="391">
        <f t="shared" si="12"/>
        <v>1769880.379953732</v>
      </c>
      <c r="F127" s="362">
        <f t="shared" si="13"/>
        <v>-8.4280104050958311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1511</v>
      </c>
      <c r="D128" s="369">
        <v>1944</v>
      </c>
      <c r="E128" s="369">
        <f t="shared" si="12"/>
        <v>433</v>
      </c>
      <c r="F128" s="362">
        <f t="shared" si="13"/>
        <v>0.28656518861681007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629</v>
      </c>
      <c r="C129" s="378">
        <f>IF(C128=0,0,C119/C128)</f>
        <v>2160.9563203176704</v>
      </c>
      <c r="D129" s="378">
        <f>IF(LN_ID11=0,0,LN_1D2/LN_ID11)</f>
        <v>609.11522633744858</v>
      </c>
      <c r="E129" s="378">
        <f t="shared" si="12"/>
        <v>-1551.8410939802218</v>
      </c>
      <c r="F129" s="362">
        <f t="shared" si="13"/>
        <v>-0.71812700672824992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630</v>
      </c>
      <c r="C130" s="379">
        <f>IF(C121=0,0,C128/C121)</f>
        <v>3.3955056179775283</v>
      </c>
      <c r="D130" s="379">
        <f>IF(LN_ID4=0,0,LN_ID11/LN_ID4)</f>
        <v>4.5741176470588236</v>
      </c>
      <c r="E130" s="379">
        <f t="shared" si="12"/>
        <v>1.1786120290812954</v>
      </c>
      <c r="F130" s="362">
        <f t="shared" si="13"/>
        <v>0.34710943278701284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669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632</v>
      </c>
      <c r="C133" s="361">
        <v>19830885</v>
      </c>
      <c r="D133" s="361">
        <v>19850838</v>
      </c>
      <c r="E133" s="361">
        <f t="shared" ref="E133:E141" si="14">D133-C133</f>
        <v>19953</v>
      </c>
      <c r="F133" s="362">
        <f t="shared" ref="F133:F141" si="15">IF(C133=0,0,E133/C133)</f>
        <v>1.0061578189778217E-3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633</v>
      </c>
      <c r="C134" s="361">
        <v>3628929</v>
      </c>
      <c r="D134" s="361">
        <v>2701312</v>
      </c>
      <c r="E134" s="361">
        <f t="shared" si="14"/>
        <v>-927617</v>
      </c>
      <c r="F134" s="362">
        <f t="shared" si="15"/>
        <v>-0.25561729094176272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634</v>
      </c>
      <c r="C135" s="366">
        <f>IF(C133=0,0,C134/C133)</f>
        <v>0.18299379982285208</v>
      </c>
      <c r="D135" s="366">
        <f>IF(LN_ID14=0,0,LN_ID15/LN_ID14)</f>
        <v>0.13608050199190583</v>
      </c>
      <c r="E135" s="367">
        <f t="shared" si="14"/>
        <v>-4.6913297830946249E-2</v>
      </c>
      <c r="F135" s="362">
        <f t="shared" si="15"/>
        <v>-0.25636550460376728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635</v>
      </c>
      <c r="C136" s="366">
        <f>IF(C118=0,0,C133/C118)</f>
        <v>1.7262259117143182</v>
      </c>
      <c r="D136" s="366">
        <f>IF(LN_ID1=0,0,LN_ID14/LN_ID1)</f>
        <v>1.6888819426920612</v>
      </c>
      <c r="E136" s="367">
        <f t="shared" si="14"/>
        <v>-3.7343969022257006E-2</v>
      </c>
      <c r="F136" s="362">
        <f t="shared" si="15"/>
        <v>-2.1633303479479487E-2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636</v>
      </c>
      <c r="C137" s="376">
        <f>C136*C121</f>
        <v>768.1705307128716</v>
      </c>
      <c r="D137" s="376">
        <f>LN_ID17*LN_ID4</f>
        <v>717.77482564412594</v>
      </c>
      <c r="E137" s="376">
        <f t="shared" si="14"/>
        <v>-50.395705068745656</v>
      </c>
      <c r="F137" s="362">
        <f t="shared" si="15"/>
        <v>-6.5604840401750159E-2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637</v>
      </c>
      <c r="C138" s="378">
        <f>IF(C137=0,0,C134/C137)</f>
        <v>4724.119000806123</v>
      </c>
      <c r="D138" s="378">
        <f>IF(LN_ID18=0,0,LN_ID15/LN_ID18)</f>
        <v>3763.4532495283074</v>
      </c>
      <c r="E138" s="378">
        <f t="shared" si="14"/>
        <v>-960.66575127781562</v>
      </c>
      <c r="F138" s="362">
        <f t="shared" si="15"/>
        <v>-0.20335341914839311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670</v>
      </c>
      <c r="C139" s="378">
        <f>C61-C138</f>
        <v>4250.8509205271666</v>
      </c>
      <c r="D139" s="378">
        <f>LN_IB18-LN_ID19</f>
        <v>6491.7629529131464</v>
      </c>
      <c r="E139" s="378">
        <f t="shared" si="14"/>
        <v>2240.9120323859797</v>
      </c>
      <c r="F139" s="362">
        <f t="shared" si="15"/>
        <v>0.5271678716288819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671</v>
      </c>
      <c r="C140" s="378">
        <f>C32-C138</f>
        <v>2825.0825887905303</v>
      </c>
      <c r="D140" s="378">
        <f>LN_IA16-LN_ID19</f>
        <v>4322.705781728213</v>
      </c>
      <c r="E140" s="378">
        <f t="shared" si="14"/>
        <v>1497.6231929376827</v>
      </c>
      <c r="F140" s="362">
        <f t="shared" si="15"/>
        <v>0.53011660575163666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648</v>
      </c>
      <c r="C141" s="353">
        <f>C140*C137</f>
        <v>2170145.191538915</v>
      </c>
      <c r="D141" s="353">
        <f>LN_ID21*LN_ID18</f>
        <v>3102729.3887908231</v>
      </c>
      <c r="E141" s="353">
        <f t="shared" si="14"/>
        <v>932584.19725190802</v>
      </c>
      <c r="F141" s="362">
        <f t="shared" si="15"/>
        <v>0.42973355003523273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672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639</v>
      </c>
      <c r="C144" s="361">
        <f>C118+C133</f>
        <v>31318886</v>
      </c>
      <c r="D144" s="361">
        <f>LN_ID1+LN_ID14</f>
        <v>31604672</v>
      </c>
      <c r="E144" s="361">
        <f>D144-C144</f>
        <v>285786</v>
      </c>
      <c r="F144" s="362">
        <f>IF(C144=0,0,E144/C144)</f>
        <v>9.1250372059849122E-3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640</v>
      </c>
      <c r="C145" s="361">
        <f>C119+C134</f>
        <v>6894134</v>
      </c>
      <c r="D145" s="361">
        <f>LN_1D2+LN_ID15</f>
        <v>3885432</v>
      </c>
      <c r="E145" s="361">
        <f>D145-C145</f>
        <v>-3008702</v>
      </c>
      <c r="F145" s="362">
        <f>IF(C145=0,0,E145/C145)</f>
        <v>-0.43641478393080263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641</v>
      </c>
      <c r="C146" s="361">
        <f>C144-C145</f>
        <v>24424752</v>
      </c>
      <c r="D146" s="361">
        <f>LN_ID23-LN_ID24</f>
        <v>27719240</v>
      </c>
      <c r="E146" s="361">
        <f>D146-C146</f>
        <v>3294488</v>
      </c>
      <c r="F146" s="362">
        <f>IF(C146=0,0,E146/C146)</f>
        <v>0.13488317097344529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650</v>
      </c>
      <c r="C148" s="361">
        <f>C127+C141</f>
        <v>1960145.4057195231</v>
      </c>
      <c r="D148" s="361">
        <f>LN_ID10+LN_ID22</f>
        <v>4662609.9829251636</v>
      </c>
      <c r="E148" s="361">
        <f>D148-C148</f>
        <v>2702464.5772056403</v>
      </c>
      <c r="F148" s="415">
        <f>IF(C148=0,0,E148/C148)</f>
        <v>1.3787061762459552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673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674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623</v>
      </c>
      <c r="C153" s="361">
        <v>11396853</v>
      </c>
      <c r="D153" s="361">
        <v>10773013</v>
      </c>
      <c r="E153" s="361">
        <f t="shared" ref="E153:E165" si="16">D153-C153</f>
        <v>-623840</v>
      </c>
      <c r="F153" s="362">
        <f t="shared" ref="F153:F165" si="17">IF(C153=0,0,E153/C153)</f>
        <v>-5.473791756373448E-2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624</v>
      </c>
      <c r="C154" s="361">
        <v>2239666</v>
      </c>
      <c r="D154" s="361">
        <v>2521581</v>
      </c>
      <c r="E154" s="361">
        <f t="shared" si="16"/>
        <v>281915</v>
      </c>
      <c r="F154" s="362">
        <f t="shared" si="17"/>
        <v>0.12587367937897884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625</v>
      </c>
      <c r="C155" s="366">
        <f>IF(C153=0,0,C154/C153)</f>
        <v>0.19651617863282084</v>
      </c>
      <c r="D155" s="366">
        <f>IF(LN_IE1=0,0,LN_IE2/LN_IE1)</f>
        <v>0.23406460198275078</v>
      </c>
      <c r="E155" s="367">
        <f t="shared" si="16"/>
        <v>3.7548423349929944E-2</v>
      </c>
      <c r="F155" s="362">
        <f t="shared" si="17"/>
        <v>0.19107039232676618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334</v>
      </c>
      <c r="D156" s="419">
        <v>297</v>
      </c>
      <c r="E156" s="419">
        <f t="shared" si="16"/>
        <v>-37</v>
      </c>
      <c r="F156" s="362">
        <f t="shared" si="17"/>
        <v>-0.11077844311377245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626</v>
      </c>
      <c r="C157" s="372">
        <v>0.97309999999999997</v>
      </c>
      <c r="D157" s="372">
        <v>1.1122000000000001</v>
      </c>
      <c r="E157" s="373">
        <f t="shared" si="16"/>
        <v>0.13910000000000011</v>
      </c>
      <c r="F157" s="362">
        <f t="shared" si="17"/>
        <v>0.14294522659541684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627</v>
      </c>
      <c r="C158" s="376">
        <f>C156*C157</f>
        <v>325.0154</v>
      </c>
      <c r="D158" s="376">
        <f>LN_IE4*LN_IE5</f>
        <v>330.32340000000005</v>
      </c>
      <c r="E158" s="376">
        <f t="shared" si="16"/>
        <v>5.3080000000000496</v>
      </c>
      <c r="F158" s="362">
        <f t="shared" si="17"/>
        <v>1.6331533828858723E-2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628</v>
      </c>
      <c r="C159" s="378">
        <f>IF(C158=0,0,C154/C158)</f>
        <v>6890.9534748199621</v>
      </c>
      <c r="D159" s="378">
        <f>IF(LN_IE6=0,0,LN_IE2/LN_IE6)</f>
        <v>7633.673545380072</v>
      </c>
      <c r="E159" s="378">
        <f t="shared" si="16"/>
        <v>742.72007056010989</v>
      </c>
      <c r="F159" s="362">
        <f t="shared" si="17"/>
        <v>0.10778190177514073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675</v>
      </c>
      <c r="C160" s="378">
        <f>C48-C159</f>
        <v>3694.52256170275</v>
      </c>
      <c r="D160" s="378">
        <f>LN_IB7-LN_IE7</f>
        <v>4748.7003019488711</v>
      </c>
      <c r="E160" s="378">
        <f t="shared" si="16"/>
        <v>1054.1777402461212</v>
      </c>
      <c r="F160" s="362">
        <f t="shared" si="17"/>
        <v>0.28533530994604794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676</v>
      </c>
      <c r="C161" s="378">
        <f>C21-C159</f>
        <v>115.50605654842548</v>
      </c>
      <c r="D161" s="378">
        <f>LN_IA7-LN_IE7</f>
        <v>-680.76380361995143</v>
      </c>
      <c r="E161" s="378">
        <f t="shared" si="16"/>
        <v>-796.26986016837691</v>
      </c>
      <c r="F161" s="362">
        <f t="shared" si="17"/>
        <v>-6.893749851416179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645</v>
      </c>
      <c r="C162" s="391">
        <f>C161*C158</f>
        <v>37541.247171509123</v>
      </c>
      <c r="D162" s="391">
        <f>LN_IE9*LN_IE6</f>
        <v>-224872.2142086747</v>
      </c>
      <c r="E162" s="391">
        <f t="shared" si="16"/>
        <v>-262413.46138018381</v>
      </c>
      <c r="F162" s="362">
        <f t="shared" si="17"/>
        <v>-6.9900038264934139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1837</v>
      </c>
      <c r="D163" s="369">
        <v>1377</v>
      </c>
      <c r="E163" s="419">
        <f t="shared" si="16"/>
        <v>-460</v>
      </c>
      <c r="F163" s="362">
        <f t="shared" si="17"/>
        <v>-0.25040827436037016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629</v>
      </c>
      <c r="C164" s="378">
        <f>IF(C163=0,0,C154/C163)</f>
        <v>1219.1976047904191</v>
      </c>
      <c r="D164" s="378">
        <f>IF(LN_IE11=0,0,LN_IE2/LN_IE11)</f>
        <v>1831.2135076252723</v>
      </c>
      <c r="E164" s="378">
        <f t="shared" si="16"/>
        <v>612.01590283485325</v>
      </c>
      <c r="F164" s="362">
        <f t="shared" si="17"/>
        <v>0.50198253378299507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630</v>
      </c>
      <c r="C165" s="379">
        <f>IF(C156=0,0,C163/C156)</f>
        <v>5.5</v>
      </c>
      <c r="D165" s="379">
        <f>IF(LN_IE4=0,0,LN_IE11/LN_IE4)</f>
        <v>4.6363636363636367</v>
      </c>
      <c r="E165" s="379">
        <f t="shared" si="16"/>
        <v>-0.86363636363636331</v>
      </c>
      <c r="F165" s="362">
        <f t="shared" si="17"/>
        <v>-0.1570247933884297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677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632</v>
      </c>
      <c r="C168" s="424">
        <v>8506404</v>
      </c>
      <c r="D168" s="424">
        <v>10130526</v>
      </c>
      <c r="E168" s="424">
        <f t="shared" ref="E168:E176" si="18">D168-C168</f>
        <v>1624122</v>
      </c>
      <c r="F168" s="362">
        <f t="shared" ref="F168:F176" si="19">IF(C168=0,0,E168/C168)</f>
        <v>0.19092932806859397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633</v>
      </c>
      <c r="C169" s="424">
        <v>679764</v>
      </c>
      <c r="D169" s="424">
        <v>721352</v>
      </c>
      <c r="E169" s="424">
        <f t="shared" si="18"/>
        <v>41588</v>
      </c>
      <c r="F169" s="362">
        <f t="shared" si="19"/>
        <v>6.1180056607881561E-2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634</v>
      </c>
      <c r="C170" s="366">
        <f>IF(C168=0,0,C169/C168)</f>
        <v>7.9912028631605084E-2</v>
      </c>
      <c r="D170" s="366">
        <f>IF(LN_IE14=0,0,LN_IE15/LN_IE14)</f>
        <v>7.1205779443239178E-2</v>
      </c>
      <c r="E170" s="367">
        <f t="shared" si="18"/>
        <v>-8.7062491883659054E-3</v>
      </c>
      <c r="F170" s="362">
        <f t="shared" si="19"/>
        <v>-0.10894791857308196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635</v>
      </c>
      <c r="C171" s="366">
        <f>IF(C153=0,0,C168/C153)</f>
        <v>0.74638183014205761</v>
      </c>
      <c r="D171" s="366">
        <f>IF(LN_IE1=0,0,LN_IE14/LN_IE1)</f>
        <v>0.94036143834598551</v>
      </c>
      <c r="E171" s="367">
        <f t="shared" si="18"/>
        <v>0.1939796082039279</v>
      </c>
      <c r="F171" s="362">
        <f t="shared" si="19"/>
        <v>0.25989326155891024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636</v>
      </c>
      <c r="C172" s="376">
        <f>C171*C156</f>
        <v>249.29153126744725</v>
      </c>
      <c r="D172" s="376">
        <f>LN_IE17*LN_IE4</f>
        <v>279.28734718875768</v>
      </c>
      <c r="E172" s="376">
        <f t="shared" si="18"/>
        <v>29.995815921310424</v>
      </c>
      <c r="F172" s="362">
        <f t="shared" si="19"/>
        <v>0.12032424755388114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637</v>
      </c>
      <c r="C173" s="378">
        <f>IF(C172=0,0,C169/C172)</f>
        <v>2726.7833630125579</v>
      </c>
      <c r="D173" s="378">
        <f>IF(LN_IE18=0,0,LN_IE15/LN_IE18)</f>
        <v>2582.8309347378736</v>
      </c>
      <c r="E173" s="378">
        <f t="shared" si="18"/>
        <v>-143.95242827468428</v>
      </c>
      <c r="F173" s="362">
        <f t="shared" si="19"/>
        <v>-5.2792029695987744E-2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678</v>
      </c>
      <c r="C174" s="378">
        <f>C61-C173</f>
        <v>6248.1865583207318</v>
      </c>
      <c r="D174" s="378">
        <f>LN_IB18-LN_IE19</f>
        <v>7672.3852677035802</v>
      </c>
      <c r="E174" s="378">
        <f t="shared" si="18"/>
        <v>1424.1987093828484</v>
      </c>
      <c r="F174" s="362">
        <f t="shared" si="19"/>
        <v>0.22793792984401817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679</v>
      </c>
      <c r="C175" s="378">
        <f>C32-C173</f>
        <v>4822.4182265840955</v>
      </c>
      <c r="D175" s="378">
        <f>LN_IA16-LN_IE19</f>
        <v>5503.3280965186468</v>
      </c>
      <c r="E175" s="378">
        <f t="shared" si="18"/>
        <v>680.90986993455135</v>
      </c>
      <c r="F175" s="362">
        <f t="shared" si="19"/>
        <v>0.14119676849696755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648</v>
      </c>
      <c r="C176" s="353">
        <f>C175*C172</f>
        <v>1202188.0241171967</v>
      </c>
      <c r="D176" s="353">
        <f>LN_IE21*LN_IE18</f>
        <v>1537009.9047860482</v>
      </c>
      <c r="E176" s="353">
        <f t="shared" si="18"/>
        <v>334821.88066885155</v>
      </c>
      <c r="F176" s="362">
        <f t="shared" si="19"/>
        <v>0.27851041097728574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680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639</v>
      </c>
      <c r="C179" s="361">
        <f>C153+C168</f>
        <v>19903257</v>
      </c>
      <c r="D179" s="361">
        <f>LN_IE1+LN_IE14</f>
        <v>20903539</v>
      </c>
      <c r="E179" s="361">
        <f>D179-C179</f>
        <v>1000282</v>
      </c>
      <c r="F179" s="362">
        <f>IF(C179=0,0,E179/C179)</f>
        <v>5.0257201622829872E-2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640</v>
      </c>
      <c r="C180" s="361">
        <f>C154+C169</f>
        <v>2919430</v>
      </c>
      <c r="D180" s="361">
        <f>LN_IE15+LN_IE2</f>
        <v>3242933</v>
      </c>
      <c r="E180" s="361">
        <f>D180-C180</f>
        <v>323503</v>
      </c>
      <c r="F180" s="362">
        <f>IF(C180=0,0,E180/C180)</f>
        <v>0.11081032941361842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641</v>
      </c>
      <c r="C181" s="361">
        <f>C179-C180</f>
        <v>16983827</v>
      </c>
      <c r="D181" s="361">
        <f>LN_IE23-LN_IE24</f>
        <v>17660606</v>
      </c>
      <c r="E181" s="361">
        <f>D181-C181</f>
        <v>676779</v>
      </c>
      <c r="F181" s="362">
        <f>IF(C181=0,0,E181/C181)</f>
        <v>3.9848439341733759E-2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681</v>
      </c>
      <c r="C183" s="361">
        <f>C162+C176</f>
        <v>1239729.2712887058</v>
      </c>
      <c r="D183" s="361">
        <f>LN_IE10+LN_IE22</f>
        <v>1312137.6905773736</v>
      </c>
      <c r="E183" s="353">
        <f>D183-C183</f>
        <v>72408.41928866785</v>
      </c>
      <c r="F183" s="362">
        <f>IF(C183=0,0,E183/C183)</f>
        <v>5.8406638421466713E-2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682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683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623</v>
      </c>
      <c r="C188" s="361">
        <f>C118+C153</f>
        <v>22884854</v>
      </c>
      <c r="D188" s="361">
        <f>LN_ID1+LN_IE1</f>
        <v>22526847</v>
      </c>
      <c r="E188" s="361">
        <f t="shared" ref="E188:E200" si="20">D188-C188</f>
        <v>-358007</v>
      </c>
      <c r="F188" s="362">
        <f t="shared" ref="F188:F200" si="21">IF(C188=0,0,E188/C188)</f>
        <v>-1.5643840244731297E-2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624</v>
      </c>
      <c r="C189" s="361">
        <f>C119+C154</f>
        <v>5504871</v>
      </c>
      <c r="D189" s="361">
        <f>LN_1D2+LN_IE2</f>
        <v>3705701</v>
      </c>
      <c r="E189" s="361">
        <f t="shared" si="20"/>
        <v>-1799170</v>
      </c>
      <c r="F189" s="362">
        <f t="shared" si="21"/>
        <v>-0.32683236355583989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625</v>
      </c>
      <c r="C190" s="366">
        <f>IF(C188=0,0,C189/C188)</f>
        <v>0.24054647672211499</v>
      </c>
      <c r="D190" s="366">
        <f>IF(LN_IF1=0,0,LN_IF2/LN_IF1)</f>
        <v>0.16450153898590425</v>
      </c>
      <c r="E190" s="367">
        <f t="shared" si="20"/>
        <v>-7.6044937736210738E-2</v>
      </c>
      <c r="F190" s="362">
        <f t="shared" si="21"/>
        <v>-0.31613407426482348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779</v>
      </c>
      <c r="D191" s="369">
        <f>LN_ID4+LN_IE4</f>
        <v>722</v>
      </c>
      <c r="E191" s="369">
        <f t="shared" si="20"/>
        <v>-57</v>
      </c>
      <c r="F191" s="362">
        <f t="shared" si="21"/>
        <v>-7.3170731707317069E-2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626</v>
      </c>
      <c r="C192" s="372">
        <f>IF((C121+C156)=0,0,(C123+C158)/(C121+C156))</f>
        <v>0.97698446726572519</v>
      </c>
      <c r="D192" s="372">
        <f>IF((LN_ID4+LN_IE4)=0,0,(LN_ID6+LN_IE6)/(LN_ID4+LN_IE4))</f>
        <v>1.0041252077562326</v>
      </c>
      <c r="E192" s="373">
        <f t="shared" si="20"/>
        <v>2.7140740490507409E-2</v>
      </c>
      <c r="F192" s="362">
        <f t="shared" si="21"/>
        <v>2.778011462809217E-2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627</v>
      </c>
      <c r="C193" s="376">
        <f>C123+C158</f>
        <v>761.07089999999994</v>
      </c>
      <c r="D193" s="376">
        <f>LN_IF4*LN_IF5</f>
        <v>724.97839999999997</v>
      </c>
      <c r="E193" s="376">
        <f t="shared" si="20"/>
        <v>-36.092499999999973</v>
      </c>
      <c r="F193" s="362">
        <f t="shared" si="21"/>
        <v>-4.7423308393475527E-2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628</v>
      </c>
      <c r="C194" s="378">
        <f>IF(C193=0,0,C189/C193)</f>
        <v>7233.0593641144342</v>
      </c>
      <c r="D194" s="378">
        <f>IF(LN_IF6=0,0,LN_IF2/LN_IF6)</f>
        <v>5111.4640105139688</v>
      </c>
      <c r="E194" s="378">
        <f t="shared" si="20"/>
        <v>-2121.5953536004654</v>
      </c>
      <c r="F194" s="362">
        <f t="shared" si="21"/>
        <v>-0.29331922313902076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684</v>
      </c>
      <c r="C195" s="378">
        <f>C48-C194</f>
        <v>3352.4166724082779</v>
      </c>
      <c r="D195" s="378">
        <f>LN_IB7-LN_IF7</f>
        <v>7270.9098368149744</v>
      </c>
      <c r="E195" s="378">
        <f t="shared" si="20"/>
        <v>3918.4931644066965</v>
      </c>
      <c r="F195" s="362">
        <f t="shared" si="21"/>
        <v>1.1688562453043063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685</v>
      </c>
      <c r="C196" s="378">
        <f>C21-C194</f>
        <v>-226.59983274604656</v>
      </c>
      <c r="D196" s="378">
        <f>LN_IA7-LN_IF7</f>
        <v>1841.4457312461518</v>
      </c>
      <c r="E196" s="378">
        <f t="shared" si="20"/>
        <v>2068.0455639921984</v>
      </c>
      <c r="F196" s="362">
        <f t="shared" si="21"/>
        <v>-9.1264214052173838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645</v>
      </c>
      <c r="C197" s="391">
        <f>C127+C162</f>
        <v>-172458.53864788287</v>
      </c>
      <c r="D197" s="391">
        <f>LN_IF9*LN_IF6</f>
        <v>1335008.379925665</v>
      </c>
      <c r="E197" s="391">
        <f t="shared" si="20"/>
        <v>1507466.9185735479</v>
      </c>
      <c r="F197" s="362">
        <f t="shared" si="21"/>
        <v>-8.7410396167824285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3348</v>
      </c>
      <c r="D198" s="369">
        <f>LN_ID11+LN_IE11</f>
        <v>3321</v>
      </c>
      <c r="E198" s="369">
        <f t="shared" si="20"/>
        <v>-27</v>
      </c>
      <c r="F198" s="362">
        <f t="shared" si="21"/>
        <v>-8.0645161290322578E-3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629</v>
      </c>
      <c r="C199" s="432">
        <f>IF(C198=0,0,C189/C198)</f>
        <v>1644.2267025089607</v>
      </c>
      <c r="D199" s="432">
        <f>IF(LN_IF11=0,0,LN_IF2/LN_IF11)</f>
        <v>1115.8389039445949</v>
      </c>
      <c r="E199" s="432">
        <f t="shared" si="20"/>
        <v>-528.38779856436577</v>
      </c>
      <c r="F199" s="362">
        <f t="shared" si="21"/>
        <v>-0.32135945594247284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630</v>
      </c>
      <c r="C200" s="379">
        <f>IF(C191=0,0,C198/C191)</f>
        <v>4.2978177150192556</v>
      </c>
      <c r="D200" s="379">
        <f>IF(LN_IF4=0,0,LN_IF11/LN_IF4)</f>
        <v>4.5997229916897506</v>
      </c>
      <c r="E200" s="379">
        <f t="shared" si="20"/>
        <v>0.30190527667049505</v>
      </c>
      <c r="F200" s="362">
        <f t="shared" si="21"/>
        <v>7.0246179966044098E-2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686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632</v>
      </c>
      <c r="C203" s="361">
        <f>C133+C168</f>
        <v>28337289</v>
      </c>
      <c r="D203" s="361">
        <f>LN_ID14+LN_IE14</f>
        <v>29981364</v>
      </c>
      <c r="E203" s="361">
        <f t="shared" ref="E203:E211" si="22">D203-C203</f>
        <v>1644075</v>
      </c>
      <c r="F203" s="362">
        <f t="shared" ref="F203:F211" si="23">IF(C203=0,0,E203/C203)</f>
        <v>5.8018076464548179E-2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633</v>
      </c>
      <c r="C204" s="361">
        <f>C134+C169</f>
        <v>4308693</v>
      </c>
      <c r="D204" s="361">
        <f>LN_ID15+LN_IE15</f>
        <v>3422664</v>
      </c>
      <c r="E204" s="361">
        <f t="shared" si="22"/>
        <v>-886029</v>
      </c>
      <c r="F204" s="362">
        <f t="shared" si="23"/>
        <v>-0.2056375332380376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634</v>
      </c>
      <c r="C205" s="366">
        <f>IF(C203=0,0,C204/C203)</f>
        <v>0.15205028963779846</v>
      </c>
      <c r="D205" s="366">
        <f>IF(LN_IF14=0,0,LN_IF15/LN_IF14)</f>
        <v>0.11415971601558889</v>
      </c>
      <c r="E205" s="367">
        <f t="shared" si="22"/>
        <v>-3.7890573622209572E-2</v>
      </c>
      <c r="F205" s="362">
        <f t="shared" si="23"/>
        <v>-0.24919764186223745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635</v>
      </c>
      <c r="C206" s="366">
        <f>IF(C188=0,0,C203/C188)</f>
        <v>1.2382551796048165</v>
      </c>
      <c r="D206" s="366">
        <f>IF(LN_IF1=0,0,LN_IF14/LN_IF1)</f>
        <v>1.3309170164825996</v>
      </c>
      <c r="E206" s="367">
        <f t="shared" si="22"/>
        <v>9.2661836877783177E-2</v>
      </c>
      <c r="F206" s="362">
        <f t="shared" si="23"/>
        <v>7.4832585725468789E-2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636</v>
      </c>
      <c r="C207" s="376">
        <f>C137+C172</f>
        <v>1017.4620619803188</v>
      </c>
      <c r="D207" s="376">
        <f>LN_ID18+LN_IE18</f>
        <v>997.06217283288356</v>
      </c>
      <c r="E207" s="376">
        <f t="shared" si="22"/>
        <v>-20.39988914743526</v>
      </c>
      <c r="F207" s="362">
        <f t="shared" si="23"/>
        <v>-2.0049778669614774E-2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637</v>
      </c>
      <c r="C208" s="378">
        <f>IF(C207=0,0,C204/C207)</f>
        <v>4234.7456096926635</v>
      </c>
      <c r="D208" s="378">
        <f>IF(LN_IF18=0,0,LN_IF15/LN_IF18)</f>
        <v>3432.74882274936</v>
      </c>
      <c r="E208" s="378">
        <f t="shared" si="22"/>
        <v>-801.9967869433035</v>
      </c>
      <c r="F208" s="362">
        <f t="shared" si="23"/>
        <v>-0.18938487948547833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687</v>
      </c>
      <c r="C209" s="378">
        <f>C61-C208</f>
        <v>4740.2243116406262</v>
      </c>
      <c r="D209" s="378">
        <f>LN_IB18-LN_IF19</f>
        <v>6822.4673796920943</v>
      </c>
      <c r="E209" s="378">
        <f t="shared" si="22"/>
        <v>2082.2430680514681</v>
      </c>
      <c r="F209" s="362">
        <f t="shared" si="23"/>
        <v>0.43927099882975551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688</v>
      </c>
      <c r="C210" s="378">
        <f>C32-C208</f>
        <v>3314.4559799039898</v>
      </c>
      <c r="D210" s="378">
        <f>LN_IA16-LN_IF19</f>
        <v>4653.4102085071609</v>
      </c>
      <c r="E210" s="378">
        <f t="shared" si="22"/>
        <v>1338.954228603171</v>
      </c>
      <c r="F210" s="362">
        <f t="shared" si="23"/>
        <v>0.40397405689544158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648</v>
      </c>
      <c r="C211" s="391">
        <f>C141+C176</f>
        <v>3372333.2156561119</v>
      </c>
      <c r="D211" s="353">
        <f>LN_IF21*LN_IF18</f>
        <v>4639739.293576872</v>
      </c>
      <c r="E211" s="353">
        <f t="shared" si="22"/>
        <v>1267406.07792076</v>
      </c>
      <c r="F211" s="362">
        <f t="shared" si="23"/>
        <v>0.37582468779680689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689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639</v>
      </c>
      <c r="C214" s="361">
        <f>C188+C203</f>
        <v>51222143</v>
      </c>
      <c r="D214" s="361">
        <f>LN_IF1+LN_IF14</f>
        <v>52508211</v>
      </c>
      <c r="E214" s="361">
        <f>D214-C214</f>
        <v>1286068</v>
      </c>
      <c r="F214" s="362">
        <f>IF(C214=0,0,E214/C214)</f>
        <v>2.51076570537082E-2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640</v>
      </c>
      <c r="C215" s="361">
        <f>C189+C204</f>
        <v>9813564</v>
      </c>
      <c r="D215" s="361">
        <f>LN_IF2+LN_IF15</f>
        <v>7128365</v>
      </c>
      <c r="E215" s="361">
        <f>D215-C215</f>
        <v>-2685199</v>
      </c>
      <c r="F215" s="362">
        <f>IF(C215=0,0,E215/C215)</f>
        <v>-0.27362118390423701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641</v>
      </c>
      <c r="C216" s="361">
        <f>C214-C215</f>
        <v>41408579</v>
      </c>
      <c r="D216" s="361">
        <f>LN_IF23-LN_IF24</f>
        <v>45379846</v>
      </c>
      <c r="E216" s="361">
        <f>D216-C216</f>
        <v>3971267</v>
      </c>
      <c r="F216" s="362">
        <f>IF(C216=0,0,E216/C216)</f>
        <v>9.5904450138218938E-2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690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691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623</v>
      </c>
      <c r="C221" s="361">
        <v>74098</v>
      </c>
      <c r="D221" s="361">
        <v>93179</v>
      </c>
      <c r="E221" s="361">
        <f t="shared" ref="E221:E230" si="24">D221-C221</f>
        <v>19081</v>
      </c>
      <c r="F221" s="362">
        <f t="shared" ref="F221:F230" si="25">IF(C221=0,0,E221/C221)</f>
        <v>0.25751032416529462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624</v>
      </c>
      <c r="C222" s="361">
        <v>20081</v>
      </c>
      <c r="D222" s="361">
        <v>60268</v>
      </c>
      <c r="E222" s="361">
        <f t="shared" si="24"/>
        <v>40187</v>
      </c>
      <c r="F222" s="362">
        <f t="shared" si="25"/>
        <v>2.0012449579204223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625</v>
      </c>
      <c r="C223" s="366">
        <f>IF(C221=0,0,C222/C221)</f>
        <v>0.27100596507328134</v>
      </c>
      <c r="D223" s="366">
        <f>IF(LN_IG1=0,0,LN_IG2/LN_IG1)</f>
        <v>0.64679809828394808</v>
      </c>
      <c r="E223" s="367">
        <f t="shared" si="24"/>
        <v>0.37579213321066673</v>
      </c>
      <c r="F223" s="362">
        <f t="shared" si="25"/>
        <v>1.386656316251381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4</v>
      </c>
      <c r="D224" s="369">
        <v>4</v>
      </c>
      <c r="E224" s="369">
        <f t="shared" si="24"/>
        <v>0</v>
      </c>
      <c r="F224" s="362">
        <f t="shared" si="25"/>
        <v>0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626</v>
      </c>
      <c r="C225" s="372">
        <v>0.58199999999999996</v>
      </c>
      <c r="D225" s="372">
        <v>1.1954</v>
      </c>
      <c r="E225" s="373">
        <f t="shared" si="24"/>
        <v>0.61340000000000006</v>
      </c>
      <c r="F225" s="362">
        <f t="shared" si="25"/>
        <v>1.0539518900343645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627</v>
      </c>
      <c r="C226" s="376">
        <f>C224*C225</f>
        <v>2.3279999999999998</v>
      </c>
      <c r="D226" s="376">
        <f>LN_IG3*LN_IG4</f>
        <v>4.7816000000000001</v>
      </c>
      <c r="E226" s="376">
        <f t="shared" si="24"/>
        <v>2.4536000000000002</v>
      </c>
      <c r="F226" s="362">
        <f t="shared" si="25"/>
        <v>1.0539518900343645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628</v>
      </c>
      <c r="C227" s="378">
        <f>IF(C226=0,0,C222/C226)</f>
        <v>8625.8591065292094</v>
      </c>
      <c r="D227" s="378">
        <f>IF(LN_IG5=0,0,LN_IG2/LN_IG5)</f>
        <v>12604.149238748536</v>
      </c>
      <c r="E227" s="378">
        <f t="shared" si="24"/>
        <v>3978.2901322193266</v>
      </c>
      <c r="F227" s="362">
        <f t="shared" si="25"/>
        <v>0.46120509077270017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7</v>
      </c>
      <c r="D228" s="369">
        <v>9</v>
      </c>
      <c r="E228" s="369">
        <f t="shared" si="24"/>
        <v>2</v>
      </c>
      <c r="F228" s="362">
        <f t="shared" si="25"/>
        <v>0.2857142857142857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629</v>
      </c>
      <c r="C229" s="378">
        <f>IF(C228=0,0,C222/C228)</f>
        <v>2868.7142857142858</v>
      </c>
      <c r="D229" s="378">
        <f>IF(LN_IG6=0,0,LN_IG2/LN_IG6)</f>
        <v>6696.4444444444443</v>
      </c>
      <c r="E229" s="378">
        <f t="shared" si="24"/>
        <v>3827.7301587301586</v>
      </c>
      <c r="F229" s="362">
        <f t="shared" si="25"/>
        <v>1.3343016339381062</v>
      </c>
      <c r="Q229" s="330"/>
      <c r="U229" s="375"/>
    </row>
    <row r="230" spans="1:21" ht="11.25" customHeight="1" x14ac:dyDescent="0.2">
      <c r="A230" s="364">
        <v>10</v>
      </c>
      <c r="B230" s="360" t="s">
        <v>630</v>
      </c>
      <c r="C230" s="379">
        <f>IF(C224=0,0,C228/C224)</f>
        <v>1.75</v>
      </c>
      <c r="D230" s="379">
        <f>IF(LN_IG3=0,0,LN_IG6/LN_IG3)</f>
        <v>2.25</v>
      </c>
      <c r="E230" s="379">
        <f t="shared" si="24"/>
        <v>0.5</v>
      </c>
      <c r="F230" s="362">
        <f t="shared" si="25"/>
        <v>0.2857142857142857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692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632</v>
      </c>
      <c r="C233" s="361">
        <v>363756</v>
      </c>
      <c r="D233" s="361">
        <v>456236</v>
      </c>
      <c r="E233" s="361">
        <f>D233-C233</f>
        <v>92480</v>
      </c>
      <c r="F233" s="362">
        <f>IF(C233=0,0,E233/C233)</f>
        <v>0.25423635623879742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633</v>
      </c>
      <c r="C234" s="361">
        <v>127693</v>
      </c>
      <c r="D234" s="361">
        <v>279344</v>
      </c>
      <c r="E234" s="361">
        <f>D234-C234</f>
        <v>151651</v>
      </c>
      <c r="F234" s="362">
        <f>IF(C234=0,0,E234/C234)</f>
        <v>1.1876218743392355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693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639</v>
      </c>
      <c r="C237" s="361">
        <f>C221+C233</f>
        <v>437854</v>
      </c>
      <c r="D237" s="361">
        <f>LN_IG1+LN_IG9</f>
        <v>549415</v>
      </c>
      <c r="E237" s="361">
        <f>D237-C237</f>
        <v>111561</v>
      </c>
      <c r="F237" s="362">
        <f>IF(C237=0,0,E237/C237)</f>
        <v>0.25479040958858434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640</v>
      </c>
      <c r="C238" s="361">
        <f>C222+C234</f>
        <v>147774</v>
      </c>
      <c r="D238" s="361">
        <f>LN_IG2+LN_IG10</f>
        <v>339612</v>
      </c>
      <c r="E238" s="361">
        <f>D238-C238</f>
        <v>191838</v>
      </c>
      <c r="F238" s="362">
        <f>IF(C238=0,0,E238/C238)</f>
        <v>1.2981850663851557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641</v>
      </c>
      <c r="C239" s="361">
        <f>C237-C238</f>
        <v>290080</v>
      </c>
      <c r="D239" s="361">
        <f>LN_IG13-LN_IG14</f>
        <v>209803</v>
      </c>
      <c r="E239" s="361">
        <f>D239-C239</f>
        <v>-80277</v>
      </c>
      <c r="F239" s="362">
        <f>IF(C239=0,0,E239/C239)</f>
        <v>-0.27674089906232763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694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695</v>
      </c>
      <c r="C243" s="361">
        <v>20447859</v>
      </c>
      <c r="D243" s="361">
        <v>24731229</v>
      </c>
      <c r="E243" s="353">
        <f>D243-C243</f>
        <v>4283370</v>
      </c>
      <c r="F243" s="415">
        <f>IF(C243=0,0,E243/C243)</f>
        <v>0.2094776768560464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696</v>
      </c>
      <c r="C244" s="361">
        <v>305925000</v>
      </c>
      <c r="D244" s="361">
        <v>312559000</v>
      </c>
      <c r="E244" s="353">
        <f>D244-C244</f>
        <v>6634000</v>
      </c>
      <c r="F244" s="415">
        <f>IF(C244=0,0,E244/C244)</f>
        <v>2.1685053526191059E-2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697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698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699</v>
      </c>
      <c r="C248" s="353">
        <v>19375204</v>
      </c>
      <c r="D248" s="353">
        <v>16060311</v>
      </c>
      <c r="E248" s="353">
        <f>D248-C248</f>
        <v>-3314893</v>
      </c>
      <c r="F248" s="362">
        <f>IF(C248=0,0,E248/C248)</f>
        <v>-0.17108945020656299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700</v>
      </c>
      <c r="C249" s="353">
        <v>9269877</v>
      </c>
      <c r="D249" s="353">
        <v>14042325</v>
      </c>
      <c r="E249" s="353">
        <f>D249-C249</f>
        <v>4772448</v>
      </c>
      <c r="F249" s="362">
        <f>IF(C249=0,0,E249/C249)</f>
        <v>0.51483401559697073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701</v>
      </c>
      <c r="C250" s="353">
        <f>C248+C249</f>
        <v>28645081</v>
      </c>
      <c r="D250" s="353">
        <f>LN_IH4+LN_IH5</f>
        <v>30102636</v>
      </c>
      <c r="E250" s="353">
        <f>D250-C250</f>
        <v>1457555</v>
      </c>
      <c r="F250" s="362">
        <f>IF(C250=0,0,E250/C250)</f>
        <v>5.0883256360839055E-2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702</v>
      </c>
      <c r="C251" s="353">
        <f>C250*C313</f>
        <v>8898468.2360083591</v>
      </c>
      <c r="D251" s="353">
        <f>LN_IH6*LN_III10</f>
        <v>9466844.3216873351</v>
      </c>
      <c r="E251" s="353">
        <f>D251-C251</f>
        <v>568376.08567897603</v>
      </c>
      <c r="F251" s="362">
        <f>IF(C251=0,0,E251/C251)</f>
        <v>6.3873474692981089E-2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703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639</v>
      </c>
      <c r="C254" s="353">
        <f>C188+C203</f>
        <v>51222143</v>
      </c>
      <c r="D254" s="353">
        <f>LN_IF23</f>
        <v>52508211</v>
      </c>
      <c r="E254" s="353">
        <f>D254-C254</f>
        <v>1286068</v>
      </c>
      <c r="F254" s="362">
        <f>IF(C254=0,0,E254/C254)</f>
        <v>2.51076570537082E-2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640</v>
      </c>
      <c r="C255" s="353">
        <f>C189+C204</f>
        <v>9813564</v>
      </c>
      <c r="D255" s="353">
        <f>LN_IF24</f>
        <v>7128365</v>
      </c>
      <c r="E255" s="353">
        <f>D255-C255</f>
        <v>-2685199</v>
      </c>
      <c r="F255" s="362">
        <f>IF(C255=0,0,E255/C255)</f>
        <v>-0.27362118390423701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704</v>
      </c>
      <c r="C256" s="353">
        <f>C254*C313</f>
        <v>15911933.098243915</v>
      </c>
      <c r="D256" s="353">
        <f>LN_IH8*LN_III10</f>
        <v>16513074.109101625</v>
      </c>
      <c r="E256" s="353">
        <f>D256-C256</f>
        <v>601141.01085771061</v>
      </c>
      <c r="F256" s="362">
        <f>IF(C256=0,0,E256/C256)</f>
        <v>3.7779257061108067E-2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705</v>
      </c>
      <c r="C257" s="353">
        <f>C256-C255</f>
        <v>6098369.0982439145</v>
      </c>
      <c r="D257" s="353">
        <f>LN_IH10-LN_IH9</f>
        <v>9384709.1091016252</v>
      </c>
      <c r="E257" s="353">
        <f>D257-C257</f>
        <v>3286340.0108577106</v>
      </c>
      <c r="F257" s="362">
        <f>IF(C257=0,0,E257/C257)</f>
        <v>0.53888834177059641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706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707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708</v>
      </c>
      <c r="C261" s="361">
        <f>C15+C42+C188+C221</f>
        <v>423550235</v>
      </c>
      <c r="D261" s="361">
        <f>LN_IA1+LN_IB1+LN_IF1+LN_IG1</f>
        <v>422498886</v>
      </c>
      <c r="E261" s="361">
        <f t="shared" ref="E261:E274" si="26">D261-C261</f>
        <v>-1051349</v>
      </c>
      <c r="F261" s="415">
        <f t="shared" ref="F261:F274" si="27">IF(C261=0,0,E261/C261)</f>
        <v>-2.4822297643159142E-3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709</v>
      </c>
      <c r="C262" s="361">
        <f>C16+C43+C189+C222</f>
        <v>131753502</v>
      </c>
      <c r="D262" s="361">
        <f>+LN_IA2+LN_IB2+LN_IF2+LN_IG2</f>
        <v>127256198</v>
      </c>
      <c r="E262" s="361">
        <f t="shared" si="26"/>
        <v>-4497304</v>
      </c>
      <c r="F262" s="415">
        <f t="shared" si="27"/>
        <v>-3.4134227415070911E-2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710</v>
      </c>
      <c r="C263" s="366">
        <f>IF(C261=0,0,C262/C261)</f>
        <v>0.31106936347231634</v>
      </c>
      <c r="D263" s="366">
        <f>IF(LN_IIA1=0,0,LN_IIA2/LN_IIA1)</f>
        <v>0.30119889594217769</v>
      </c>
      <c r="E263" s="367">
        <f t="shared" si="26"/>
        <v>-9.8704675301386491E-3</v>
      </c>
      <c r="F263" s="371">
        <f t="shared" si="27"/>
        <v>-3.1730760689382617E-2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711</v>
      </c>
      <c r="C264" s="369">
        <f>C18+C45+C191+C224</f>
        <v>13479</v>
      </c>
      <c r="D264" s="369">
        <f>LN_IA4+LN_IB4+LN_IF4+LN_IG3</f>
        <v>13027</v>
      </c>
      <c r="E264" s="369">
        <f t="shared" si="26"/>
        <v>-452</v>
      </c>
      <c r="F264" s="415">
        <f t="shared" si="27"/>
        <v>-3.3533644929149044E-2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712</v>
      </c>
      <c r="C265" s="439">
        <f>IF(C264=0,0,C266/C264)</f>
        <v>1.1277108465019658</v>
      </c>
      <c r="D265" s="439">
        <f>IF(LN_IIA4=0,0,LN_IIA6/LN_IIA4)</f>
        <v>1.0475597297919705</v>
      </c>
      <c r="E265" s="439">
        <f t="shared" si="26"/>
        <v>-8.0151116709995307E-2</v>
      </c>
      <c r="F265" s="415">
        <f t="shared" si="27"/>
        <v>-7.1074173808485741E-2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713</v>
      </c>
      <c r="C266" s="376">
        <f>C20+C47+C193+C226</f>
        <v>15200.414499999999</v>
      </c>
      <c r="D266" s="376">
        <f>LN_IA6+LN_IB6+LN_IF6+LN_IG5</f>
        <v>13646.560600000001</v>
      </c>
      <c r="E266" s="376">
        <f t="shared" si="26"/>
        <v>-1553.8538999999982</v>
      </c>
      <c r="F266" s="415">
        <f t="shared" si="27"/>
        <v>-0.10222444262950844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714</v>
      </c>
      <c r="C267" s="361">
        <f>C27+C56+C203+C233</f>
        <v>521449226</v>
      </c>
      <c r="D267" s="361">
        <f>LN_IA11+LN_IB13+LN_IF14+LN_IG9</f>
        <v>549112159</v>
      </c>
      <c r="E267" s="361">
        <f t="shared" si="26"/>
        <v>27662933</v>
      </c>
      <c r="F267" s="415">
        <f t="shared" si="27"/>
        <v>5.3050098879617473E-2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635</v>
      </c>
      <c r="C268" s="366">
        <f>IF(C261=0,0,C267/C261)</f>
        <v>1.2311390312414772</v>
      </c>
      <c r="D268" s="366">
        <f>IF(LN_IIA1=0,0,LN_IIA7/LN_IIA1)</f>
        <v>1.2996771759535479</v>
      </c>
      <c r="E268" s="367">
        <f t="shared" si="26"/>
        <v>6.8538144712070759E-2</v>
      </c>
      <c r="F268" s="371">
        <f t="shared" si="27"/>
        <v>5.5670515654886746E-2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715</v>
      </c>
      <c r="C269" s="361">
        <f>C28+C57+C204+C234</f>
        <v>159549280</v>
      </c>
      <c r="D269" s="361">
        <f>LN_IA12+LN_IB14+LN_IF15+LN_IG10</f>
        <v>178299446</v>
      </c>
      <c r="E269" s="361">
        <f t="shared" si="26"/>
        <v>18750166</v>
      </c>
      <c r="F269" s="415">
        <f t="shared" si="27"/>
        <v>0.11751959018555271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634</v>
      </c>
      <c r="C270" s="366">
        <f>IF(C267=0,0,C269/C267)</f>
        <v>0.30597280050426234</v>
      </c>
      <c r="D270" s="366">
        <f>IF(LN_IIA7=0,0,LN_IIA9/LN_IIA7)</f>
        <v>0.32470496796994075</v>
      </c>
      <c r="E270" s="367">
        <f t="shared" si="26"/>
        <v>1.8732167465678407E-2</v>
      </c>
      <c r="F270" s="371">
        <f t="shared" si="27"/>
        <v>6.122167537378035E-2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716</v>
      </c>
      <c r="C271" s="353">
        <f>C261+C267</f>
        <v>944999461</v>
      </c>
      <c r="D271" s="353">
        <f>LN_IIA1+LN_IIA7</f>
        <v>971611045</v>
      </c>
      <c r="E271" s="353">
        <f t="shared" si="26"/>
        <v>26611584</v>
      </c>
      <c r="F271" s="415">
        <f t="shared" si="27"/>
        <v>2.816042241107691E-2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717</v>
      </c>
      <c r="C272" s="353">
        <f>C262+C269</f>
        <v>291302782</v>
      </c>
      <c r="D272" s="353">
        <f>LN_IIA2+LN_IIA9</f>
        <v>305555644</v>
      </c>
      <c r="E272" s="353">
        <f t="shared" si="26"/>
        <v>14252862</v>
      </c>
      <c r="F272" s="415">
        <f t="shared" si="27"/>
        <v>4.8927998222825071E-2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718</v>
      </c>
      <c r="C273" s="366">
        <f>IF(C271=0,0,C272/C271)</f>
        <v>0.30825708799002161</v>
      </c>
      <c r="D273" s="366">
        <f>IF(LN_IIA11=0,0,LN_IIA12/LN_IIA11)</f>
        <v>0.31448350198612657</v>
      </c>
      <c r="E273" s="367">
        <f t="shared" si="26"/>
        <v>6.2264139961049625E-3</v>
      </c>
      <c r="F273" s="371">
        <f t="shared" si="27"/>
        <v>2.0198769918654762E-2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52638</v>
      </c>
      <c r="D274" s="421">
        <f>LN_IA8+LN_IB10+LN_IF11+LN_IG6</f>
        <v>51919</v>
      </c>
      <c r="E274" s="442">
        <f t="shared" si="26"/>
        <v>-719</v>
      </c>
      <c r="F274" s="371">
        <f t="shared" si="27"/>
        <v>-1.365933356130552E-2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719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720</v>
      </c>
      <c r="C277" s="361">
        <f>C15+C188+C221</f>
        <v>243429513</v>
      </c>
      <c r="D277" s="361">
        <f>LN_IA1+LN_IF1+LN_IG1</f>
        <v>235816946</v>
      </c>
      <c r="E277" s="361">
        <f t="shared" ref="E277:E291" si="28">D277-C277</f>
        <v>-7612567</v>
      </c>
      <c r="F277" s="415">
        <f t="shared" ref="F277:F291" si="29">IF(C277=0,0,E277/C277)</f>
        <v>-3.1272161317596685E-2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721</v>
      </c>
      <c r="C278" s="361">
        <f>C16+C189+C222</f>
        <v>57586940</v>
      </c>
      <c r="D278" s="361">
        <f>LN_IA2+LN_IF2+LN_IG2</f>
        <v>50443967</v>
      </c>
      <c r="E278" s="361">
        <f t="shared" si="28"/>
        <v>-7142973</v>
      </c>
      <c r="F278" s="415">
        <f t="shared" si="29"/>
        <v>-0.12403807182670237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722</v>
      </c>
      <c r="C279" s="366">
        <f>IF(C277=0,0,C278/C277)</f>
        <v>0.23656515305110107</v>
      </c>
      <c r="D279" s="366">
        <f>IF(D277=0,0,LN_IIB2/D277)</f>
        <v>0.21391154391423592</v>
      </c>
      <c r="E279" s="367">
        <f t="shared" si="28"/>
        <v>-2.2653609136865149E-2</v>
      </c>
      <c r="F279" s="371">
        <f t="shared" si="29"/>
        <v>-9.5760549872582812E-2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723</v>
      </c>
      <c r="C280" s="369">
        <f>C18+C191+C224</f>
        <v>6038</v>
      </c>
      <c r="D280" s="369">
        <f>LN_IA4+LN_IF4+LN_IG3</f>
        <v>5710</v>
      </c>
      <c r="E280" s="369">
        <f t="shared" si="28"/>
        <v>-328</v>
      </c>
      <c r="F280" s="415">
        <f t="shared" si="29"/>
        <v>-5.4322623385226899E-2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724</v>
      </c>
      <c r="C281" s="439">
        <f>IF(C280=0,0,C282/C280)</f>
        <v>1.3570667273931765</v>
      </c>
      <c r="D281" s="439">
        <f>IF(LN_IIB4=0,0,LN_IIB6/LN_IIB4)</f>
        <v>1.3035390542907181</v>
      </c>
      <c r="E281" s="439">
        <f t="shared" si="28"/>
        <v>-5.3527673102458317E-2</v>
      </c>
      <c r="F281" s="415">
        <f t="shared" si="29"/>
        <v>-3.9443655954398769E-2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725</v>
      </c>
      <c r="C282" s="376">
        <f>C20+C193+C226</f>
        <v>8193.9688999999998</v>
      </c>
      <c r="D282" s="376">
        <f>LN_IA6+LN_IF6+LN_IG5</f>
        <v>7443.2080000000005</v>
      </c>
      <c r="E282" s="376">
        <f t="shared" si="28"/>
        <v>-750.76089999999931</v>
      </c>
      <c r="F282" s="415">
        <f t="shared" si="29"/>
        <v>-9.1623596472278454E-2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726</v>
      </c>
      <c r="C283" s="361">
        <f>C27+C203+C233</f>
        <v>173237531</v>
      </c>
      <c r="D283" s="361">
        <f>LN_IA11+LN_IF14+LN_IG9</f>
        <v>189584591</v>
      </c>
      <c r="E283" s="361">
        <f t="shared" si="28"/>
        <v>16347060</v>
      </c>
      <c r="F283" s="415">
        <f t="shared" si="29"/>
        <v>9.4362116024385045E-2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727</v>
      </c>
      <c r="C284" s="366">
        <f>IF(C277=0,0,C283/C277)</f>
        <v>0.71165377141431496</v>
      </c>
      <c r="D284" s="366">
        <f>IF(D277=0,0,LN_IIB7/D277)</f>
        <v>0.80394812254077785</v>
      </c>
      <c r="E284" s="367">
        <f t="shared" si="28"/>
        <v>9.2294351126462892E-2</v>
      </c>
      <c r="F284" s="371">
        <f t="shared" si="29"/>
        <v>0.12968996277928863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728</v>
      </c>
      <c r="C285" s="361">
        <f>C28+C204+C234</f>
        <v>30444007</v>
      </c>
      <c r="D285" s="361">
        <f>LN_IA12+LN_IF15+LN_IG10</f>
        <v>33786163</v>
      </c>
      <c r="E285" s="361">
        <f t="shared" si="28"/>
        <v>3342156</v>
      </c>
      <c r="F285" s="415">
        <f t="shared" si="29"/>
        <v>0.10978042410777267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729</v>
      </c>
      <c r="C286" s="366">
        <f>IF(C283=0,0,C285/C283)</f>
        <v>0.17573563202075421</v>
      </c>
      <c r="D286" s="366">
        <f>IF(LN_IIB7=0,0,LN_IIB9/LN_IIB7)</f>
        <v>0.17821154568411102</v>
      </c>
      <c r="E286" s="367">
        <f t="shared" si="28"/>
        <v>2.4759136633568102E-3</v>
      </c>
      <c r="F286" s="371">
        <f t="shared" si="29"/>
        <v>1.408885400693473E-2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730</v>
      </c>
      <c r="C287" s="353">
        <f>C277+C283</f>
        <v>416667044</v>
      </c>
      <c r="D287" s="353">
        <f>D277+LN_IIB7</f>
        <v>425401537</v>
      </c>
      <c r="E287" s="353">
        <f t="shared" si="28"/>
        <v>8734493</v>
      </c>
      <c r="F287" s="415">
        <f t="shared" si="29"/>
        <v>2.0962764216120727E-2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731</v>
      </c>
      <c r="C288" s="353">
        <f>C278+C285</f>
        <v>88030947</v>
      </c>
      <c r="D288" s="353">
        <f>LN_IIB2+LN_IIB9</f>
        <v>84230130</v>
      </c>
      <c r="E288" s="353">
        <f t="shared" si="28"/>
        <v>-3800817</v>
      </c>
      <c r="F288" s="415">
        <f t="shared" si="29"/>
        <v>-4.3175918577815595E-2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732</v>
      </c>
      <c r="C289" s="366">
        <f>IF(C287=0,0,C288/C287)</f>
        <v>0.21127408147019183</v>
      </c>
      <c r="D289" s="366">
        <f>IF(LN_IIB11=0,0,LN_IIB12/LN_IIB11)</f>
        <v>0.19800147078453081</v>
      </c>
      <c r="E289" s="367">
        <f t="shared" si="28"/>
        <v>-1.3272610685661018E-2</v>
      </c>
      <c r="F289" s="371">
        <f t="shared" si="29"/>
        <v>-6.2821764947697187E-2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28483</v>
      </c>
      <c r="D290" s="421">
        <f>LN_IA8+LN_IF11+LN_IG6</f>
        <v>27626</v>
      </c>
      <c r="E290" s="442">
        <f t="shared" si="28"/>
        <v>-857</v>
      </c>
      <c r="F290" s="371">
        <f t="shared" si="29"/>
        <v>-3.008812273987993E-2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733</v>
      </c>
      <c r="C291" s="361">
        <f>C287-C288</f>
        <v>328636097</v>
      </c>
      <c r="D291" s="429">
        <f>LN_IIB11-LN_IIB12</f>
        <v>341171407</v>
      </c>
      <c r="E291" s="353">
        <f t="shared" si="28"/>
        <v>12535310</v>
      </c>
      <c r="F291" s="415">
        <f t="shared" si="29"/>
        <v>3.814343620323607E-2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630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621</v>
      </c>
      <c r="C294" s="379">
        <f>IF(C18=0,0,C22/C18)</f>
        <v>4.7817316841103708</v>
      </c>
      <c r="D294" s="379">
        <f>IF(LN_IA4=0,0,LN_IA8/LN_IA4)</f>
        <v>4.8747993579454256</v>
      </c>
      <c r="E294" s="379">
        <f t="shared" ref="E294:E300" si="30">D294-C294</f>
        <v>9.3067673835054876E-2</v>
      </c>
      <c r="F294" s="415">
        <f t="shared" ref="F294:F300" si="31">IF(C294=0,0,E294/C294)</f>
        <v>1.9463173591340872E-2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642</v>
      </c>
      <c r="C295" s="379">
        <f>IF(C45=0,0,C51/C45)</f>
        <v>3.2462034672759037</v>
      </c>
      <c r="D295" s="379">
        <f>IF(LN_IB4=0,0,(LN_IB10)/(LN_IB4))</f>
        <v>3.3200765340986744</v>
      </c>
      <c r="E295" s="379">
        <f t="shared" si="30"/>
        <v>7.3873066822770728E-2</v>
      </c>
      <c r="F295" s="415">
        <f t="shared" si="31"/>
        <v>2.2756758030562492E-2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657</v>
      </c>
      <c r="C296" s="379">
        <f>IF(C86=0,0,C93/C86)</f>
        <v>2.3931034482758622</v>
      </c>
      <c r="D296" s="379">
        <f>IF(LN_IC4=0,0,LN_IC11/LN_IC4)</f>
        <v>2.8432432432432431</v>
      </c>
      <c r="E296" s="379">
        <f t="shared" si="30"/>
        <v>0.45013979496738088</v>
      </c>
      <c r="F296" s="415">
        <f t="shared" si="31"/>
        <v>0.18809876158579317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3.3955056179775283</v>
      </c>
      <c r="D297" s="379">
        <f>IF(LN_ID4=0,0,LN_ID11/LN_ID4)</f>
        <v>4.5741176470588236</v>
      </c>
      <c r="E297" s="379">
        <f t="shared" si="30"/>
        <v>1.1786120290812954</v>
      </c>
      <c r="F297" s="415">
        <f t="shared" si="31"/>
        <v>0.34710943278701284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734</v>
      </c>
      <c r="C298" s="379">
        <f>IF(C156=0,0,C163/C156)</f>
        <v>5.5</v>
      </c>
      <c r="D298" s="379">
        <f>IF(LN_IE4=0,0,LN_IE11/LN_IE4)</f>
        <v>4.6363636363636367</v>
      </c>
      <c r="E298" s="379">
        <f t="shared" si="30"/>
        <v>-0.86363636363636331</v>
      </c>
      <c r="F298" s="415">
        <f t="shared" si="31"/>
        <v>-0.1570247933884297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1.75</v>
      </c>
      <c r="D299" s="379">
        <f>IF(LN_IG3=0,0,LN_IG6/LN_IG3)</f>
        <v>2.25</v>
      </c>
      <c r="E299" s="379">
        <f t="shared" si="30"/>
        <v>0.5</v>
      </c>
      <c r="F299" s="415">
        <f t="shared" si="31"/>
        <v>0.2857142857142857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735</v>
      </c>
      <c r="C300" s="379">
        <f>IF(C264=0,0,C274/C264)</f>
        <v>3.905185844647229</v>
      </c>
      <c r="D300" s="379">
        <f>IF(LN_IIA4=0,0,LN_IIA14/LN_IIA4)</f>
        <v>3.9854916711445458</v>
      </c>
      <c r="E300" s="379">
        <f t="shared" si="30"/>
        <v>8.0305826497316879E-2</v>
      </c>
      <c r="F300" s="415">
        <f t="shared" si="31"/>
        <v>2.0563893676760786E-2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736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730</v>
      </c>
      <c r="C304" s="353">
        <f>C35+C66+C214+C221+C233</f>
        <v>944999461</v>
      </c>
      <c r="D304" s="353">
        <f>LN_IIA11</f>
        <v>971611045</v>
      </c>
      <c r="E304" s="353">
        <f t="shared" ref="E304:E316" si="32">D304-C304</f>
        <v>26611584</v>
      </c>
      <c r="F304" s="362">
        <f>IF(C304=0,0,E304/C304)</f>
        <v>2.816042241107691E-2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733</v>
      </c>
      <c r="C305" s="353">
        <f>C291</f>
        <v>328636097</v>
      </c>
      <c r="D305" s="353">
        <f>LN_IIB14</f>
        <v>341171407</v>
      </c>
      <c r="E305" s="353">
        <f t="shared" si="32"/>
        <v>12535310</v>
      </c>
      <c r="F305" s="362">
        <f>IF(C305=0,0,E305/C305)</f>
        <v>3.814343620323607E-2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737</v>
      </c>
      <c r="C306" s="353">
        <f>C250</f>
        <v>28645081</v>
      </c>
      <c r="D306" s="353">
        <f>LN_IH6</f>
        <v>30102636</v>
      </c>
      <c r="E306" s="353">
        <f t="shared" si="32"/>
        <v>1457555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738</v>
      </c>
      <c r="C307" s="353">
        <f>C73-C74</f>
        <v>279761982</v>
      </c>
      <c r="D307" s="353">
        <f>LN_IB32-LN_IB33</f>
        <v>283785136</v>
      </c>
      <c r="E307" s="353">
        <f t="shared" si="32"/>
        <v>4023154</v>
      </c>
      <c r="F307" s="362">
        <f t="shared" ref="F307:F316" si="33">IF(C307=0,0,E307/C307)</f>
        <v>1.4380631604189878E-2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739</v>
      </c>
      <c r="C308" s="353">
        <v>14396381</v>
      </c>
      <c r="D308" s="353">
        <v>10994223</v>
      </c>
      <c r="E308" s="353">
        <f t="shared" si="32"/>
        <v>-3402158</v>
      </c>
      <c r="F308" s="362">
        <f t="shared" si="33"/>
        <v>-0.236320364124845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740</v>
      </c>
      <c r="C309" s="353">
        <f>C305+C307+C308+C306</f>
        <v>651439541</v>
      </c>
      <c r="D309" s="353">
        <f>LN_III2+LN_III3+LN_III4+LN_III5</f>
        <v>666053402</v>
      </c>
      <c r="E309" s="353">
        <f t="shared" si="32"/>
        <v>14613861</v>
      </c>
      <c r="F309" s="362">
        <f t="shared" si="33"/>
        <v>2.2433180794593492E-2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741</v>
      </c>
      <c r="C310" s="353">
        <f>C304-C309</f>
        <v>293559920</v>
      </c>
      <c r="D310" s="353">
        <f>LN_III1-LN_III6</f>
        <v>305557643</v>
      </c>
      <c r="E310" s="353">
        <f t="shared" si="32"/>
        <v>11997723</v>
      </c>
      <c r="F310" s="362">
        <f t="shared" si="33"/>
        <v>4.0869758378459839E-2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742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743</v>
      </c>
      <c r="C312" s="353">
        <f>C310+C311</f>
        <v>293559920</v>
      </c>
      <c r="D312" s="353">
        <f>LN_III7+LN_III8</f>
        <v>305557643</v>
      </c>
      <c r="E312" s="353">
        <f t="shared" si="32"/>
        <v>11997723</v>
      </c>
      <c r="F312" s="362">
        <f t="shared" si="33"/>
        <v>4.0869758378459839E-2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744</v>
      </c>
      <c r="C313" s="448">
        <f>IF(C304=0,0,C312/C304)</f>
        <v>0.31064559517246115</v>
      </c>
      <c r="D313" s="448">
        <f>IF(LN_III1=0,0,LN_III9/LN_III1)</f>
        <v>0.31448555939377987</v>
      </c>
      <c r="E313" s="448">
        <f t="shared" si="32"/>
        <v>3.8399642213187146E-3</v>
      </c>
      <c r="F313" s="362">
        <f t="shared" si="33"/>
        <v>1.2361238276006718E-2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702</v>
      </c>
      <c r="C314" s="353">
        <f>C306*C313</f>
        <v>8898468.2360083591</v>
      </c>
      <c r="D314" s="353">
        <f>D313*LN_III5</f>
        <v>9466844.3216873351</v>
      </c>
      <c r="E314" s="353">
        <f t="shared" si="32"/>
        <v>568376.08567897603</v>
      </c>
      <c r="F314" s="362">
        <f t="shared" si="33"/>
        <v>6.3873474692981089E-2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705</v>
      </c>
      <c r="C315" s="353">
        <f>(C214*C313)-C215</f>
        <v>6098369.0982439145</v>
      </c>
      <c r="D315" s="353">
        <f>D313*LN_IH8-LN_IH9</f>
        <v>9384709.1091016252</v>
      </c>
      <c r="E315" s="353">
        <f t="shared" si="32"/>
        <v>3286340.0108577106</v>
      </c>
      <c r="F315" s="362">
        <f t="shared" si="33"/>
        <v>0.53888834177059641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745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746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747</v>
      </c>
      <c r="C318" s="353">
        <f>C314+C315+C316</f>
        <v>14996837.334252274</v>
      </c>
      <c r="D318" s="353">
        <f>D314+D315+D316</f>
        <v>18851553.43078896</v>
      </c>
      <c r="E318" s="353">
        <f>D318-C318</f>
        <v>3854716.0965366866</v>
      </c>
      <c r="F318" s="362">
        <f>IF(C318=0,0,E318/C318)</f>
        <v>0.25703526754488726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748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2170145.191538915</v>
      </c>
      <c r="D322" s="353">
        <f>LN_ID22</f>
        <v>3102729.3887908231</v>
      </c>
      <c r="E322" s="353">
        <f>LN_IV2-C322</f>
        <v>932584.19725190802</v>
      </c>
      <c r="F322" s="362">
        <f>IF(C322=0,0,E322/C322)</f>
        <v>0.42973355003523273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734</v>
      </c>
      <c r="C323" s="353">
        <f>C162+C176</f>
        <v>1239729.2712887058</v>
      </c>
      <c r="D323" s="353">
        <f>LN_IE10+LN_IE22</f>
        <v>1312137.6905773736</v>
      </c>
      <c r="E323" s="353">
        <f>LN_IV3-C323</f>
        <v>72408.41928866785</v>
      </c>
      <c r="F323" s="362">
        <f>IF(C323=0,0,E323/C323)</f>
        <v>5.8406638421466713E-2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749</v>
      </c>
      <c r="C324" s="353">
        <f>C92+C106</f>
        <v>5351834.4440956134</v>
      </c>
      <c r="D324" s="353">
        <f>LN_IC10+LN_IC22</f>
        <v>-2491339.4267067527</v>
      </c>
      <c r="E324" s="353">
        <f>LN_IV1-C324</f>
        <v>-7843173.8708023662</v>
      </c>
      <c r="F324" s="362">
        <f>IF(C324=0,0,E324/C324)</f>
        <v>-1.4655113032233857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750</v>
      </c>
      <c r="C325" s="429">
        <f>C324+C322+C323</f>
        <v>8761708.9069232345</v>
      </c>
      <c r="D325" s="429">
        <f>LN_IV1+LN_IV2+LN_IV3</f>
        <v>1923527.6526614439</v>
      </c>
      <c r="E325" s="353">
        <f>LN_IV4-C325</f>
        <v>-6838181.2542617908</v>
      </c>
      <c r="F325" s="362">
        <f>IF(C325=0,0,E325/C325)</f>
        <v>-0.7804620453503619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751</v>
      </c>
      <c r="B327" s="446" t="s">
        <v>752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753</v>
      </c>
      <c r="C329" s="431">
        <v>20970294</v>
      </c>
      <c r="D329" s="431">
        <v>18424137</v>
      </c>
      <c r="E329" s="431">
        <f t="shared" ref="E329:E335" si="34">D329-C329</f>
        <v>-2546157</v>
      </c>
      <c r="F329" s="462">
        <f t="shared" ref="F329:F335" si="35">IF(C329=0,0,E329/C329)</f>
        <v>-0.12141732490731889</v>
      </c>
    </row>
    <row r="330" spans="1:22" s="333" customFormat="1" ht="11.25" customHeight="1" x14ac:dyDescent="0.2">
      <c r="A330" s="364">
        <v>2</v>
      </c>
      <c r="B330" s="360" t="s">
        <v>754</v>
      </c>
      <c r="C330" s="429">
        <v>5707366</v>
      </c>
      <c r="D330" s="429">
        <v>-1209447</v>
      </c>
      <c r="E330" s="431">
        <f t="shared" si="34"/>
        <v>-6916813</v>
      </c>
      <c r="F330" s="463">
        <f t="shared" si="35"/>
        <v>-1.2119098372173784</v>
      </c>
    </row>
    <row r="331" spans="1:22" s="333" customFormat="1" ht="11.25" customHeight="1" x14ac:dyDescent="0.2">
      <c r="A331" s="339">
        <v>3</v>
      </c>
      <c r="B331" s="360" t="s">
        <v>755</v>
      </c>
      <c r="C331" s="429">
        <v>297010149</v>
      </c>
      <c r="D331" s="429">
        <v>304346157</v>
      </c>
      <c r="E331" s="431">
        <f t="shared" si="34"/>
        <v>7336008</v>
      </c>
      <c r="F331" s="462">
        <f t="shared" si="35"/>
        <v>2.4699519611365201E-2</v>
      </c>
    </row>
    <row r="332" spans="1:22" s="333" customFormat="1" ht="11.25" customHeight="1" x14ac:dyDescent="0.2">
      <c r="A332" s="364">
        <v>4</v>
      </c>
      <c r="B332" s="360" t="s">
        <v>756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757</v>
      </c>
      <c r="C333" s="429">
        <v>944999461</v>
      </c>
      <c r="D333" s="429">
        <v>971611045</v>
      </c>
      <c r="E333" s="431">
        <f t="shared" si="34"/>
        <v>26611584</v>
      </c>
      <c r="F333" s="462">
        <f t="shared" si="35"/>
        <v>2.816042241107691E-2</v>
      </c>
    </row>
    <row r="334" spans="1:22" s="333" customFormat="1" ht="11.25" customHeight="1" x14ac:dyDescent="0.2">
      <c r="A334" s="339">
        <v>6</v>
      </c>
      <c r="B334" s="360" t="s">
        <v>758</v>
      </c>
      <c r="C334" s="429">
        <v>2922340</v>
      </c>
      <c r="D334" s="429">
        <v>5815730</v>
      </c>
      <c r="E334" s="429">
        <f t="shared" si="34"/>
        <v>2893390</v>
      </c>
      <c r="F334" s="463">
        <f t="shared" si="35"/>
        <v>0.99009355516469677</v>
      </c>
    </row>
    <row r="335" spans="1:22" s="333" customFormat="1" ht="11.25" customHeight="1" x14ac:dyDescent="0.2">
      <c r="A335" s="364">
        <v>7</v>
      </c>
      <c r="B335" s="360" t="s">
        <v>759</v>
      </c>
      <c r="C335" s="429">
        <v>31567421</v>
      </c>
      <c r="D335" s="429">
        <v>35918318</v>
      </c>
      <c r="E335" s="429">
        <f t="shared" si="34"/>
        <v>4350897</v>
      </c>
      <c r="F335" s="462">
        <f t="shared" si="35"/>
        <v>0.13782871270985361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FILING&amp;RGREENWICH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612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760</v>
      </c>
      <c r="B5" s="710"/>
      <c r="C5" s="710"/>
      <c r="D5" s="710"/>
      <c r="E5" s="710"/>
    </row>
    <row r="6" spans="1:5" s="338" customFormat="1" ht="15.75" customHeight="1" x14ac:dyDescent="0.25">
      <c r="A6" s="710" t="s">
        <v>761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762</v>
      </c>
      <c r="D9" s="494" t="s">
        <v>763</v>
      </c>
      <c r="E9" s="495" t="s">
        <v>764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765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766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642</v>
      </c>
      <c r="C14" s="513">
        <v>180120722</v>
      </c>
      <c r="D14" s="513">
        <v>186681940</v>
      </c>
      <c r="E14" s="514">
        <f t="shared" ref="E14:E22" si="0">D14-C14</f>
        <v>6561218</v>
      </c>
    </row>
    <row r="15" spans="1:5" s="506" customFormat="1" x14ac:dyDescent="0.2">
      <c r="A15" s="512">
        <v>2</v>
      </c>
      <c r="B15" s="511" t="s">
        <v>621</v>
      </c>
      <c r="C15" s="513">
        <v>220470561</v>
      </c>
      <c r="D15" s="515">
        <v>213196920</v>
      </c>
      <c r="E15" s="514">
        <f t="shared" si="0"/>
        <v>-7273641</v>
      </c>
    </row>
    <row r="16" spans="1:5" s="506" customFormat="1" x14ac:dyDescent="0.2">
      <c r="A16" s="512">
        <v>3</v>
      </c>
      <c r="B16" s="511" t="s">
        <v>767</v>
      </c>
      <c r="C16" s="513">
        <v>22884854</v>
      </c>
      <c r="D16" s="515">
        <v>22526847</v>
      </c>
      <c r="E16" s="514">
        <f t="shared" si="0"/>
        <v>-358007</v>
      </c>
    </row>
    <row r="17" spans="1:5" s="506" customFormat="1" x14ac:dyDescent="0.2">
      <c r="A17" s="512">
        <v>4</v>
      </c>
      <c r="B17" s="511" t="s">
        <v>114</v>
      </c>
      <c r="C17" s="513">
        <v>11488001</v>
      </c>
      <c r="D17" s="515">
        <v>11753834</v>
      </c>
      <c r="E17" s="514">
        <f t="shared" si="0"/>
        <v>265833</v>
      </c>
    </row>
    <row r="18" spans="1:5" s="506" customFormat="1" x14ac:dyDescent="0.2">
      <c r="A18" s="512">
        <v>5</v>
      </c>
      <c r="B18" s="511" t="s">
        <v>734</v>
      </c>
      <c r="C18" s="513">
        <v>11396853</v>
      </c>
      <c r="D18" s="515">
        <v>10773013</v>
      </c>
      <c r="E18" s="514">
        <f t="shared" si="0"/>
        <v>-623840</v>
      </c>
    </row>
    <row r="19" spans="1:5" s="506" customFormat="1" x14ac:dyDescent="0.2">
      <c r="A19" s="512">
        <v>6</v>
      </c>
      <c r="B19" s="511" t="s">
        <v>430</v>
      </c>
      <c r="C19" s="513">
        <v>74098</v>
      </c>
      <c r="D19" s="515">
        <v>93179</v>
      </c>
      <c r="E19" s="514">
        <f t="shared" si="0"/>
        <v>19081</v>
      </c>
    </row>
    <row r="20" spans="1:5" s="506" customFormat="1" x14ac:dyDescent="0.2">
      <c r="A20" s="512">
        <v>7</v>
      </c>
      <c r="B20" s="511" t="s">
        <v>749</v>
      </c>
      <c r="C20" s="513">
        <v>7142474</v>
      </c>
      <c r="D20" s="515">
        <v>11328527</v>
      </c>
      <c r="E20" s="514">
        <f t="shared" si="0"/>
        <v>4186053</v>
      </c>
    </row>
    <row r="21" spans="1:5" s="506" customFormat="1" x14ac:dyDescent="0.2">
      <c r="A21" s="512"/>
      <c r="B21" s="516" t="s">
        <v>768</v>
      </c>
      <c r="C21" s="517">
        <f>SUM(C15+C16+C19)</f>
        <v>243429513</v>
      </c>
      <c r="D21" s="517">
        <f>SUM(D15+D16+D19)</f>
        <v>235816946</v>
      </c>
      <c r="E21" s="517">
        <f t="shared" si="0"/>
        <v>-7612567</v>
      </c>
    </row>
    <row r="22" spans="1:5" s="506" customFormat="1" x14ac:dyDescent="0.2">
      <c r="A22" s="512"/>
      <c r="B22" s="516" t="s">
        <v>708</v>
      </c>
      <c r="C22" s="517">
        <f>SUM(C14+C21)</f>
        <v>423550235</v>
      </c>
      <c r="D22" s="517">
        <f>SUM(D14+D21)</f>
        <v>422498886</v>
      </c>
      <c r="E22" s="517">
        <f t="shared" si="0"/>
        <v>-1051349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769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642</v>
      </c>
      <c r="C25" s="513">
        <v>348211695</v>
      </c>
      <c r="D25" s="513">
        <v>359527568</v>
      </c>
      <c r="E25" s="514">
        <f t="shared" ref="E25:E33" si="1">D25-C25</f>
        <v>11315873</v>
      </c>
    </row>
    <row r="26" spans="1:5" s="506" customFormat="1" x14ac:dyDescent="0.2">
      <c r="A26" s="512">
        <v>2</v>
      </c>
      <c r="B26" s="511" t="s">
        <v>621</v>
      </c>
      <c r="C26" s="513">
        <v>144536486</v>
      </c>
      <c r="D26" s="515">
        <v>159146991</v>
      </c>
      <c r="E26" s="514">
        <f t="shared" si="1"/>
        <v>14610505</v>
      </c>
    </row>
    <row r="27" spans="1:5" s="506" customFormat="1" x14ac:dyDescent="0.2">
      <c r="A27" s="512">
        <v>3</v>
      </c>
      <c r="B27" s="511" t="s">
        <v>767</v>
      </c>
      <c r="C27" s="513">
        <v>28337289</v>
      </c>
      <c r="D27" s="515">
        <v>29981364</v>
      </c>
      <c r="E27" s="514">
        <f t="shared" si="1"/>
        <v>1644075</v>
      </c>
    </row>
    <row r="28" spans="1:5" s="506" customFormat="1" x14ac:dyDescent="0.2">
      <c r="A28" s="512">
        <v>4</v>
      </c>
      <c r="B28" s="511" t="s">
        <v>114</v>
      </c>
      <c r="C28" s="513">
        <v>19830885</v>
      </c>
      <c r="D28" s="515">
        <v>19850838</v>
      </c>
      <c r="E28" s="514">
        <f t="shared" si="1"/>
        <v>19953</v>
      </c>
    </row>
    <row r="29" spans="1:5" s="506" customFormat="1" x14ac:dyDescent="0.2">
      <c r="A29" s="512">
        <v>5</v>
      </c>
      <c r="B29" s="511" t="s">
        <v>734</v>
      </c>
      <c r="C29" s="513">
        <v>8506404</v>
      </c>
      <c r="D29" s="515">
        <v>10130526</v>
      </c>
      <c r="E29" s="514">
        <f t="shared" si="1"/>
        <v>1624122</v>
      </c>
    </row>
    <row r="30" spans="1:5" s="506" customFormat="1" x14ac:dyDescent="0.2">
      <c r="A30" s="512">
        <v>6</v>
      </c>
      <c r="B30" s="511" t="s">
        <v>430</v>
      </c>
      <c r="C30" s="513">
        <v>363756</v>
      </c>
      <c r="D30" s="515">
        <v>456236</v>
      </c>
      <c r="E30" s="514">
        <f t="shared" si="1"/>
        <v>92480</v>
      </c>
    </row>
    <row r="31" spans="1:5" s="506" customFormat="1" x14ac:dyDescent="0.2">
      <c r="A31" s="512">
        <v>7</v>
      </c>
      <c r="B31" s="511" t="s">
        <v>749</v>
      </c>
      <c r="C31" s="514">
        <v>26201618</v>
      </c>
      <c r="D31" s="518">
        <v>32051536</v>
      </c>
      <c r="E31" s="514">
        <f t="shared" si="1"/>
        <v>5849918</v>
      </c>
    </row>
    <row r="32" spans="1:5" s="506" customFormat="1" x14ac:dyDescent="0.2">
      <c r="A32" s="512"/>
      <c r="B32" s="516" t="s">
        <v>770</v>
      </c>
      <c r="C32" s="517">
        <f>SUM(C26+C27+C30)</f>
        <v>173237531</v>
      </c>
      <c r="D32" s="517">
        <f>SUM(D26+D27+D30)</f>
        <v>189584591</v>
      </c>
      <c r="E32" s="517">
        <f t="shared" si="1"/>
        <v>16347060</v>
      </c>
    </row>
    <row r="33" spans="1:5" s="506" customFormat="1" x14ac:dyDescent="0.2">
      <c r="A33" s="512"/>
      <c r="B33" s="516" t="s">
        <v>714</v>
      </c>
      <c r="C33" s="517">
        <f>SUM(C25+C32)</f>
        <v>521449226</v>
      </c>
      <c r="D33" s="517">
        <f>SUM(D25+D32)</f>
        <v>549112159</v>
      </c>
      <c r="E33" s="517">
        <f t="shared" si="1"/>
        <v>27662933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639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771</v>
      </c>
      <c r="C36" s="514">
        <f t="shared" ref="C36:D42" si="2">C14+C25</f>
        <v>528332417</v>
      </c>
      <c r="D36" s="514">
        <f t="shared" si="2"/>
        <v>546209508</v>
      </c>
      <c r="E36" s="514">
        <f t="shared" ref="E36:E44" si="3">D36-C36</f>
        <v>17877091</v>
      </c>
    </row>
    <row r="37" spans="1:5" s="506" customFormat="1" x14ac:dyDescent="0.2">
      <c r="A37" s="512">
        <v>2</v>
      </c>
      <c r="B37" s="511" t="s">
        <v>772</v>
      </c>
      <c r="C37" s="514">
        <f t="shared" si="2"/>
        <v>365007047</v>
      </c>
      <c r="D37" s="514">
        <f t="shared" si="2"/>
        <v>372343911</v>
      </c>
      <c r="E37" s="514">
        <f t="shared" si="3"/>
        <v>7336864</v>
      </c>
    </row>
    <row r="38" spans="1:5" s="506" customFormat="1" x14ac:dyDescent="0.2">
      <c r="A38" s="512">
        <v>3</v>
      </c>
      <c r="B38" s="511" t="s">
        <v>773</v>
      </c>
      <c r="C38" s="514">
        <f t="shared" si="2"/>
        <v>51222143</v>
      </c>
      <c r="D38" s="514">
        <f t="shared" si="2"/>
        <v>52508211</v>
      </c>
      <c r="E38" s="514">
        <f t="shared" si="3"/>
        <v>1286068</v>
      </c>
    </row>
    <row r="39" spans="1:5" s="506" customFormat="1" x14ac:dyDescent="0.2">
      <c r="A39" s="512">
        <v>4</v>
      </c>
      <c r="B39" s="511" t="s">
        <v>774</v>
      </c>
      <c r="C39" s="514">
        <f t="shared" si="2"/>
        <v>31318886</v>
      </c>
      <c r="D39" s="514">
        <f t="shared" si="2"/>
        <v>31604672</v>
      </c>
      <c r="E39" s="514">
        <f t="shared" si="3"/>
        <v>285786</v>
      </c>
    </row>
    <row r="40" spans="1:5" s="506" customFormat="1" x14ac:dyDescent="0.2">
      <c r="A40" s="512">
        <v>5</v>
      </c>
      <c r="B40" s="511" t="s">
        <v>775</v>
      </c>
      <c r="C40" s="514">
        <f t="shared" si="2"/>
        <v>19903257</v>
      </c>
      <c r="D40" s="514">
        <f t="shared" si="2"/>
        <v>20903539</v>
      </c>
      <c r="E40" s="514">
        <f t="shared" si="3"/>
        <v>1000282</v>
      </c>
    </row>
    <row r="41" spans="1:5" s="506" customFormat="1" x14ac:dyDescent="0.2">
      <c r="A41" s="512">
        <v>6</v>
      </c>
      <c r="B41" s="511" t="s">
        <v>776</v>
      </c>
      <c r="C41" s="514">
        <f t="shared" si="2"/>
        <v>437854</v>
      </c>
      <c r="D41" s="514">
        <f t="shared" si="2"/>
        <v>549415</v>
      </c>
      <c r="E41" s="514">
        <f t="shared" si="3"/>
        <v>111561</v>
      </c>
    </row>
    <row r="42" spans="1:5" s="506" customFormat="1" x14ac:dyDescent="0.2">
      <c r="A42" s="512">
        <v>7</v>
      </c>
      <c r="B42" s="511" t="s">
        <v>777</v>
      </c>
      <c r="C42" s="514">
        <f t="shared" si="2"/>
        <v>33344092</v>
      </c>
      <c r="D42" s="514">
        <f t="shared" si="2"/>
        <v>43380063</v>
      </c>
      <c r="E42" s="514">
        <f t="shared" si="3"/>
        <v>10035971</v>
      </c>
    </row>
    <row r="43" spans="1:5" s="506" customFormat="1" x14ac:dyDescent="0.2">
      <c r="A43" s="512"/>
      <c r="B43" s="516" t="s">
        <v>778</v>
      </c>
      <c r="C43" s="517">
        <f>SUM(C37+C38+C41)</f>
        <v>416667044</v>
      </c>
      <c r="D43" s="517">
        <f>SUM(D37+D38+D41)</f>
        <v>425401537</v>
      </c>
      <c r="E43" s="517">
        <f t="shared" si="3"/>
        <v>8734493</v>
      </c>
    </row>
    <row r="44" spans="1:5" s="506" customFormat="1" x14ac:dyDescent="0.2">
      <c r="A44" s="512"/>
      <c r="B44" s="516" t="s">
        <v>716</v>
      </c>
      <c r="C44" s="517">
        <f>SUM(C36+C43)</f>
        <v>944999461</v>
      </c>
      <c r="D44" s="517">
        <f>SUM(D36+D43)</f>
        <v>971611045</v>
      </c>
      <c r="E44" s="517">
        <f t="shared" si="3"/>
        <v>26611584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779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642</v>
      </c>
      <c r="C47" s="513">
        <v>74166562</v>
      </c>
      <c r="D47" s="513">
        <v>76812231</v>
      </c>
      <c r="E47" s="514">
        <f t="shared" ref="E47:E55" si="4">D47-C47</f>
        <v>2645669</v>
      </c>
    </row>
    <row r="48" spans="1:5" s="506" customFormat="1" x14ac:dyDescent="0.2">
      <c r="A48" s="512">
        <v>2</v>
      </c>
      <c r="B48" s="511" t="s">
        <v>621</v>
      </c>
      <c r="C48" s="513">
        <v>52061988</v>
      </c>
      <c r="D48" s="515">
        <v>46677998</v>
      </c>
      <c r="E48" s="514">
        <f t="shared" si="4"/>
        <v>-5383990</v>
      </c>
    </row>
    <row r="49" spans="1:5" s="506" customFormat="1" x14ac:dyDescent="0.2">
      <c r="A49" s="512">
        <v>3</v>
      </c>
      <c r="B49" s="511" t="s">
        <v>767</v>
      </c>
      <c r="C49" s="513">
        <v>5504871</v>
      </c>
      <c r="D49" s="515">
        <v>3705701</v>
      </c>
      <c r="E49" s="514">
        <f t="shared" si="4"/>
        <v>-1799170</v>
      </c>
    </row>
    <row r="50" spans="1:5" s="506" customFormat="1" x14ac:dyDescent="0.2">
      <c r="A50" s="512">
        <v>4</v>
      </c>
      <c r="B50" s="511" t="s">
        <v>114</v>
      </c>
      <c r="C50" s="513">
        <v>3265205</v>
      </c>
      <c r="D50" s="515">
        <v>1184120</v>
      </c>
      <c r="E50" s="514">
        <f t="shared" si="4"/>
        <v>-2081085</v>
      </c>
    </row>
    <row r="51" spans="1:5" s="506" customFormat="1" x14ac:dyDescent="0.2">
      <c r="A51" s="512">
        <v>5</v>
      </c>
      <c r="B51" s="511" t="s">
        <v>734</v>
      </c>
      <c r="C51" s="513">
        <v>2239666</v>
      </c>
      <c r="D51" s="515">
        <v>2521581</v>
      </c>
      <c r="E51" s="514">
        <f t="shared" si="4"/>
        <v>281915</v>
      </c>
    </row>
    <row r="52" spans="1:5" s="506" customFormat="1" x14ac:dyDescent="0.2">
      <c r="A52" s="512">
        <v>6</v>
      </c>
      <c r="B52" s="511" t="s">
        <v>430</v>
      </c>
      <c r="C52" s="513">
        <v>20081</v>
      </c>
      <c r="D52" s="515">
        <v>60268</v>
      </c>
      <c r="E52" s="514">
        <f t="shared" si="4"/>
        <v>40187</v>
      </c>
    </row>
    <row r="53" spans="1:5" s="506" customFormat="1" x14ac:dyDescent="0.2">
      <c r="A53" s="512">
        <v>7</v>
      </c>
      <c r="B53" s="511" t="s">
        <v>749</v>
      </c>
      <c r="C53" s="513">
        <v>1006552</v>
      </c>
      <c r="D53" s="515">
        <v>3467346</v>
      </c>
      <c r="E53" s="514">
        <f t="shared" si="4"/>
        <v>2460794</v>
      </c>
    </row>
    <row r="54" spans="1:5" s="506" customFormat="1" x14ac:dyDescent="0.2">
      <c r="A54" s="512"/>
      <c r="B54" s="516" t="s">
        <v>780</v>
      </c>
      <c r="C54" s="517">
        <f>SUM(C48+C49+C52)</f>
        <v>57586940</v>
      </c>
      <c r="D54" s="517">
        <f>SUM(D48+D49+D52)</f>
        <v>50443967</v>
      </c>
      <c r="E54" s="517">
        <f t="shared" si="4"/>
        <v>-7142973</v>
      </c>
    </row>
    <row r="55" spans="1:5" s="506" customFormat="1" x14ac:dyDescent="0.2">
      <c r="A55" s="512"/>
      <c r="B55" s="516" t="s">
        <v>709</v>
      </c>
      <c r="C55" s="517">
        <f>SUM(C47+C54)</f>
        <v>131753502</v>
      </c>
      <c r="D55" s="517">
        <f>SUM(D47+D54)</f>
        <v>127256198</v>
      </c>
      <c r="E55" s="517">
        <f t="shared" si="4"/>
        <v>-4497304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781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642</v>
      </c>
      <c r="C58" s="513">
        <v>129105273</v>
      </c>
      <c r="D58" s="513">
        <v>144513283</v>
      </c>
      <c r="E58" s="514">
        <f t="shared" ref="E58:E66" si="5">D58-C58</f>
        <v>15408010</v>
      </c>
    </row>
    <row r="59" spans="1:5" s="506" customFormat="1" x14ac:dyDescent="0.2">
      <c r="A59" s="512">
        <v>2</v>
      </c>
      <c r="B59" s="511" t="s">
        <v>621</v>
      </c>
      <c r="C59" s="513">
        <v>26007621</v>
      </c>
      <c r="D59" s="515">
        <v>30084155</v>
      </c>
      <c r="E59" s="514">
        <f t="shared" si="5"/>
        <v>4076534</v>
      </c>
    </row>
    <row r="60" spans="1:5" s="506" customFormat="1" x14ac:dyDescent="0.2">
      <c r="A60" s="512">
        <v>3</v>
      </c>
      <c r="B60" s="511" t="s">
        <v>767</v>
      </c>
      <c r="C60" s="513">
        <f>C61+C62</f>
        <v>4308693</v>
      </c>
      <c r="D60" s="515">
        <f>D61+D62</f>
        <v>3422664</v>
      </c>
      <c r="E60" s="514">
        <f t="shared" si="5"/>
        <v>-886029</v>
      </c>
    </row>
    <row r="61" spans="1:5" s="506" customFormat="1" x14ac:dyDescent="0.2">
      <c r="A61" s="512">
        <v>4</v>
      </c>
      <c r="B61" s="511" t="s">
        <v>114</v>
      </c>
      <c r="C61" s="513">
        <v>3628929</v>
      </c>
      <c r="D61" s="515">
        <v>2701312</v>
      </c>
      <c r="E61" s="514">
        <f t="shared" si="5"/>
        <v>-927617</v>
      </c>
    </row>
    <row r="62" spans="1:5" s="506" customFormat="1" x14ac:dyDescent="0.2">
      <c r="A62" s="512">
        <v>5</v>
      </c>
      <c r="B62" s="511" t="s">
        <v>734</v>
      </c>
      <c r="C62" s="513">
        <v>679764</v>
      </c>
      <c r="D62" s="515">
        <v>721352</v>
      </c>
      <c r="E62" s="514">
        <f t="shared" si="5"/>
        <v>41588</v>
      </c>
    </row>
    <row r="63" spans="1:5" s="506" customFormat="1" x14ac:dyDescent="0.2">
      <c r="A63" s="512">
        <v>6</v>
      </c>
      <c r="B63" s="511" t="s">
        <v>430</v>
      </c>
      <c r="C63" s="513">
        <v>127693</v>
      </c>
      <c r="D63" s="515">
        <v>279344</v>
      </c>
      <c r="E63" s="514">
        <f t="shared" si="5"/>
        <v>151651</v>
      </c>
    </row>
    <row r="64" spans="1:5" s="506" customFormat="1" x14ac:dyDescent="0.2">
      <c r="A64" s="512">
        <v>7</v>
      </c>
      <c r="B64" s="511" t="s">
        <v>749</v>
      </c>
      <c r="C64" s="513">
        <v>3692459</v>
      </c>
      <c r="D64" s="515">
        <v>9810082</v>
      </c>
      <c r="E64" s="514">
        <f t="shared" si="5"/>
        <v>6117623</v>
      </c>
    </row>
    <row r="65" spans="1:5" s="506" customFormat="1" x14ac:dyDescent="0.2">
      <c r="A65" s="512"/>
      <c r="B65" s="516" t="s">
        <v>782</v>
      </c>
      <c r="C65" s="517">
        <f>SUM(C59+C60+C63)</f>
        <v>30444007</v>
      </c>
      <c r="D65" s="517">
        <f>SUM(D59+D60+D63)</f>
        <v>33786163</v>
      </c>
      <c r="E65" s="517">
        <f t="shared" si="5"/>
        <v>3342156</v>
      </c>
    </row>
    <row r="66" spans="1:5" s="506" customFormat="1" x14ac:dyDescent="0.2">
      <c r="A66" s="512"/>
      <c r="B66" s="516" t="s">
        <v>715</v>
      </c>
      <c r="C66" s="517">
        <f>SUM(C58+C65)</f>
        <v>159549280</v>
      </c>
      <c r="D66" s="517">
        <f>SUM(D58+D65)</f>
        <v>178299446</v>
      </c>
      <c r="E66" s="517">
        <f t="shared" si="5"/>
        <v>18750166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640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771</v>
      </c>
      <c r="C69" s="514">
        <f t="shared" ref="C69:D75" si="6">C47+C58</f>
        <v>203271835</v>
      </c>
      <c r="D69" s="514">
        <f t="shared" si="6"/>
        <v>221325514</v>
      </c>
      <c r="E69" s="514">
        <f t="shared" ref="E69:E77" si="7">D69-C69</f>
        <v>18053679</v>
      </c>
    </row>
    <row r="70" spans="1:5" s="506" customFormat="1" x14ac:dyDescent="0.2">
      <c r="A70" s="512">
        <v>2</v>
      </c>
      <c r="B70" s="511" t="s">
        <v>772</v>
      </c>
      <c r="C70" s="514">
        <f t="shared" si="6"/>
        <v>78069609</v>
      </c>
      <c r="D70" s="514">
        <f t="shared" si="6"/>
        <v>76762153</v>
      </c>
      <c r="E70" s="514">
        <f t="shared" si="7"/>
        <v>-1307456</v>
      </c>
    </row>
    <row r="71" spans="1:5" s="506" customFormat="1" x14ac:dyDescent="0.2">
      <c r="A71" s="512">
        <v>3</v>
      </c>
      <c r="B71" s="511" t="s">
        <v>773</v>
      </c>
      <c r="C71" s="514">
        <f t="shared" si="6"/>
        <v>9813564</v>
      </c>
      <c r="D71" s="514">
        <f t="shared" si="6"/>
        <v>7128365</v>
      </c>
      <c r="E71" s="514">
        <f t="shared" si="7"/>
        <v>-2685199</v>
      </c>
    </row>
    <row r="72" spans="1:5" s="506" customFormat="1" x14ac:dyDescent="0.2">
      <c r="A72" s="512">
        <v>4</v>
      </c>
      <c r="B72" s="511" t="s">
        <v>774</v>
      </c>
      <c r="C72" s="514">
        <f t="shared" si="6"/>
        <v>6894134</v>
      </c>
      <c r="D72" s="514">
        <f t="shared" si="6"/>
        <v>3885432</v>
      </c>
      <c r="E72" s="514">
        <f t="shared" si="7"/>
        <v>-3008702</v>
      </c>
    </row>
    <row r="73" spans="1:5" s="506" customFormat="1" x14ac:dyDescent="0.2">
      <c r="A73" s="512">
        <v>5</v>
      </c>
      <c r="B73" s="511" t="s">
        <v>775</v>
      </c>
      <c r="C73" s="514">
        <f t="shared" si="6"/>
        <v>2919430</v>
      </c>
      <c r="D73" s="514">
        <f t="shared" si="6"/>
        <v>3242933</v>
      </c>
      <c r="E73" s="514">
        <f t="shared" si="7"/>
        <v>323503</v>
      </c>
    </row>
    <row r="74" spans="1:5" s="506" customFormat="1" x14ac:dyDescent="0.2">
      <c r="A74" s="512">
        <v>6</v>
      </c>
      <c r="B74" s="511" t="s">
        <v>776</v>
      </c>
      <c r="C74" s="514">
        <f t="shared" si="6"/>
        <v>147774</v>
      </c>
      <c r="D74" s="514">
        <f t="shared" si="6"/>
        <v>339612</v>
      </c>
      <c r="E74" s="514">
        <f t="shared" si="7"/>
        <v>191838</v>
      </c>
    </row>
    <row r="75" spans="1:5" s="506" customFormat="1" x14ac:dyDescent="0.2">
      <c r="A75" s="512">
        <v>7</v>
      </c>
      <c r="B75" s="511" t="s">
        <v>777</v>
      </c>
      <c r="C75" s="514">
        <f t="shared" si="6"/>
        <v>4699011</v>
      </c>
      <c r="D75" s="514">
        <f t="shared" si="6"/>
        <v>13277428</v>
      </c>
      <c r="E75" s="514">
        <f t="shared" si="7"/>
        <v>8578417</v>
      </c>
    </row>
    <row r="76" spans="1:5" s="506" customFormat="1" x14ac:dyDescent="0.2">
      <c r="A76" s="512"/>
      <c r="B76" s="516" t="s">
        <v>783</v>
      </c>
      <c r="C76" s="517">
        <f>SUM(C70+C71+C74)</f>
        <v>88030947</v>
      </c>
      <c r="D76" s="517">
        <f>SUM(D70+D71+D74)</f>
        <v>84230130</v>
      </c>
      <c r="E76" s="517">
        <f t="shared" si="7"/>
        <v>-3800817</v>
      </c>
    </row>
    <row r="77" spans="1:5" s="506" customFormat="1" x14ac:dyDescent="0.2">
      <c r="A77" s="512"/>
      <c r="B77" s="516" t="s">
        <v>717</v>
      </c>
      <c r="C77" s="517">
        <f>SUM(C69+C76)</f>
        <v>291302782</v>
      </c>
      <c r="D77" s="517">
        <f>SUM(D69+D76)</f>
        <v>305555644</v>
      </c>
      <c r="E77" s="517">
        <f t="shared" si="7"/>
        <v>14252862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784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785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642</v>
      </c>
      <c r="C83" s="523">
        <f t="shared" ref="C83:D89" si="8">IF(C$44=0,0,C14/C$44)</f>
        <v>0.19060404733923969</v>
      </c>
      <c r="D83" s="523">
        <f t="shared" si="8"/>
        <v>0.19213649429026405</v>
      </c>
      <c r="E83" s="523">
        <f t="shared" ref="E83:E91" si="9">D83-C83</f>
        <v>1.5324469510243632E-3</v>
      </c>
    </row>
    <row r="84" spans="1:5" s="506" customFormat="1" x14ac:dyDescent="0.2">
      <c r="A84" s="512">
        <v>2</v>
      </c>
      <c r="B84" s="511" t="s">
        <v>621</v>
      </c>
      <c r="C84" s="523">
        <f t="shared" si="8"/>
        <v>0.23330231402110821</v>
      </c>
      <c r="D84" s="523">
        <f t="shared" si="8"/>
        <v>0.21942620053274509</v>
      </c>
      <c r="E84" s="523">
        <f t="shared" si="9"/>
        <v>-1.3876113488363123E-2</v>
      </c>
    </row>
    <row r="85" spans="1:5" s="506" customFormat="1" x14ac:dyDescent="0.2">
      <c r="A85" s="512">
        <v>3</v>
      </c>
      <c r="B85" s="511" t="s">
        <v>767</v>
      </c>
      <c r="C85" s="523">
        <f t="shared" si="8"/>
        <v>2.4216790532116506E-2</v>
      </c>
      <c r="D85" s="523">
        <f t="shared" si="8"/>
        <v>2.3185046234216081E-2</v>
      </c>
      <c r="E85" s="523">
        <f t="shared" si="9"/>
        <v>-1.0317442979004242E-3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1.2156621748591664E-2</v>
      </c>
      <c r="D86" s="523">
        <f t="shared" si="8"/>
        <v>1.2097262644847765E-2</v>
      </c>
      <c r="E86" s="523">
        <f t="shared" si="9"/>
        <v>-5.9359103743899036E-5</v>
      </c>
    </row>
    <row r="87" spans="1:5" s="506" customFormat="1" x14ac:dyDescent="0.2">
      <c r="A87" s="512">
        <v>5</v>
      </c>
      <c r="B87" s="511" t="s">
        <v>734</v>
      </c>
      <c r="C87" s="523">
        <f t="shared" si="8"/>
        <v>1.206016878352484E-2</v>
      </c>
      <c r="D87" s="523">
        <f t="shared" si="8"/>
        <v>1.1087783589368315E-2</v>
      </c>
      <c r="E87" s="523">
        <f t="shared" si="9"/>
        <v>-9.7238519415652515E-4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7.8410626733680215E-5</v>
      </c>
      <c r="D88" s="523">
        <f t="shared" si="8"/>
        <v>9.5901544635075648E-5</v>
      </c>
      <c r="E88" s="523">
        <f t="shared" si="9"/>
        <v>1.7490917901395432E-5</v>
      </c>
    </row>
    <row r="89" spans="1:5" s="506" customFormat="1" x14ac:dyDescent="0.2">
      <c r="A89" s="512">
        <v>7</v>
      </c>
      <c r="B89" s="511" t="s">
        <v>749</v>
      </c>
      <c r="C89" s="523">
        <f t="shared" si="8"/>
        <v>7.5581778559342481E-3</v>
      </c>
      <c r="D89" s="523">
        <f t="shared" si="8"/>
        <v>1.1659528839547104E-2</v>
      </c>
      <c r="E89" s="523">
        <f t="shared" si="9"/>
        <v>4.1013509836128562E-3</v>
      </c>
    </row>
    <row r="90" spans="1:5" s="506" customFormat="1" x14ac:dyDescent="0.2">
      <c r="A90" s="512"/>
      <c r="B90" s="516" t="s">
        <v>786</v>
      </c>
      <c r="C90" s="524">
        <f>SUM(C84+C85+C88)</f>
        <v>0.25759751517995838</v>
      </c>
      <c r="D90" s="524">
        <f>SUM(D84+D85+D88)</f>
        <v>0.24270714831159623</v>
      </c>
      <c r="E90" s="525">
        <f t="shared" si="9"/>
        <v>-1.4890366868362148E-2</v>
      </c>
    </row>
    <row r="91" spans="1:5" s="506" customFormat="1" x14ac:dyDescent="0.2">
      <c r="A91" s="512"/>
      <c r="B91" s="516" t="s">
        <v>787</v>
      </c>
      <c r="C91" s="524">
        <f>SUM(C83+C90)</f>
        <v>0.44820156251919807</v>
      </c>
      <c r="D91" s="524">
        <f>SUM(D83+D90)</f>
        <v>0.43484364260186026</v>
      </c>
      <c r="E91" s="525">
        <f t="shared" si="9"/>
        <v>-1.3357919917337813E-2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788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642</v>
      </c>
      <c r="C95" s="523">
        <f t="shared" ref="C95:D101" si="10">IF(C$44=0,0,C25/C$44)</f>
        <v>0.36847819429602829</v>
      </c>
      <c r="D95" s="523">
        <f t="shared" si="10"/>
        <v>0.37003240118580577</v>
      </c>
      <c r="E95" s="523">
        <f t="shared" ref="E95:E103" si="11">D95-C95</f>
        <v>1.5542068897774763E-3</v>
      </c>
    </row>
    <row r="96" spans="1:5" s="506" customFormat="1" x14ac:dyDescent="0.2">
      <c r="A96" s="512">
        <v>2</v>
      </c>
      <c r="B96" s="511" t="s">
        <v>621</v>
      </c>
      <c r="C96" s="523">
        <f t="shared" si="10"/>
        <v>0.15294874967129743</v>
      </c>
      <c r="D96" s="523">
        <f t="shared" si="10"/>
        <v>0.16379701714897651</v>
      </c>
      <c r="E96" s="523">
        <f t="shared" si="11"/>
        <v>1.0848267477679086E-2</v>
      </c>
    </row>
    <row r="97" spans="1:5" s="506" customFormat="1" x14ac:dyDescent="0.2">
      <c r="A97" s="512">
        <v>3</v>
      </c>
      <c r="B97" s="511" t="s">
        <v>767</v>
      </c>
      <c r="C97" s="523">
        <f t="shared" si="10"/>
        <v>2.9986566309798138E-2</v>
      </c>
      <c r="D97" s="523">
        <f t="shared" si="10"/>
        <v>3.0857372561053996E-2</v>
      </c>
      <c r="E97" s="523">
        <f t="shared" si="11"/>
        <v>8.7080625125585814E-4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2.0985075461328755E-2</v>
      </c>
      <c r="D98" s="523">
        <f t="shared" si="10"/>
        <v>2.0430848436886594E-2</v>
      </c>
      <c r="E98" s="523">
        <f t="shared" si="11"/>
        <v>-5.5422702444216099E-4</v>
      </c>
    </row>
    <row r="99" spans="1:5" s="506" customFormat="1" x14ac:dyDescent="0.2">
      <c r="A99" s="512">
        <v>5</v>
      </c>
      <c r="B99" s="511" t="s">
        <v>734</v>
      </c>
      <c r="C99" s="523">
        <f t="shared" si="10"/>
        <v>9.0014908484693842E-3</v>
      </c>
      <c r="D99" s="523">
        <f t="shared" si="10"/>
        <v>1.0426524124167403E-2</v>
      </c>
      <c r="E99" s="523">
        <f t="shared" si="11"/>
        <v>1.4250332756980191E-3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3.8492720367805584E-4</v>
      </c>
      <c r="D100" s="523">
        <f t="shared" si="10"/>
        <v>4.6956650230339857E-4</v>
      </c>
      <c r="E100" s="523">
        <f t="shared" si="11"/>
        <v>8.463929862534273E-5</v>
      </c>
    </row>
    <row r="101" spans="1:5" s="506" customFormat="1" x14ac:dyDescent="0.2">
      <c r="A101" s="512">
        <v>7</v>
      </c>
      <c r="B101" s="511" t="s">
        <v>749</v>
      </c>
      <c r="C101" s="523">
        <f t="shared" si="10"/>
        <v>2.7726595708608557E-2</v>
      </c>
      <c r="D101" s="523">
        <f t="shared" si="10"/>
        <v>3.2988031748856866E-2</v>
      </c>
      <c r="E101" s="523">
        <f t="shared" si="11"/>
        <v>5.2614360402483094E-3</v>
      </c>
    </row>
    <row r="102" spans="1:5" s="506" customFormat="1" x14ac:dyDescent="0.2">
      <c r="A102" s="512"/>
      <c r="B102" s="516" t="s">
        <v>789</v>
      </c>
      <c r="C102" s="524">
        <f>SUM(C96+C97+C100)</f>
        <v>0.18332024318477363</v>
      </c>
      <c r="D102" s="524">
        <f>SUM(D96+D97+D100)</f>
        <v>0.19512395621233392</v>
      </c>
      <c r="E102" s="525">
        <f t="shared" si="11"/>
        <v>1.1803713027560281E-2</v>
      </c>
    </row>
    <row r="103" spans="1:5" s="506" customFormat="1" x14ac:dyDescent="0.2">
      <c r="A103" s="512"/>
      <c r="B103" s="516" t="s">
        <v>790</v>
      </c>
      <c r="C103" s="524">
        <f>SUM(C95+C102)</f>
        <v>0.55179843748080193</v>
      </c>
      <c r="D103" s="524">
        <f>SUM(D95+D102)</f>
        <v>0.56515635739813974</v>
      </c>
      <c r="E103" s="525">
        <f t="shared" si="11"/>
        <v>1.3357919917337813E-2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791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792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642</v>
      </c>
      <c r="C109" s="523">
        <f t="shared" ref="C109:D115" si="12">IF(C$77=0,0,C47/C$77)</f>
        <v>0.25460299929439051</v>
      </c>
      <c r="D109" s="523">
        <f t="shared" si="12"/>
        <v>0.25138541050807756</v>
      </c>
      <c r="E109" s="523">
        <f t="shared" ref="E109:E117" si="13">D109-C109</f>
        <v>-3.2175887863129526E-3</v>
      </c>
    </row>
    <row r="110" spans="1:5" s="506" customFormat="1" x14ac:dyDescent="0.2">
      <c r="A110" s="512">
        <v>2</v>
      </c>
      <c r="B110" s="511" t="s">
        <v>621</v>
      </c>
      <c r="C110" s="523">
        <f t="shared" si="12"/>
        <v>0.17872121797999169</v>
      </c>
      <c r="D110" s="523">
        <f t="shared" si="12"/>
        <v>0.15276431287258435</v>
      </c>
      <c r="E110" s="523">
        <f t="shared" si="13"/>
        <v>-2.5956905107407335E-2</v>
      </c>
    </row>
    <row r="111" spans="1:5" s="506" customFormat="1" x14ac:dyDescent="0.2">
      <c r="A111" s="512">
        <v>3</v>
      </c>
      <c r="B111" s="511" t="s">
        <v>767</v>
      </c>
      <c r="C111" s="523">
        <f t="shared" si="12"/>
        <v>1.8897419936071878E-2</v>
      </c>
      <c r="D111" s="523">
        <f t="shared" si="12"/>
        <v>1.2127745216841748E-2</v>
      </c>
      <c r="E111" s="523">
        <f t="shared" si="13"/>
        <v>-6.7696747192301301E-3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1.1208972937306173E-2</v>
      </c>
      <c r="D112" s="523">
        <f t="shared" si="12"/>
        <v>3.8753006964584165E-3</v>
      </c>
      <c r="E112" s="523">
        <f t="shared" si="13"/>
        <v>-7.3336722408477561E-3</v>
      </c>
    </row>
    <row r="113" spans="1:5" s="506" customFormat="1" x14ac:dyDescent="0.2">
      <c r="A113" s="512">
        <v>5</v>
      </c>
      <c r="B113" s="511" t="s">
        <v>734</v>
      </c>
      <c r="C113" s="523">
        <f t="shared" si="12"/>
        <v>7.6884469987657036E-3</v>
      </c>
      <c r="D113" s="523">
        <f t="shared" si="12"/>
        <v>8.2524445203833313E-3</v>
      </c>
      <c r="E113" s="523">
        <f t="shared" si="13"/>
        <v>5.6399752161762767E-4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6.8935146661249527E-5</v>
      </c>
      <c r="D114" s="523">
        <f t="shared" si="12"/>
        <v>1.9724067018051875E-4</v>
      </c>
      <c r="E114" s="523">
        <f t="shared" si="13"/>
        <v>1.2830552351926922E-4</v>
      </c>
    </row>
    <row r="115" spans="1:5" s="506" customFormat="1" x14ac:dyDescent="0.2">
      <c r="A115" s="512">
        <v>7</v>
      </c>
      <c r="B115" s="511" t="s">
        <v>749</v>
      </c>
      <c r="C115" s="523">
        <f t="shared" si="12"/>
        <v>3.4553463344541625E-3</v>
      </c>
      <c r="D115" s="523">
        <f t="shared" si="12"/>
        <v>1.1347674533545845E-2</v>
      </c>
      <c r="E115" s="523">
        <f t="shared" si="13"/>
        <v>7.8923281990916829E-3</v>
      </c>
    </row>
    <row r="116" spans="1:5" s="506" customFormat="1" x14ac:dyDescent="0.2">
      <c r="A116" s="512"/>
      <c r="B116" s="516" t="s">
        <v>786</v>
      </c>
      <c r="C116" s="524">
        <f>SUM(C110+C111+C114)</f>
        <v>0.19768757306272483</v>
      </c>
      <c r="D116" s="524">
        <f>SUM(D110+D111+D114)</f>
        <v>0.1650892987596066</v>
      </c>
      <c r="E116" s="525">
        <f t="shared" si="13"/>
        <v>-3.2598274303118235E-2</v>
      </c>
    </row>
    <row r="117" spans="1:5" s="506" customFormat="1" x14ac:dyDescent="0.2">
      <c r="A117" s="512"/>
      <c r="B117" s="516" t="s">
        <v>787</v>
      </c>
      <c r="C117" s="524">
        <f>SUM(C109+C116)</f>
        <v>0.45229057235711534</v>
      </c>
      <c r="D117" s="524">
        <f>SUM(D109+D116)</f>
        <v>0.41647470926768415</v>
      </c>
      <c r="E117" s="525">
        <f t="shared" si="13"/>
        <v>-3.5815863089431188E-2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793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642</v>
      </c>
      <c r="C121" s="523">
        <f t="shared" ref="C121:D127" si="14">IF(C$77=0,0,C58/C$77)</f>
        <v>0.44319958811790544</v>
      </c>
      <c r="D121" s="523">
        <f t="shared" si="14"/>
        <v>0.47295242564722517</v>
      </c>
      <c r="E121" s="523">
        <f t="shared" ref="E121:E129" si="15">D121-C121</f>
        <v>2.9752837529319731E-2</v>
      </c>
    </row>
    <row r="122" spans="1:5" s="506" customFormat="1" x14ac:dyDescent="0.2">
      <c r="A122" s="512">
        <v>2</v>
      </c>
      <c r="B122" s="511" t="s">
        <v>621</v>
      </c>
      <c r="C122" s="523">
        <f t="shared" si="14"/>
        <v>8.9280372887067042E-2</v>
      </c>
      <c r="D122" s="523">
        <f t="shared" si="14"/>
        <v>9.8457206046568727E-2</v>
      </c>
      <c r="E122" s="523">
        <f t="shared" si="15"/>
        <v>9.176833159501685E-3</v>
      </c>
    </row>
    <row r="123" spans="1:5" s="506" customFormat="1" x14ac:dyDescent="0.2">
      <c r="A123" s="512">
        <v>3</v>
      </c>
      <c r="B123" s="511" t="s">
        <v>767</v>
      </c>
      <c r="C123" s="523">
        <f t="shared" si="14"/>
        <v>1.4791115177197313E-2</v>
      </c>
      <c r="D123" s="523">
        <f t="shared" si="14"/>
        <v>1.120144257587335E-2</v>
      </c>
      <c r="E123" s="523">
        <f t="shared" si="15"/>
        <v>-3.5896726013239632E-3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1.2457584424991864E-2</v>
      </c>
      <c r="D124" s="523">
        <f t="shared" si="14"/>
        <v>8.8406548955777108E-3</v>
      </c>
      <c r="E124" s="523">
        <f t="shared" si="15"/>
        <v>-3.6169295294141528E-3</v>
      </c>
    </row>
    <row r="125" spans="1:5" s="506" customFormat="1" x14ac:dyDescent="0.2">
      <c r="A125" s="512">
        <v>5</v>
      </c>
      <c r="B125" s="511" t="s">
        <v>734</v>
      </c>
      <c r="C125" s="523">
        <f t="shared" si="14"/>
        <v>2.3335307522054493E-3</v>
      </c>
      <c r="D125" s="523">
        <f t="shared" si="14"/>
        <v>2.3607876802956389E-3</v>
      </c>
      <c r="E125" s="523">
        <f t="shared" si="15"/>
        <v>2.7256928090189578E-5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4.3835146071485165E-4</v>
      </c>
      <c r="D126" s="523">
        <f t="shared" si="14"/>
        <v>9.142164626486166E-4</v>
      </c>
      <c r="E126" s="523">
        <f t="shared" si="15"/>
        <v>4.7586500193376495E-4</v>
      </c>
    </row>
    <row r="127" spans="1:5" s="506" customFormat="1" x14ac:dyDescent="0.2">
      <c r="A127" s="512">
        <v>7</v>
      </c>
      <c r="B127" s="511" t="s">
        <v>749</v>
      </c>
      <c r="C127" s="523">
        <f t="shared" si="14"/>
        <v>1.2675673656971803E-2</v>
      </c>
      <c r="D127" s="523">
        <f t="shared" si="14"/>
        <v>3.210571361594617E-2</v>
      </c>
      <c r="E127" s="523">
        <f t="shared" si="15"/>
        <v>1.9430039958974368E-2</v>
      </c>
    </row>
    <row r="128" spans="1:5" s="506" customFormat="1" x14ac:dyDescent="0.2">
      <c r="A128" s="512"/>
      <c r="B128" s="516" t="s">
        <v>789</v>
      </c>
      <c r="C128" s="524">
        <f>SUM(C122+C123+C126)</f>
        <v>0.10450983952497921</v>
      </c>
      <c r="D128" s="524">
        <f>SUM(D122+D123+D126)</f>
        <v>0.1105728650850907</v>
      </c>
      <c r="E128" s="525">
        <f t="shared" si="15"/>
        <v>6.0630255601114985E-3</v>
      </c>
    </row>
    <row r="129" spans="1:5" s="506" customFormat="1" x14ac:dyDescent="0.2">
      <c r="A129" s="512"/>
      <c r="B129" s="516" t="s">
        <v>790</v>
      </c>
      <c r="C129" s="524">
        <f>SUM(C121+C128)</f>
        <v>0.54770942764288466</v>
      </c>
      <c r="D129" s="524">
        <f>SUM(D121+D128)</f>
        <v>0.58352529073231585</v>
      </c>
      <c r="E129" s="525">
        <f t="shared" si="15"/>
        <v>3.5815863089431188E-2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794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795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796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642</v>
      </c>
      <c r="C137" s="530">
        <v>7441</v>
      </c>
      <c r="D137" s="530">
        <v>7317</v>
      </c>
      <c r="E137" s="531">
        <f t="shared" ref="E137:E145" si="16">D137-C137</f>
        <v>-124</v>
      </c>
    </row>
    <row r="138" spans="1:5" s="506" customFormat="1" x14ac:dyDescent="0.2">
      <c r="A138" s="512">
        <v>2</v>
      </c>
      <c r="B138" s="511" t="s">
        <v>621</v>
      </c>
      <c r="C138" s="530">
        <v>5255</v>
      </c>
      <c r="D138" s="530">
        <v>4984</v>
      </c>
      <c r="E138" s="531">
        <f t="shared" si="16"/>
        <v>-271</v>
      </c>
    </row>
    <row r="139" spans="1:5" s="506" customFormat="1" x14ac:dyDescent="0.2">
      <c r="A139" s="512">
        <v>3</v>
      </c>
      <c r="B139" s="511" t="s">
        <v>767</v>
      </c>
      <c r="C139" s="530">
        <f>C140+C141</f>
        <v>779</v>
      </c>
      <c r="D139" s="530">
        <f>D140+D141</f>
        <v>722</v>
      </c>
      <c r="E139" s="531">
        <f t="shared" si="16"/>
        <v>-57</v>
      </c>
    </row>
    <row r="140" spans="1:5" s="506" customFormat="1" x14ac:dyDescent="0.2">
      <c r="A140" s="512">
        <v>4</v>
      </c>
      <c r="B140" s="511" t="s">
        <v>114</v>
      </c>
      <c r="C140" s="530">
        <v>445</v>
      </c>
      <c r="D140" s="530">
        <v>425</v>
      </c>
      <c r="E140" s="531">
        <f t="shared" si="16"/>
        <v>-20</v>
      </c>
    </row>
    <row r="141" spans="1:5" s="506" customFormat="1" x14ac:dyDescent="0.2">
      <c r="A141" s="512">
        <v>5</v>
      </c>
      <c r="B141" s="511" t="s">
        <v>734</v>
      </c>
      <c r="C141" s="530">
        <v>334</v>
      </c>
      <c r="D141" s="530">
        <v>297</v>
      </c>
      <c r="E141" s="531">
        <f t="shared" si="16"/>
        <v>-37</v>
      </c>
    </row>
    <row r="142" spans="1:5" s="506" customFormat="1" x14ac:dyDescent="0.2">
      <c r="A142" s="512">
        <v>6</v>
      </c>
      <c r="B142" s="511" t="s">
        <v>430</v>
      </c>
      <c r="C142" s="530">
        <v>4</v>
      </c>
      <c r="D142" s="530">
        <v>4</v>
      </c>
      <c r="E142" s="531">
        <f t="shared" si="16"/>
        <v>0</v>
      </c>
    </row>
    <row r="143" spans="1:5" s="506" customFormat="1" x14ac:dyDescent="0.2">
      <c r="A143" s="512">
        <v>7</v>
      </c>
      <c r="B143" s="511" t="s">
        <v>749</v>
      </c>
      <c r="C143" s="530">
        <v>290</v>
      </c>
      <c r="D143" s="530">
        <v>370</v>
      </c>
      <c r="E143" s="531">
        <f t="shared" si="16"/>
        <v>80</v>
      </c>
    </row>
    <row r="144" spans="1:5" s="506" customFormat="1" x14ac:dyDescent="0.2">
      <c r="A144" s="512"/>
      <c r="B144" s="516" t="s">
        <v>797</v>
      </c>
      <c r="C144" s="532">
        <f>SUM(C138+C139+C142)</f>
        <v>6038</v>
      </c>
      <c r="D144" s="532">
        <f>SUM(D138+D139+D142)</f>
        <v>5710</v>
      </c>
      <c r="E144" s="533">
        <f t="shared" si="16"/>
        <v>-328</v>
      </c>
    </row>
    <row r="145" spans="1:5" s="506" customFormat="1" x14ac:dyDescent="0.2">
      <c r="A145" s="512"/>
      <c r="B145" s="516" t="s">
        <v>711</v>
      </c>
      <c r="C145" s="532">
        <f>SUM(C137+C144)</f>
        <v>13479</v>
      </c>
      <c r="D145" s="532">
        <f>SUM(D137+D144)</f>
        <v>13027</v>
      </c>
      <c r="E145" s="533">
        <f t="shared" si="16"/>
        <v>-452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642</v>
      </c>
      <c r="C149" s="534">
        <v>24155</v>
      </c>
      <c r="D149" s="534">
        <v>24293</v>
      </c>
      <c r="E149" s="531">
        <f t="shared" ref="E149:E157" si="17">D149-C149</f>
        <v>138</v>
      </c>
    </row>
    <row r="150" spans="1:5" s="506" customFormat="1" x14ac:dyDescent="0.2">
      <c r="A150" s="512">
        <v>2</v>
      </c>
      <c r="B150" s="511" t="s">
        <v>621</v>
      </c>
      <c r="C150" s="534">
        <v>25128</v>
      </c>
      <c r="D150" s="534">
        <v>24296</v>
      </c>
      <c r="E150" s="531">
        <f t="shared" si="17"/>
        <v>-832</v>
      </c>
    </row>
    <row r="151" spans="1:5" s="506" customFormat="1" x14ac:dyDescent="0.2">
      <c r="A151" s="512">
        <v>3</v>
      </c>
      <c r="B151" s="511" t="s">
        <v>767</v>
      </c>
      <c r="C151" s="534">
        <f>C152+C153</f>
        <v>3348</v>
      </c>
      <c r="D151" s="534">
        <f>D152+D153</f>
        <v>3321</v>
      </c>
      <c r="E151" s="531">
        <f t="shared" si="17"/>
        <v>-27</v>
      </c>
    </row>
    <row r="152" spans="1:5" s="506" customFormat="1" x14ac:dyDescent="0.2">
      <c r="A152" s="512">
        <v>4</v>
      </c>
      <c r="B152" s="511" t="s">
        <v>114</v>
      </c>
      <c r="C152" s="534">
        <v>1511</v>
      </c>
      <c r="D152" s="534">
        <v>1944</v>
      </c>
      <c r="E152" s="531">
        <f t="shared" si="17"/>
        <v>433</v>
      </c>
    </row>
    <row r="153" spans="1:5" s="506" customFormat="1" x14ac:dyDescent="0.2">
      <c r="A153" s="512">
        <v>5</v>
      </c>
      <c r="B153" s="511" t="s">
        <v>734</v>
      </c>
      <c r="C153" s="535">
        <v>1837</v>
      </c>
      <c r="D153" s="534">
        <v>1377</v>
      </c>
      <c r="E153" s="531">
        <f t="shared" si="17"/>
        <v>-460</v>
      </c>
    </row>
    <row r="154" spans="1:5" s="506" customFormat="1" x14ac:dyDescent="0.2">
      <c r="A154" s="512">
        <v>6</v>
      </c>
      <c r="B154" s="511" t="s">
        <v>430</v>
      </c>
      <c r="C154" s="534">
        <v>7</v>
      </c>
      <c r="D154" s="534">
        <v>9</v>
      </c>
      <c r="E154" s="531">
        <f t="shared" si="17"/>
        <v>2</v>
      </c>
    </row>
    <row r="155" spans="1:5" s="506" customFormat="1" x14ac:dyDescent="0.2">
      <c r="A155" s="512">
        <v>7</v>
      </c>
      <c r="B155" s="511" t="s">
        <v>749</v>
      </c>
      <c r="C155" s="534">
        <v>694</v>
      </c>
      <c r="D155" s="534">
        <v>1052</v>
      </c>
      <c r="E155" s="531">
        <f t="shared" si="17"/>
        <v>358</v>
      </c>
    </row>
    <row r="156" spans="1:5" s="506" customFormat="1" x14ac:dyDescent="0.2">
      <c r="A156" s="512"/>
      <c r="B156" s="516" t="s">
        <v>798</v>
      </c>
      <c r="C156" s="532">
        <f>SUM(C150+C151+C154)</f>
        <v>28483</v>
      </c>
      <c r="D156" s="532">
        <f>SUM(D150+D151+D154)</f>
        <v>27626</v>
      </c>
      <c r="E156" s="533">
        <f t="shared" si="17"/>
        <v>-857</v>
      </c>
    </row>
    <row r="157" spans="1:5" s="506" customFormat="1" x14ac:dyDescent="0.2">
      <c r="A157" s="512"/>
      <c r="B157" s="516" t="s">
        <v>799</v>
      </c>
      <c r="C157" s="532">
        <f>SUM(C149+C156)</f>
        <v>52638</v>
      </c>
      <c r="D157" s="532">
        <f>SUM(D149+D156)</f>
        <v>51919</v>
      </c>
      <c r="E157" s="533">
        <f t="shared" si="17"/>
        <v>-719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800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642</v>
      </c>
      <c r="C161" s="536">
        <f t="shared" ref="C161:D169" si="18">IF(C137=0,0,C149/C137)</f>
        <v>3.2462034672759037</v>
      </c>
      <c r="D161" s="536">
        <f t="shared" si="18"/>
        <v>3.3200765340986744</v>
      </c>
      <c r="E161" s="537">
        <f t="shared" ref="E161:E169" si="19">D161-C161</f>
        <v>7.3873066822770728E-2</v>
      </c>
    </row>
    <row r="162" spans="1:5" s="506" customFormat="1" x14ac:dyDescent="0.2">
      <c r="A162" s="512">
        <v>2</v>
      </c>
      <c r="B162" s="511" t="s">
        <v>621</v>
      </c>
      <c r="C162" s="536">
        <f t="shared" si="18"/>
        <v>4.7817316841103708</v>
      </c>
      <c r="D162" s="536">
        <f t="shared" si="18"/>
        <v>4.8747993579454256</v>
      </c>
      <c r="E162" s="537">
        <f t="shared" si="19"/>
        <v>9.3067673835054876E-2</v>
      </c>
    </row>
    <row r="163" spans="1:5" s="506" customFormat="1" x14ac:dyDescent="0.2">
      <c r="A163" s="512">
        <v>3</v>
      </c>
      <c r="B163" s="511" t="s">
        <v>767</v>
      </c>
      <c r="C163" s="536">
        <f t="shared" si="18"/>
        <v>4.2978177150192556</v>
      </c>
      <c r="D163" s="536">
        <f t="shared" si="18"/>
        <v>4.5997229916897506</v>
      </c>
      <c r="E163" s="537">
        <f t="shared" si="19"/>
        <v>0.30190527667049505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3.3955056179775283</v>
      </c>
      <c r="D164" s="536">
        <f t="shared" si="18"/>
        <v>4.5741176470588236</v>
      </c>
      <c r="E164" s="537">
        <f t="shared" si="19"/>
        <v>1.1786120290812954</v>
      </c>
    </row>
    <row r="165" spans="1:5" s="506" customFormat="1" x14ac:dyDescent="0.2">
      <c r="A165" s="512">
        <v>5</v>
      </c>
      <c r="B165" s="511" t="s">
        <v>734</v>
      </c>
      <c r="C165" s="536">
        <f t="shared" si="18"/>
        <v>5.5</v>
      </c>
      <c r="D165" s="536">
        <f t="shared" si="18"/>
        <v>4.6363636363636367</v>
      </c>
      <c r="E165" s="537">
        <f t="shared" si="19"/>
        <v>-0.86363636363636331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1.75</v>
      </c>
      <c r="D166" s="536">
        <f t="shared" si="18"/>
        <v>2.25</v>
      </c>
      <c r="E166" s="537">
        <f t="shared" si="19"/>
        <v>0.5</v>
      </c>
    </row>
    <row r="167" spans="1:5" s="506" customFormat="1" x14ac:dyDescent="0.2">
      <c r="A167" s="512">
        <v>7</v>
      </c>
      <c r="B167" s="511" t="s">
        <v>749</v>
      </c>
      <c r="C167" s="536">
        <f t="shared" si="18"/>
        <v>2.3931034482758622</v>
      </c>
      <c r="D167" s="536">
        <f t="shared" si="18"/>
        <v>2.8432432432432431</v>
      </c>
      <c r="E167" s="537">
        <f t="shared" si="19"/>
        <v>0.45013979496738088</v>
      </c>
    </row>
    <row r="168" spans="1:5" s="506" customFormat="1" x14ac:dyDescent="0.2">
      <c r="A168" s="512"/>
      <c r="B168" s="516" t="s">
        <v>801</v>
      </c>
      <c r="C168" s="538">
        <f t="shared" si="18"/>
        <v>4.7172904935409079</v>
      </c>
      <c r="D168" s="538">
        <f t="shared" si="18"/>
        <v>4.838178633975482</v>
      </c>
      <c r="E168" s="539">
        <f t="shared" si="19"/>
        <v>0.12088814043457408</v>
      </c>
    </row>
    <row r="169" spans="1:5" s="506" customFormat="1" x14ac:dyDescent="0.2">
      <c r="A169" s="512"/>
      <c r="B169" s="516" t="s">
        <v>735</v>
      </c>
      <c r="C169" s="538">
        <f t="shared" si="18"/>
        <v>3.905185844647229</v>
      </c>
      <c r="D169" s="538">
        <f t="shared" si="18"/>
        <v>3.9854916711445458</v>
      </c>
      <c r="E169" s="539">
        <f t="shared" si="19"/>
        <v>8.0305826497316879E-2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802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642</v>
      </c>
      <c r="C173" s="541">
        <f t="shared" ref="C173:D181" si="20">IF(C137=0,0,C203/C137)</f>
        <v>0.94159999999999999</v>
      </c>
      <c r="D173" s="541">
        <f t="shared" si="20"/>
        <v>0.8478</v>
      </c>
      <c r="E173" s="542">
        <f t="shared" ref="E173:E181" si="21">D173-C173</f>
        <v>-9.3799999999999994E-2</v>
      </c>
    </row>
    <row r="174" spans="1:5" s="506" customFormat="1" x14ac:dyDescent="0.2">
      <c r="A174" s="512">
        <v>2</v>
      </c>
      <c r="B174" s="511" t="s">
        <v>621</v>
      </c>
      <c r="C174" s="541">
        <f t="shared" si="20"/>
        <v>1.4139999999999999</v>
      </c>
      <c r="D174" s="541">
        <f t="shared" si="20"/>
        <v>1.347</v>
      </c>
      <c r="E174" s="542">
        <f t="shared" si="21"/>
        <v>-6.6999999999999948E-2</v>
      </c>
    </row>
    <row r="175" spans="1:5" s="506" customFormat="1" x14ac:dyDescent="0.2">
      <c r="A175" s="512">
        <v>0</v>
      </c>
      <c r="B175" s="511" t="s">
        <v>767</v>
      </c>
      <c r="C175" s="541">
        <f t="shared" si="20"/>
        <v>0.97698446726572519</v>
      </c>
      <c r="D175" s="541">
        <f t="shared" si="20"/>
        <v>1.0041252077562326</v>
      </c>
      <c r="E175" s="542">
        <f t="shared" si="21"/>
        <v>2.7140740490507409E-2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0.97989999999999999</v>
      </c>
      <c r="D176" s="541">
        <f t="shared" si="20"/>
        <v>0.92859999999999998</v>
      </c>
      <c r="E176" s="542">
        <f t="shared" si="21"/>
        <v>-5.1300000000000012E-2</v>
      </c>
    </row>
    <row r="177" spans="1:5" s="506" customFormat="1" x14ac:dyDescent="0.2">
      <c r="A177" s="512">
        <v>5</v>
      </c>
      <c r="B177" s="511" t="s">
        <v>734</v>
      </c>
      <c r="C177" s="541">
        <f t="shared" si="20"/>
        <v>0.97309999999999997</v>
      </c>
      <c r="D177" s="541">
        <f t="shared" si="20"/>
        <v>1.1122000000000001</v>
      </c>
      <c r="E177" s="542">
        <f t="shared" si="21"/>
        <v>0.13910000000000011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0.58199999999999996</v>
      </c>
      <c r="D178" s="541">
        <f t="shared" si="20"/>
        <v>1.1954</v>
      </c>
      <c r="E178" s="542">
        <f t="shared" si="21"/>
        <v>0.61340000000000006</v>
      </c>
    </row>
    <row r="179" spans="1:5" s="506" customFormat="1" x14ac:dyDescent="0.2">
      <c r="A179" s="512">
        <v>7</v>
      </c>
      <c r="B179" s="511" t="s">
        <v>749</v>
      </c>
      <c r="C179" s="541">
        <f t="shared" si="20"/>
        <v>0.99399999999999999</v>
      </c>
      <c r="D179" s="541">
        <f t="shared" si="20"/>
        <v>0.90229999999999999</v>
      </c>
      <c r="E179" s="542">
        <f t="shared" si="21"/>
        <v>-9.1700000000000004E-2</v>
      </c>
    </row>
    <row r="180" spans="1:5" s="506" customFormat="1" x14ac:dyDescent="0.2">
      <c r="A180" s="512"/>
      <c r="B180" s="516" t="s">
        <v>803</v>
      </c>
      <c r="C180" s="543">
        <f t="shared" si="20"/>
        <v>1.3570667273931765</v>
      </c>
      <c r="D180" s="543">
        <f t="shared" si="20"/>
        <v>1.3035390542907181</v>
      </c>
      <c r="E180" s="544">
        <f t="shared" si="21"/>
        <v>-5.3527673102458317E-2</v>
      </c>
    </row>
    <row r="181" spans="1:5" s="506" customFormat="1" x14ac:dyDescent="0.2">
      <c r="A181" s="512"/>
      <c r="B181" s="516" t="s">
        <v>712</v>
      </c>
      <c r="C181" s="543">
        <f t="shared" si="20"/>
        <v>1.1277108465019658</v>
      </c>
      <c r="D181" s="543">
        <f t="shared" si="20"/>
        <v>1.0475597297919705</v>
      </c>
      <c r="E181" s="544">
        <f t="shared" si="21"/>
        <v>-8.0151116709995307E-2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804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805</v>
      </c>
      <c r="C185" s="513">
        <v>474455885</v>
      </c>
      <c r="D185" s="513">
        <v>484405308</v>
      </c>
      <c r="E185" s="514">
        <f>D185-C185</f>
        <v>9949423</v>
      </c>
    </row>
    <row r="186" spans="1:5" s="506" customFormat="1" ht="25.5" x14ac:dyDescent="0.2">
      <c r="A186" s="512">
        <v>2</v>
      </c>
      <c r="B186" s="511" t="s">
        <v>806</v>
      </c>
      <c r="C186" s="513">
        <v>194693903</v>
      </c>
      <c r="D186" s="513">
        <v>200620172</v>
      </c>
      <c r="E186" s="514">
        <f>D186-C186</f>
        <v>5926269</v>
      </c>
    </row>
    <row r="187" spans="1:5" s="506" customFormat="1" x14ac:dyDescent="0.2">
      <c r="A187" s="512"/>
      <c r="B187" s="511" t="s">
        <v>654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738</v>
      </c>
      <c r="C188" s="546">
        <f>+C185-C186</f>
        <v>279761982</v>
      </c>
      <c r="D188" s="546">
        <f>+D185-D186</f>
        <v>283785136</v>
      </c>
      <c r="E188" s="514">
        <f t="shared" ref="E188:E197" si="22">D188-C188</f>
        <v>4023154</v>
      </c>
    </row>
    <row r="189" spans="1:5" s="506" customFormat="1" x14ac:dyDescent="0.2">
      <c r="A189" s="512">
        <v>4</v>
      </c>
      <c r="B189" s="511" t="s">
        <v>656</v>
      </c>
      <c r="C189" s="547">
        <f>IF(C185=0,0,+C188/C185)</f>
        <v>0.58964803861585569</v>
      </c>
      <c r="D189" s="547">
        <f>IF(D185=0,0,+D188/D185)</f>
        <v>0.58584233350308379</v>
      </c>
      <c r="E189" s="523">
        <f t="shared" si="22"/>
        <v>-3.8057051127718955E-3</v>
      </c>
    </row>
    <row r="190" spans="1:5" s="506" customFormat="1" x14ac:dyDescent="0.2">
      <c r="A190" s="512">
        <v>5</v>
      </c>
      <c r="B190" s="511" t="s">
        <v>753</v>
      </c>
      <c r="C190" s="513">
        <v>20970294</v>
      </c>
      <c r="D190" s="513">
        <v>18424137</v>
      </c>
      <c r="E190" s="546">
        <f t="shared" si="22"/>
        <v>-2546157</v>
      </c>
    </row>
    <row r="191" spans="1:5" s="506" customFormat="1" x14ac:dyDescent="0.2">
      <c r="A191" s="512">
        <v>6</v>
      </c>
      <c r="B191" s="511" t="s">
        <v>739</v>
      </c>
      <c r="C191" s="513">
        <v>14396381</v>
      </c>
      <c r="D191" s="513">
        <v>10994223</v>
      </c>
      <c r="E191" s="546">
        <f t="shared" si="22"/>
        <v>-3402158</v>
      </c>
    </row>
    <row r="192" spans="1:5" ht="29.25" x14ac:dyDescent="0.2">
      <c r="A192" s="512">
        <v>7</v>
      </c>
      <c r="B192" s="548" t="s">
        <v>807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808</v>
      </c>
      <c r="C193" s="513">
        <v>19375204</v>
      </c>
      <c r="D193" s="513">
        <v>16060311</v>
      </c>
      <c r="E193" s="546">
        <f t="shared" si="22"/>
        <v>-3314893</v>
      </c>
    </row>
    <row r="194" spans="1:5" s="506" customFormat="1" x14ac:dyDescent="0.2">
      <c r="A194" s="512">
        <v>9</v>
      </c>
      <c r="B194" s="511" t="s">
        <v>809</v>
      </c>
      <c r="C194" s="513">
        <v>9269877</v>
      </c>
      <c r="D194" s="513">
        <v>14042325</v>
      </c>
      <c r="E194" s="546">
        <f t="shared" si="22"/>
        <v>4772448</v>
      </c>
    </row>
    <row r="195" spans="1:5" s="506" customFormat="1" x14ac:dyDescent="0.2">
      <c r="A195" s="512">
        <v>10</v>
      </c>
      <c r="B195" s="511" t="s">
        <v>810</v>
      </c>
      <c r="C195" s="513">
        <f>+C193+C194</f>
        <v>28645081</v>
      </c>
      <c r="D195" s="513">
        <f>+D193+D194</f>
        <v>30102636</v>
      </c>
      <c r="E195" s="549">
        <f t="shared" si="22"/>
        <v>1457555</v>
      </c>
    </row>
    <row r="196" spans="1:5" s="506" customFormat="1" x14ac:dyDescent="0.2">
      <c r="A196" s="512">
        <v>11</v>
      </c>
      <c r="B196" s="511" t="s">
        <v>811</v>
      </c>
      <c r="C196" s="513">
        <v>474455885</v>
      </c>
      <c r="D196" s="513">
        <v>484405308</v>
      </c>
      <c r="E196" s="546">
        <f t="shared" si="22"/>
        <v>9949423</v>
      </c>
    </row>
    <row r="197" spans="1:5" s="506" customFormat="1" x14ac:dyDescent="0.2">
      <c r="A197" s="512">
        <v>12</v>
      </c>
      <c r="B197" s="511" t="s">
        <v>696</v>
      </c>
      <c r="C197" s="513">
        <v>305925000</v>
      </c>
      <c r="D197" s="513">
        <v>312559000</v>
      </c>
      <c r="E197" s="546">
        <f t="shared" si="22"/>
        <v>6634000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812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813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642</v>
      </c>
      <c r="C203" s="553">
        <v>7006.4456</v>
      </c>
      <c r="D203" s="553">
        <v>6203.3526000000002</v>
      </c>
      <c r="E203" s="554">
        <f t="shared" ref="E203:E211" si="23">D203-C203</f>
        <v>-803.09299999999985</v>
      </c>
    </row>
    <row r="204" spans="1:5" s="506" customFormat="1" x14ac:dyDescent="0.2">
      <c r="A204" s="512">
        <v>2</v>
      </c>
      <c r="B204" s="511" t="s">
        <v>621</v>
      </c>
      <c r="C204" s="553">
        <v>7430.57</v>
      </c>
      <c r="D204" s="553">
        <v>6713.4480000000003</v>
      </c>
      <c r="E204" s="554">
        <f t="shared" si="23"/>
        <v>-717.12199999999939</v>
      </c>
    </row>
    <row r="205" spans="1:5" s="506" customFormat="1" x14ac:dyDescent="0.2">
      <c r="A205" s="512">
        <v>3</v>
      </c>
      <c r="B205" s="511" t="s">
        <v>767</v>
      </c>
      <c r="C205" s="553">
        <f>C206+C207</f>
        <v>761.07089999999994</v>
      </c>
      <c r="D205" s="553">
        <f>D206+D207</f>
        <v>724.97839999999997</v>
      </c>
      <c r="E205" s="554">
        <f t="shared" si="23"/>
        <v>-36.092499999999973</v>
      </c>
    </row>
    <row r="206" spans="1:5" s="506" customFormat="1" x14ac:dyDescent="0.2">
      <c r="A206" s="512">
        <v>4</v>
      </c>
      <c r="B206" s="511" t="s">
        <v>114</v>
      </c>
      <c r="C206" s="553">
        <v>436.05549999999999</v>
      </c>
      <c r="D206" s="553">
        <v>394.65499999999997</v>
      </c>
      <c r="E206" s="554">
        <f t="shared" si="23"/>
        <v>-41.400500000000022</v>
      </c>
    </row>
    <row r="207" spans="1:5" s="506" customFormat="1" x14ac:dyDescent="0.2">
      <c r="A207" s="512">
        <v>5</v>
      </c>
      <c r="B207" s="511" t="s">
        <v>734</v>
      </c>
      <c r="C207" s="553">
        <v>325.0154</v>
      </c>
      <c r="D207" s="553">
        <v>330.32340000000005</v>
      </c>
      <c r="E207" s="554">
        <f t="shared" si="23"/>
        <v>5.3080000000000496</v>
      </c>
    </row>
    <row r="208" spans="1:5" s="506" customFormat="1" x14ac:dyDescent="0.2">
      <c r="A208" s="512">
        <v>6</v>
      </c>
      <c r="B208" s="511" t="s">
        <v>430</v>
      </c>
      <c r="C208" s="553">
        <v>2.3279999999999998</v>
      </c>
      <c r="D208" s="553">
        <v>4.7816000000000001</v>
      </c>
      <c r="E208" s="554">
        <f t="shared" si="23"/>
        <v>2.4536000000000002</v>
      </c>
    </row>
    <row r="209" spans="1:5" s="506" customFormat="1" x14ac:dyDescent="0.2">
      <c r="A209" s="512">
        <v>7</v>
      </c>
      <c r="B209" s="511" t="s">
        <v>749</v>
      </c>
      <c r="C209" s="553">
        <v>288.26</v>
      </c>
      <c r="D209" s="553">
        <v>333.851</v>
      </c>
      <c r="E209" s="554">
        <f t="shared" si="23"/>
        <v>45.591000000000008</v>
      </c>
    </row>
    <row r="210" spans="1:5" s="506" customFormat="1" x14ac:dyDescent="0.2">
      <c r="A210" s="512"/>
      <c r="B210" s="516" t="s">
        <v>814</v>
      </c>
      <c r="C210" s="555">
        <f>C204+C205+C208</f>
        <v>8193.9688999999998</v>
      </c>
      <c r="D210" s="555">
        <f>D204+D205+D208</f>
        <v>7443.2080000000005</v>
      </c>
      <c r="E210" s="556">
        <f t="shared" si="23"/>
        <v>-750.76089999999931</v>
      </c>
    </row>
    <row r="211" spans="1:5" s="506" customFormat="1" x14ac:dyDescent="0.2">
      <c r="A211" s="512"/>
      <c r="B211" s="516" t="s">
        <v>713</v>
      </c>
      <c r="C211" s="555">
        <f>C210+C203</f>
        <v>15200.414499999999</v>
      </c>
      <c r="D211" s="555">
        <f>D210+D203</f>
        <v>13646.560600000001</v>
      </c>
      <c r="E211" s="556">
        <f t="shared" si="23"/>
        <v>-1553.8538999999982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815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642</v>
      </c>
      <c r="C215" s="557">
        <f>IF(C14*C137=0,0,C25/C14*C137)</f>
        <v>14385.036844872297</v>
      </c>
      <c r="D215" s="557">
        <f>IF(D14*D137=0,0,D25/D14*D137)</f>
        <v>14091.685650234833</v>
      </c>
      <c r="E215" s="557">
        <f t="shared" ref="E215:E223" si="24">D215-C215</f>
        <v>-293.35119463746378</v>
      </c>
    </row>
    <row r="216" spans="1:5" s="506" customFormat="1" x14ac:dyDescent="0.2">
      <c r="A216" s="512">
        <v>2</v>
      </c>
      <c r="B216" s="511" t="s">
        <v>621</v>
      </c>
      <c r="C216" s="557">
        <f>IF(C15*C138=0,0,C26/C15*C138)</f>
        <v>3445.0823297446959</v>
      </c>
      <c r="D216" s="557">
        <f>IF(D15*D138=0,0,D26/D15*D138)</f>
        <v>3720.4505728506774</v>
      </c>
      <c r="E216" s="557">
        <f t="shared" si="24"/>
        <v>275.36824310598149</v>
      </c>
    </row>
    <row r="217" spans="1:5" s="506" customFormat="1" x14ac:dyDescent="0.2">
      <c r="A217" s="512">
        <v>3</v>
      </c>
      <c r="B217" s="511" t="s">
        <v>767</v>
      </c>
      <c r="C217" s="557">
        <f>C218+C219</f>
        <v>1017.4620619803188</v>
      </c>
      <c r="D217" s="557">
        <f>D218+D219</f>
        <v>997.06217283288356</v>
      </c>
      <c r="E217" s="557">
        <f t="shared" si="24"/>
        <v>-20.39988914743526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768.1705307128716</v>
      </c>
      <c r="D218" s="557">
        <f t="shared" si="25"/>
        <v>717.77482564412594</v>
      </c>
      <c r="E218" s="557">
        <f t="shared" si="24"/>
        <v>-50.395705068745656</v>
      </c>
    </row>
    <row r="219" spans="1:5" s="506" customFormat="1" x14ac:dyDescent="0.2">
      <c r="A219" s="512">
        <v>5</v>
      </c>
      <c r="B219" s="511" t="s">
        <v>734</v>
      </c>
      <c r="C219" s="557">
        <f t="shared" si="25"/>
        <v>249.29153126744725</v>
      </c>
      <c r="D219" s="557">
        <f t="shared" si="25"/>
        <v>279.28734718875768</v>
      </c>
      <c r="E219" s="557">
        <f t="shared" si="24"/>
        <v>29.995815921310424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19.63648141650247</v>
      </c>
      <c r="D220" s="557">
        <f t="shared" si="25"/>
        <v>19.585357215681643</v>
      </c>
      <c r="E220" s="557">
        <f t="shared" si="24"/>
        <v>-5.112420082082636E-2</v>
      </c>
    </row>
    <row r="221" spans="1:5" s="506" customFormat="1" x14ac:dyDescent="0.2">
      <c r="A221" s="512">
        <v>7</v>
      </c>
      <c r="B221" s="511" t="s">
        <v>749</v>
      </c>
      <c r="C221" s="557">
        <f t="shared" si="25"/>
        <v>1063.8427553253957</v>
      </c>
      <c r="D221" s="557">
        <f t="shared" si="25"/>
        <v>1046.8323304521409</v>
      </c>
      <c r="E221" s="557">
        <f t="shared" si="24"/>
        <v>-17.010424873254806</v>
      </c>
    </row>
    <row r="222" spans="1:5" s="506" customFormat="1" x14ac:dyDescent="0.2">
      <c r="A222" s="512"/>
      <c r="B222" s="516" t="s">
        <v>816</v>
      </c>
      <c r="C222" s="558">
        <f>C216+C218+C219+C220</f>
        <v>4482.1808731415176</v>
      </c>
      <c r="D222" s="558">
        <f>D216+D218+D219+D220</f>
        <v>4737.0981028992437</v>
      </c>
      <c r="E222" s="558">
        <f t="shared" si="24"/>
        <v>254.91722975772609</v>
      </c>
    </row>
    <row r="223" spans="1:5" s="506" customFormat="1" x14ac:dyDescent="0.2">
      <c r="A223" s="512"/>
      <c r="B223" s="516" t="s">
        <v>817</v>
      </c>
      <c r="C223" s="558">
        <f>C215+C222</f>
        <v>18867.217718013813</v>
      </c>
      <c r="D223" s="558">
        <f>D215+D222</f>
        <v>18828.783753134077</v>
      </c>
      <c r="E223" s="558">
        <f t="shared" si="24"/>
        <v>-38.433964879735868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818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642</v>
      </c>
      <c r="C227" s="560">
        <f t="shared" ref="C227:D235" si="26">IF(C203=0,0,C47/C203)</f>
        <v>10585.476036522712</v>
      </c>
      <c r="D227" s="560">
        <f t="shared" si="26"/>
        <v>12382.373847328943</v>
      </c>
      <c r="E227" s="560">
        <f t="shared" ref="E227:E235" si="27">D227-C227</f>
        <v>1796.8978108062311</v>
      </c>
    </row>
    <row r="228" spans="1:5" s="506" customFormat="1" x14ac:dyDescent="0.2">
      <c r="A228" s="512">
        <v>2</v>
      </c>
      <c r="B228" s="511" t="s">
        <v>621</v>
      </c>
      <c r="C228" s="560">
        <f t="shared" si="26"/>
        <v>7006.4595313683876</v>
      </c>
      <c r="D228" s="560">
        <f t="shared" si="26"/>
        <v>6952.9097417601206</v>
      </c>
      <c r="E228" s="560">
        <f t="shared" si="27"/>
        <v>-53.54978960826702</v>
      </c>
    </row>
    <row r="229" spans="1:5" s="506" customFormat="1" x14ac:dyDescent="0.2">
      <c r="A229" s="512">
        <v>3</v>
      </c>
      <c r="B229" s="511" t="s">
        <v>767</v>
      </c>
      <c r="C229" s="560">
        <f t="shared" si="26"/>
        <v>7233.0593641144342</v>
      </c>
      <c r="D229" s="560">
        <f t="shared" si="26"/>
        <v>5111.4640105139688</v>
      </c>
      <c r="E229" s="560">
        <f t="shared" si="27"/>
        <v>-2121.5953536004654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7488.0491130142836</v>
      </c>
      <c r="D230" s="560">
        <f t="shared" si="26"/>
        <v>3000.3927480964389</v>
      </c>
      <c r="E230" s="560">
        <f t="shared" si="27"/>
        <v>-4487.6563649178443</v>
      </c>
    </row>
    <row r="231" spans="1:5" s="506" customFormat="1" x14ac:dyDescent="0.2">
      <c r="A231" s="512">
        <v>5</v>
      </c>
      <c r="B231" s="511" t="s">
        <v>734</v>
      </c>
      <c r="C231" s="560">
        <f t="shared" si="26"/>
        <v>6890.9534748199621</v>
      </c>
      <c r="D231" s="560">
        <f t="shared" si="26"/>
        <v>7633.673545380072</v>
      </c>
      <c r="E231" s="560">
        <f t="shared" si="27"/>
        <v>742.72007056010989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8625.8591065292094</v>
      </c>
      <c r="D232" s="560">
        <f t="shared" si="26"/>
        <v>12604.149238748536</v>
      </c>
      <c r="E232" s="560">
        <f t="shared" si="27"/>
        <v>3978.2901322193266</v>
      </c>
    </row>
    <row r="233" spans="1:5" s="506" customFormat="1" x14ac:dyDescent="0.2">
      <c r="A233" s="512">
        <v>7</v>
      </c>
      <c r="B233" s="511" t="s">
        <v>749</v>
      </c>
      <c r="C233" s="560">
        <f t="shared" si="26"/>
        <v>3491.8198848261986</v>
      </c>
      <c r="D233" s="560">
        <f t="shared" si="26"/>
        <v>10385.908683814037</v>
      </c>
      <c r="E233" s="560">
        <f t="shared" si="27"/>
        <v>6894.0887989878393</v>
      </c>
    </row>
    <row r="234" spans="1:5" x14ac:dyDescent="0.2">
      <c r="A234" s="512"/>
      <c r="B234" s="516" t="s">
        <v>819</v>
      </c>
      <c r="C234" s="561">
        <f t="shared" si="26"/>
        <v>7027.9666304322927</v>
      </c>
      <c r="D234" s="561">
        <f t="shared" si="26"/>
        <v>6777.1808875957777</v>
      </c>
      <c r="E234" s="561">
        <f t="shared" si="27"/>
        <v>-250.78574283651506</v>
      </c>
    </row>
    <row r="235" spans="1:5" s="506" customFormat="1" x14ac:dyDescent="0.2">
      <c r="A235" s="512"/>
      <c r="B235" s="516" t="s">
        <v>820</v>
      </c>
      <c r="C235" s="561">
        <f t="shared" si="26"/>
        <v>8667.7571851741286</v>
      </c>
      <c r="D235" s="561">
        <f t="shared" si="26"/>
        <v>9325.1480523231621</v>
      </c>
      <c r="E235" s="561">
        <f t="shared" si="27"/>
        <v>657.39086714903351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821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642</v>
      </c>
      <c r="C239" s="560">
        <f t="shared" ref="C239:D247" si="28">IF(C215=0,0,C58/C215)</f>
        <v>8974.9699213332897</v>
      </c>
      <c r="D239" s="560">
        <f t="shared" si="28"/>
        <v>10255.216202441454</v>
      </c>
      <c r="E239" s="562">
        <f t="shared" ref="E239:E247" si="29">D239-C239</f>
        <v>1280.2462811081641</v>
      </c>
    </row>
    <row r="240" spans="1:5" s="506" customFormat="1" x14ac:dyDescent="0.2">
      <c r="A240" s="512">
        <v>2</v>
      </c>
      <c r="B240" s="511" t="s">
        <v>621</v>
      </c>
      <c r="C240" s="560">
        <f t="shared" si="28"/>
        <v>7549.2015895966533</v>
      </c>
      <c r="D240" s="560">
        <f t="shared" si="28"/>
        <v>8086.1590312565204</v>
      </c>
      <c r="E240" s="562">
        <f t="shared" si="29"/>
        <v>536.95744165986707</v>
      </c>
    </row>
    <row r="241" spans="1:5" x14ac:dyDescent="0.2">
      <c r="A241" s="512">
        <v>3</v>
      </c>
      <c r="B241" s="511" t="s">
        <v>767</v>
      </c>
      <c r="C241" s="560">
        <f t="shared" si="28"/>
        <v>4234.7456096926635</v>
      </c>
      <c r="D241" s="560">
        <f t="shared" si="28"/>
        <v>3432.74882274936</v>
      </c>
      <c r="E241" s="562">
        <f t="shared" si="29"/>
        <v>-801.9967869433035</v>
      </c>
    </row>
    <row r="242" spans="1:5" x14ac:dyDescent="0.2">
      <c r="A242" s="512">
        <v>4</v>
      </c>
      <c r="B242" s="511" t="s">
        <v>114</v>
      </c>
      <c r="C242" s="560">
        <f t="shared" si="28"/>
        <v>4724.119000806123</v>
      </c>
      <c r="D242" s="560">
        <f t="shared" si="28"/>
        <v>3763.4532495283074</v>
      </c>
      <c r="E242" s="562">
        <f t="shared" si="29"/>
        <v>-960.66575127781562</v>
      </c>
    </row>
    <row r="243" spans="1:5" x14ac:dyDescent="0.2">
      <c r="A243" s="512">
        <v>5</v>
      </c>
      <c r="B243" s="511" t="s">
        <v>734</v>
      </c>
      <c r="C243" s="560">
        <f t="shared" si="28"/>
        <v>2726.7833630125579</v>
      </c>
      <c r="D243" s="560">
        <f t="shared" si="28"/>
        <v>2582.8309347378736</v>
      </c>
      <c r="E243" s="562">
        <f t="shared" si="29"/>
        <v>-143.95242827468428</v>
      </c>
    </row>
    <row r="244" spans="1:5" x14ac:dyDescent="0.2">
      <c r="A244" s="512">
        <v>6</v>
      </c>
      <c r="B244" s="511" t="s">
        <v>430</v>
      </c>
      <c r="C244" s="560">
        <f t="shared" si="28"/>
        <v>6502.8452547861752</v>
      </c>
      <c r="D244" s="560">
        <f t="shared" si="28"/>
        <v>14262.900437492877</v>
      </c>
      <c r="E244" s="562">
        <f t="shared" si="29"/>
        <v>7760.055182706702</v>
      </c>
    </row>
    <row r="245" spans="1:5" x14ac:dyDescent="0.2">
      <c r="A245" s="512">
        <v>7</v>
      </c>
      <c r="B245" s="511" t="s">
        <v>749</v>
      </c>
      <c r="C245" s="560">
        <f t="shared" si="28"/>
        <v>3470.8691500846794</v>
      </c>
      <c r="D245" s="560">
        <f t="shared" si="28"/>
        <v>9371.2065577520843</v>
      </c>
      <c r="E245" s="562">
        <f t="shared" si="29"/>
        <v>5900.3374076674045</v>
      </c>
    </row>
    <row r="246" spans="1:5" ht="25.5" x14ac:dyDescent="0.2">
      <c r="A246" s="512"/>
      <c r="B246" s="516" t="s">
        <v>822</v>
      </c>
      <c r="C246" s="561">
        <f t="shared" si="28"/>
        <v>6792.2308049701905</v>
      </c>
      <c r="D246" s="561">
        <f t="shared" si="28"/>
        <v>7132.2489562379706</v>
      </c>
      <c r="E246" s="563">
        <f t="shared" si="29"/>
        <v>340.01815126778001</v>
      </c>
    </row>
    <row r="247" spans="1:5" x14ac:dyDescent="0.2">
      <c r="A247" s="512"/>
      <c r="B247" s="516" t="s">
        <v>823</v>
      </c>
      <c r="C247" s="561">
        <f t="shared" si="28"/>
        <v>8456.4286258099128</v>
      </c>
      <c r="D247" s="561">
        <f t="shared" si="28"/>
        <v>9469.5147778900919</v>
      </c>
      <c r="E247" s="563">
        <f t="shared" si="29"/>
        <v>1013.0861520801791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751</v>
      </c>
      <c r="B249" s="550" t="s">
        <v>748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2170145.191538915</v>
      </c>
      <c r="D251" s="546">
        <f>((IF((IF(D15=0,0,D26/D15)*D138)=0,0,D59/(IF(D15=0,0,D26/D15)*D138)))-(IF((IF(D17=0,0,D28/D17)*D140)=0,0,D61/(IF(D17=0,0,D28/D17)*D140))))*(IF(D17=0,0,D28/D17)*D140)</f>
        <v>3102729.3887908231</v>
      </c>
      <c r="E251" s="546">
        <f>D251-C251</f>
        <v>932584.19725190802</v>
      </c>
    </row>
    <row r="252" spans="1:5" x14ac:dyDescent="0.2">
      <c r="A252" s="512">
        <v>2</v>
      </c>
      <c r="B252" s="511" t="s">
        <v>734</v>
      </c>
      <c r="C252" s="546">
        <f>IF(C231=0,0,(C228-C231)*C207)+IF(C243=0,0,(C240-C243)*C219)</f>
        <v>1239729.2712887058</v>
      </c>
      <c r="D252" s="546">
        <f>IF(D231=0,0,(D228-D231)*D207)+IF(D243=0,0,(D240-D243)*D219)</f>
        <v>1312137.6905773736</v>
      </c>
      <c r="E252" s="546">
        <f>D252-C252</f>
        <v>72408.41928866785</v>
      </c>
    </row>
    <row r="253" spans="1:5" x14ac:dyDescent="0.2">
      <c r="A253" s="512">
        <v>3</v>
      </c>
      <c r="B253" s="511" t="s">
        <v>749</v>
      </c>
      <c r="C253" s="546">
        <f>IF(C233=0,0,(C228-C233)*C209+IF(C221=0,0,(C240-C245)*C221))</f>
        <v>5351834.4440956134</v>
      </c>
      <c r="D253" s="546">
        <f>IF(D233=0,0,(D228-D233)*D209+IF(D221=0,0,(D240-D245)*D221))</f>
        <v>-2491339.4267067527</v>
      </c>
      <c r="E253" s="546">
        <f>D253-C253</f>
        <v>-7843173.8708023662</v>
      </c>
    </row>
    <row r="254" spans="1:5" ht="15" customHeight="1" x14ac:dyDescent="0.2">
      <c r="A254" s="512"/>
      <c r="B254" s="516" t="s">
        <v>750</v>
      </c>
      <c r="C254" s="564">
        <f>+C251+C252+C253</f>
        <v>8761708.9069232345</v>
      </c>
      <c r="D254" s="564">
        <f>+D251+D252+D253</f>
        <v>1923527.6526614437</v>
      </c>
      <c r="E254" s="564">
        <f>D254-C254</f>
        <v>-6838181.2542617908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824</v>
      </c>
      <c r="B256" s="550" t="s">
        <v>825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716</v>
      </c>
      <c r="C258" s="546">
        <f>+C44</f>
        <v>944999461</v>
      </c>
      <c r="D258" s="549">
        <f>+D44</f>
        <v>971611045</v>
      </c>
      <c r="E258" s="546">
        <f t="shared" ref="E258:E271" si="30">D258-C258</f>
        <v>26611584</v>
      </c>
    </row>
    <row r="259" spans="1:5" x14ac:dyDescent="0.2">
      <c r="A259" s="512">
        <v>2</v>
      </c>
      <c r="B259" s="511" t="s">
        <v>733</v>
      </c>
      <c r="C259" s="546">
        <f>+(C43-C76)</f>
        <v>328636097</v>
      </c>
      <c r="D259" s="549">
        <f>+(D43-D76)</f>
        <v>341171407</v>
      </c>
      <c r="E259" s="546">
        <f t="shared" si="30"/>
        <v>12535310</v>
      </c>
    </row>
    <row r="260" spans="1:5" x14ac:dyDescent="0.2">
      <c r="A260" s="512">
        <v>3</v>
      </c>
      <c r="B260" s="511" t="s">
        <v>737</v>
      </c>
      <c r="C260" s="546">
        <f>C195</f>
        <v>28645081</v>
      </c>
      <c r="D260" s="546">
        <f>D195</f>
        <v>30102636</v>
      </c>
      <c r="E260" s="546">
        <f t="shared" si="30"/>
        <v>1457555</v>
      </c>
    </row>
    <row r="261" spans="1:5" x14ac:dyDescent="0.2">
      <c r="A261" s="512">
        <v>4</v>
      </c>
      <c r="B261" s="511" t="s">
        <v>738</v>
      </c>
      <c r="C261" s="546">
        <f>C188</f>
        <v>279761982</v>
      </c>
      <c r="D261" s="546">
        <f>D188</f>
        <v>283785136</v>
      </c>
      <c r="E261" s="546">
        <f t="shared" si="30"/>
        <v>4023154</v>
      </c>
    </row>
    <row r="262" spans="1:5" x14ac:dyDescent="0.2">
      <c r="A262" s="512">
        <v>5</v>
      </c>
      <c r="B262" s="511" t="s">
        <v>739</v>
      </c>
      <c r="C262" s="546">
        <f>C191</f>
        <v>14396381</v>
      </c>
      <c r="D262" s="546">
        <f>D191</f>
        <v>10994223</v>
      </c>
      <c r="E262" s="546">
        <f t="shared" si="30"/>
        <v>-3402158</v>
      </c>
    </row>
    <row r="263" spans="1:5" x14ac:dyDescent="0.2">
      <c r="A263" s="512">
        <v>6</v>
      </c>
      <c r="B263" s="511" t="s">
        <v>740</v>
      </c>
      <c r="C263" s="546">
        <f>+C259+C260+C261+C262</f>
        <v>651439541</v>
      </c>
      <c r="D263" s="546">
        <f>+D259+D260+D261+D262</f>
        <v>666053402</v>
      </c>
      <c r="E263" s="546">
        <f t="shared" si="30"/>
        <v>14613861</v>
      </c>
    </row>
    <row r="264" spans="1:5" x14ac:dyDescent="0.2">
      <c r="A264" s="512">
        <v>7</v>
      </c>
      <c r="B264" s="511" t="s">
        <v>640</v>
      </c>
      <c r="C264" s="546">
        <f>+C258-C263</f>
        <v>293559920</v>
      </c>
      <c r="D264" s="546">
        <f>+D258-D263</f>
        <v>305557643</v>
      </c>
      <c r="E264" s="546">
        <f t="shared" si="30"/>
        <v>11997723</v>
      </c>
    </row>
    <row r="265" spans="1:5" x14ac:dyDescent="0.2">
      <c r="A265" s="512">
        <v>8</v>
      </c>
      <c r="B265" s="511" t="s">
        <v>826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827</v>
      </c>
      <c r="C266" s="546">
        <f>+C264+C265</f>
        <v>293559920</v>
      </c>
      <c r="D266" s="546">
        <f>+D264+D265</f>
        <v>305557643</v>
      </c>
      <c r="E266" s="565">
        <f t="shared" si="30"/>
        <v>11997723</v>
      </c>
    </row>
    <row r="267" spans="1:5" x14ac:dyDescent="0.2">
      <c r="A267" s="512">
        <v>10</v>
      </c>
      <c r="B267" s="511" t="s">
        <v>828</v>
      </c>
      <c r="C267" s="566">
        <f>IF(C258=0,0,C266/C258)</f>
        <v>0.31064559517246115</v>
      </c>
      <c r="D267" s="566">
        <f>IF(D258=0,0,D266/D258)</f>
        <v>0.31448555939377987</v>
      </c>
      <c r="E267" s="567">
        <f t="shared" si="30"/>
        <v>3.8399642213187146E-3</v>
      </c>
    </row>
    <row r="268" spans="1:5" x14ac:dyDescent="0.2">
      <c r="A268" s="512">
        <v>11</v>
      </c>
      <c r="B268" s="511" t="s">
        <v>702</v>
      </c>
      <c r="C268" s="546">
        <f>+C260*C267</f>
        <v>8898468.2360083591</v>
      </c>
      <c r="D268" s="568">
        <f>+D260*D267</f>
        <v>9466844.3216873351</v>
      </c>
      <c r="E268" s="546">
        <f t="shared" si="30"/>
        <v>568376.08567897603</v>
      </c>
    </row>
    <row r="269" spans="1:5" x14ac:dyDescent="0.2">
      <c r="A269" s="512">
        <v>12</v>
      </c>
      <c r="B269" s="511" t="s">
        <v>829</v>
      </c>
      <c r="C269" s="546">
        <f>((C17+C18+C28+C29)*C267)-(C50+C51+C61+C62)</f>
        <v>6098369.0982439145</v>
      </c>
      <c r="D269" s="568">
        <f>((D17+D18+D28+D29)*D267)-(D50+D51+D61+D62)</f>
        <v>9384709.1091016252</v>
      </c>
      <c r="E269" s="546">
        <f t="shared" si="30"/>
        <v>3286340.0108577106</v>
      </c>
    </row>
    <row r="270" spans="1:5" s="569" customFormat="1" x14ac:dyDescent="0.2">
      <c r="A270" s="570">
        <v>13</v>
      </c>
      <c r="B270" s="571" t="s">
        <v>830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831</v>
      </c>
      <c r="C271" s="546">
        <f>+C268+C269+C270</f>
        <v>14996837.334252274</v>
      </c>
      <c r="D271" s="546">
        <f>+D268+D269+D270</f>
        <v>18851553.43078896</v>
      </c>
      <c r="E271" s="549">
        <f t="shared" si="30"/>
        <v>3854716.0965366866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832</v>
      </c>
      <c r="B273" s="550" t="s">
        <v>833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834</v>
      </c>
      <c r="C275" s="340"/>
      <c r="D275" s="340"/>
      <c r="E275" s="520"/>
    </row>
    <row r="276" spans="1:5" x14ac:dyDescent="0.2">
      <c r="A276" s="512">
        <v>1</v>
      </c>
      <c r="B276" s="511" t="s">
        <v>642</v>
      </c>
      <c r="C276" s="547">
        <f t="shared" ref="C276:D284" si="31">IF(C14=0,0,+C47/C14)</f>
        <v>0.41176029707453649</v>
      </c>
      <c r="D276" s="547">
        <f t="shared" si="31"/>
        <v>0.41146042836280788</v>
      </c>
      <c r="E276" s="574">
        <f t="shared" ref="E276:E284" si="32">D276-C276</f>
        <v>-2.9986871172860141E-4</v>
      </c>
    </row>
    <row r="277" spans="1:5" x14ac:dyDescent="0.2">
      <c r="A277" s="512">
        <v>2</v>
      </c>
      <c r="B277" s="511" t="s">
        <v>621</v>
      </c>
      <c r="C277" s="547">
        <f t="shared" si="31"/>
        <v>0.23614031625746168</v>
      </c>
      <c r="D277" s="547">
        <f t="shared" si="31"/>
        <v>0.21894311606377803</v>
      </c>
      <c r="E277" s="574">
        <f t="shared" si="32"/>
        <v>-1.7197200193683648E-2</v>
      </c>
    </row>
    <row r="278" spans="1:5" x14ac:dyDescent="0.2">
      <c r="A278" s="512">
        <v>3</v>
      </c>
      <c r="B278" s="511" t="s">
        <v>767</v>
      </c>
      <c r="C278" s="547">
        <f t="shared" si="31"/>
        <v>0.24054647672211499</v>
      </c>
      <c r="D278" s="547">
        <f t="shared" si="31"/>
        <v>0.16450153898590425</v>
      </c>
      <c r="E278" s="574">
        <f t="shared" si="32"/>
        <v>-7.6044937736210738E-2</v>
      </c>
    </row>
    <row r="279" spans="1:5" x14ac:dyDescent="0.2">
      <c r="A279" s="512">
        <v>4</v>
      </c>
      <c r="B279" s="511" t="s">
        <v>114</v>
      </c>
      <c r="C279" s="547">
        <f t="shared" si="31"/>
        <v>0.28422742999413042</v>
      </c>
      <c r="D279" s="547">
        <f t="shared" si="31"/>
        <v>0.10074329788901222</v>
      </c>
      <c r="E279" s="574">
        <f t="shared" si="32"/>
        <v>-0.18348413210511821</v>
      </c>
    </row>
    <row r="280" spans="1:5" x14ac:dyDescent="0.2">
      <c r="A280" s="512">
        <v>5</v>
      </c>
      <c r="B280" s="511" t="s">
        <v>734</v>
      </c>
      <c r="C280" s="547">
        <f t="shared" si="31"/>
        <v>0.19651617863282084</v>
      </c>
      <c r="D280" s="547">
        <f t="shared" si="31"/>
        <v>0.23406460198275078</v>
      </c>
      <c r="E280" s="574">
        <f t="shared" si="32"/>
        <v>3.7548423349929944E-2</v>
      </c>
    </row>
    <row r="281" spans="1:5" x14ac:dyDescent="0.2">
      <c r="A281" s="512">
        <v>6</v>
      </c>
      <c r="B281" s="511" t="s">
        <v>430</v>
      </c>
      <c r="C281" s="547">
        <f t="shared" si="31"/>
        <v>0.27100596507328134</v>
      </c>
      <c r="D281" s="547">
        <f t="shared" si="31"/>
        <v>0.64679809828394808</v>
      </c>
      <c r="E281" s="574">
        <f t="shared" si="32"/>
        <v>0.37579213321066673</v>
      </c>
    </row>
    <row r="282" spans="1:5" x14ac:dyDescent="0.2">
      <c r="A282" s="512">
        <v>7</v>
      </c>
      <c r="B282" s="511" t="s">
        <v>749</v>
      </c>
      <c r="C282" s="547">
        <f t="shared" si="31"/>
        <v>0.14092483920837515</v>
      </c>
      <c r="D282" s="547">
        <f t="shared" si="31"/>
        <v>0.30607209569258209</v>
      </c>
      <c r="E282" s="574">
        <f t="shared" si="32"/>
        <v>0.16514725648420694</v>
      </c>
    </row>
    <row r="283" spans="1:5" ht="29.25" customHeight="1" x14ac:dyDescent="0.2">
      <c r="A283" s="512"/>
      <c r="B283" s="516" t="s">
        <v>835</v>
      </c>
      <c r="C283" s="575">
        <f t="shared" si="31"/>
        <v>0.23656515305110107</v>
      </c>
      <c r="D283" s="575">
        <f t="shared" si="31"/>
        <v>0.21391154391423592</v>
      </c>
      <c r="E283" s="576">
        <f t="shared" si="32"/>
        <v>-2.2653609136865149E-2</v>
      </c>
    </row>
    <row r="284" spans="1:5" x14ac:dyDescent="0.2">
      <c r="A284" s="512"/>
      <c r="B284" s="516" t="s">
        <v>836</v>
      </c>
      <c r="C284" s="575">
        <f t="shared" si="31"/>
        <v>0.31106936347231634</v>
      </c>
      <c r="D284" s="575">
        <f t="shared" si="31"/>
        <v>0.30119889594217769</v>
      </c>
      <c r="E284" s="576">
        <f t="shared" si="32"/>
        <v>-9.8704675301386491E-3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837</v>
      </c>
      <c r="C286" s="520"/>
      <c r="D286" s="520"/>
      <c r="E286" s="520"/>
    </row>
    <row r="287" spans="1:5" x14ac:dyDescent="0.2">
      <c r="A287" s="512">
        <v>1</v>
      </c>
      <c r="B287" s="511" t="s">
        <v>642</v>
      </c>
      <c r="C287" s="547">
        <f t="shared" ref="C287:D295" si="33">IF(C25=0,0,+C58/C25)</f>
        <v>0.37076661942672545</v>
      </c>
      <c r="D287" s="547">
        <f t="shared" si="33"/>
        <v>0.40195327385854318</v>
      </c>
      <c r="E287" s="574">
        <f t="shared" ref="E287:E295" si="34">D287-C287</f>
        <v>3.1186654431817729E-2</v>
      </c>
    </row>
    <row r="288" spans="1:5" x14ac:dyDescent="0.2">
      <c r="A288" s="512">
        <v>2</v>
      </c>
      <c r="B288" s="511" t="s">
        <v>621</v>
      </c>
      <c r="C288" s="547">
        <f t="shared" si="33"/>
        <v>0.17993810227266768</v>
      </c>
      <c r="D288" s="547">
        <f t="shared" si="33"/>
        <v>0.18903376564625091</v>
      </c>
      <c r="E288" s="574">
        <f t="shared" si="34"/>
        <v>9.0956633735832237E-3</v>
      </c>
    </row>
    <row r="289" spans="1:5" x14ac:dyDescent="0.2">
      <c r="A289" s="512">
        <v>3</v>
      </c>
      <c r="B289" s="511" t="s">
        <v>767</v>
      </c>
      <c r="C289" s="547">
        <f t="shared" si="33"/>
        <v>0.15205028963779846</v>
      </c>
      <c r="D289" s="547">
        <f t="shared" si="33"/>
        <v>0.11415971601558889</v>
      </c>
      <c r="E289" s="574">
        <f t="shared" si="34"/>
        <v>-3.7890573622209572E-2</v>
      </c>
    </row>
    <row r="290" spans="1:5" x14ac:dyDescent="0.2">
      <c r="A290" s="512">
        <v>4</v>
      </c>
      <c r="B290" s="511" t="s">
        <v>114</v>
      </c>
      <c r="C290" s="547">
        <f t="shared" si="33"/>
        <v>0.18299379982285208</v>
      </c>
      <c r="D290" s="547">
        <f t="shared" si="33"/>
        <v>0.13608050199190583</v>
      </c>
      <c r="E290" s="574">
        <f t="shared" si="34"/>
        <v>-4.6913297830946249E-2</v>
      </c>
    </row>
    <row r="291" spans="1:5" x14ac:dyDescent="0.2">
      <c r="A291" s="512">
        <v>5</v>
      </c>
      <c r="B291" s="511" t="s">
        <v>734</v>
      </c>
      <c r="C291" s="547">
        <f t="shared" si="33"/>
        <v>7.9912028631605084E-2</v>
      </c>
      <c r="D291" s="547">
        <f t="shared" si="33"/>
        <v>7.1205779443239178E-2</v>
      </c>
      <c r="E291" s="574">
        <f t="shared" si="34"/>
        <v>-8.7062491883659054E-3</v>
      </c>
    </row>
    <row r="292" spans="1:5" x14ac:dyDescent="0.2">
      <c r="A292" s="512">
        <v>6</v>
      </c>
      <c r="B292" s="511" t="s">
        <v>430</v>
      </c>
      <c r="C292" s="547">
        <f t="shared" si="33"/>
        <v>0.35104025775519854</v>
      </c>
      <c r="D292" s="547">
        <f t="shared" si="33"/>
        <v>0.61227960967569417</v>
      </c>
      <c r="E292" s="574">
        <f t="shared" si="34"/>
        <v>0.26123935192049563</v>
      </c>
    </row>
    <row r="293" spans="1:5" x14ac:dyDescent="0.2">
      <c r="A293" s="512">
        <v>7</v>
      </c>
      <c r="B293" s="511" t="s">
        <v>749</v>
      </c>
      <c r="C293" s="547">
        <f t="shared" si="33"/>
        <v>0.14092484670221511</v>
      </c>
      <c r="D293" s="547">
        <f t="shared" si="33"/>
        <v>0.30607213332927319</v>
      </c>
      <c r="E293" s="574">
        <f t="shared" si="34"/>
        <v>0.16514728662705808</v>
      </c>
    </row>
    <row r="294" spans="1:5" ht="29.25" customHeight="1" x14ac:dyDescent="0.2">
      <c r="A294" s="512"/>
      <c r="B294" s="516" t="s">
        <v>838</v>
      </c>
      <c r="C294" s="575">
        <f t="shared" si="33"/>
        <v>0.17573563202075421</v>
      </c>
      <c r="D294" s="575">
        <f t="shared" si="33"/>
        <v>0.17821154568411102</v>
      </c>
      <c r="E294" s="576">
        <f t="shared" si="34"/>
        <v>2.4759136633568102E-3</v>
      </c>
    </row>
    <row r="295" spans="1:5" x14ac:dyDescent="0.2">
      <c r="A295" s="512"/>
      <c r="B295" s="516" t="s">
        <v>839</v>
      </c>
      <c r="C295" s="575">
        <f t="shared" si="33"/>
        <v>0.30597280050426234</v>
      </c>
      <c r="D295" s="575">
        <f t="shared" si="33"/>
        <v>0.32470496796994075</v>
      </c>
      <c r="E295" s="576">
        <f t="shared" si="34"/>
        <v>1.8732167465678407E-2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840</v>
      </c>
      <c r="B297" s="501" t="s">
        <v>841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842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640</v>
      </c>
      <c r="C301" s="514">
        <f>+C48+C47+C50+C51+C52+C59+C58+C61+C62+C63</f>
        <v>291302782</v>
      </c>
      <c r="D301" s="514">
        <f>+D48+D47+D50+D51+D52+D59+D58+D61+D62+D63</f>
        <v>305555644</v>
      </c>
      <c r="E301" s="514">
        <f>D301-C301</f>
        <v>14252862</v>
      </c>
    </row>
    <row r="302" spans="1:5" ht="25.5" x14ac:dyDescent="0.2">
      <c r="A302" s="512">
        <v>2</v>
      </c>
      <c r="B302" s="511" t="s">
        <v>843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844</v>
      </c>
      <c r="C303" s="517">
        <f>+C301+C302</f>
        <v>291302782</v>
      </c>
      <c r="D303" s="517">
        <f>+D301+D302</f>
        <v>305555644</v>
      </c>
      <c r="E303" s="517">
        <f>D303-C303</f>
        <v>14252862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845</v>
      </c>
      <c r="C305" s="513">
        <v>5707366</v>
      </c>
      <c r="D305" s="578">
        <v>-1209447</v>
      </c>
      <c r="E305" s="579">
        <f>D305-C305</f>
        <v>-6916813</v>
      </c>
    </row>
    <row r="306" spans="1:5" x14ac:dyDescent="0.2">
      <c r="A306" s="512">
        <v>4</v>
      </c>
      <c r="B306" s="516" t="s">
        <v>846</v>
      </c>
      <c r="C306" s="580">
        <f>+C303+C305</f>
        <v>297010148</v>
      </c>
      <c r="D306" s="580">
        <f>+D303+D305</f>
        <v>304346197</v>
      </c>
      <c r="E306" s="580">
        <f>D306-C306</f>
        <v>7336049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847</v>
      </c>
      <c r="C308" s="513">
        <v>297010149</v>
      </c>
      <c r="D308" s="513">
        <v>304346157</v>
      </c>
      <c r="E308" s="514">
        <f>D308-C308</f>
        <v>7336008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848</v>
      </c>
      <c r="C310" s="581">
        <f>C306-C308</f>
        <v>-1</v>
      </c>
      <c r="D310" s="582">
        <f>D306-D308</f>
        <v>40</v>
      </c>
      <c r="E310" s="580">
        <f>D310-C310</f>
        <v>41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849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850</v>
      </c>
      <c r="C314" s="514">
        <f>+C14+C15+C16+C19+C25+C26+C27+C30</f>
        <v>944999461</v>
      </c>
      <c r="D314" s="514">
        <f>+D14+D15+D16+D19+D25+D26+D27+D30</f>
        <v>971611045</v>
      </c>
      <c r="E314" s="514">
        <f>D314-C314</f>
        <v>26611584</v>
      </c>
    </row>
    <row r="315" spans="1:5" x14ac:dyDescent="0.2">
      <c r="A315" s="512">
        <v>2</v>
      </c>
      <c r="B315" s="583" t="s">
        <v>851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852</v>
      </c>
      <c r="C316" s="581">
        <f>C314+C315</f>
        <v>944999461</v>
      </c>
      <c r="D316" s="581">
        <f>D314+D315</f>
        <v>971611045</v>
      </c>
      <c r="E316" s="517">
        <f>D316-C316</f>
        <v>26611584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853</v>
      </c>
      <c r="C318" s="513">
        <v>944999461</v>
      </c>
      <c r="D318" s="513">
        <v>971611045</v>
      </c>
      <c r="E318" s="514">
        <f>D318-C318</f>
        <v>26611584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848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854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855</v>
      </c>
      <c r="C324" s="513">
        <f>+C193+C194</f>
        <v>28645081</v>
      </c>
      <c r="D324" s="513">
        <f>+D193+D194</f>
        <v>30102636</v>
      </c>
      <c r="E324" s="514">
        <f>D324-C324</f>
        <v>1457555</v>
      </c>
    </row>
    <row r="325" spans="1:5" x14ac:dyDescent="0.2">
      <c r="A325" s="512">
        <v>2</v>
      </c>
      <c r="B325" s="511" t="s">
        <v>856</v>
      </c>
      <c r="C325" s="513">
        <v>2922340</v>
      </c>
      <c r="D325" s="513">
        <v>5815730</v>
      </c>
      <c r="E325" s="514">
        <f>D325-C325</f>
        <v>2893390</v>
      </c>
    </row>
    <row r="326" spans="1:5" x14ac:dyDescent="0.2">
      <c r="A326" s="512"/>
      <c r="B326" s="516" t="s">
        <v>857</v>
      </c>
      <c r="C326" s="581">
        <f>C324+C325</f>
        <v>31567421</v>
      </c>
      <c r="D326" s="581">
        <f>D324+D325</f>
        <v>35918366</v>
      </c>
      <c r="E326" s="517">
        <f>D326-C326</f>
        <v>4350945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858</v>
      </c>
      <c r="C328" s="513">
        <v>31567421</v>
      </c>
      <c r="D328" s="513">
        <v>35918318</v>
      </c>
      <c r="E328" s="514">
        <f>D328-C328</f>
        <v>4350897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859</v>
      </c>
      <c r="C330" s="581">
        <f>C326-C328</f>
        <v>0</v>
      </c>
      <c r="D330" s="581">
        <f>D326-D328</f>
        <v>48</v>
      </c>
      <c r="E330" s="517">
        <f>D330-C330</f>
        <v>48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FILING&amp;RGREENWICH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612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860</v>
      </c>
      <c r="B5" s="696"/>
      <c r="C5" s="697"/>
      <c r="D5" s="585"/>
    </row>
    <row r="6" spans="1:58" s="338" customFormat="1" ht="15.75" customHeight="1" x14ac:dyDescent="0.25">
      <c r="A6" s="695" t="s">
        <v>861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862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863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766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642</v>
      </c>
      <c r="C14" s="513">
        <v>186681940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621</v>
      </c>
      <c r="C15" s="515">
        <v>213196920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767</v>
      </c>
      <c r="C16" s="515">
        <v>22526847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11753834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734</v>
      </c>
      <c r="C18" s="515">
        <v>10773013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93179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749</v>
      </c>
      <c r="C20" s="515">
        <v>11328527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768</v>
      </c>
      <c r="C21" s="517">
        <f>SUM(C15+C16+C19)</f>
        <v>235816946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708</v>
      </c>
      <c r="C22" s="517">
        <f>SUM(C14+C21)</f>
        <v>422498886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769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642</v>
      </c>
      <c r="C25" s="513">
        <v>359527568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621</v>
      </c>
      <c r="C26" s="515">
        <v>159146991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767</v>
      </c>
      <c r="C27" s="515">
        <v>29981364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19850838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734</v>
      </c>
      <c r="C29" s="515">
        <v>10130526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456236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749</v>
      </c>
      <c r="C31" s="518">
        <v>32051536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770</v>
      </c>
      <c r="C32" s="517">
        <f>SUM(C26+C27+C30)</f>
        <v>189584591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714</v>
      </c>
      <c r="C33" s="517">
        <f>SUM(C25+C32)</f>
        <v>549112159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639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864</v>
      </c>
      <c r="C36" s="514">
        <f>SUM(C14+C25)</f>
        <v>546209508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865</v>
      </c>
      <c r="C37" s="518">
        <f>SUM(C21+C32)</f>
        <v>425401537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639</v>
      </c>
      <c r="C38" s="517">
        <f>SUM(+C36+C37)</f>
        <v>971611045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779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642</v>
      </c>
      <c r="C41" s="513">
        <v>76812231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621</v>
      </c>
      <c r="C42" s="515">
        <v>46677998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767</v>
      </c>
      <c r="C43" s="515">
        <v>3705701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1184120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734</v>
      </c>
      <c r="C45" s="515">
        <v>2521581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60268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749</v>
      </c>
      <c r="C47" s="515">
        <v>3467346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780</v>
      </c>
      <c r="C48" s="517">
        <f>SUM(C42+C43+C46)</f>
        <v>50443967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709</v>
      </c>
      <c r="C49" s="517">
        <f>SUM(C41+C48)</f>
        <v>127256198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781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642</v>
      </c>
      <c r="C52" s="513">
        <v>144513283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621</v>
      </c>
      <c r="C53" s="515">
        <v>30084155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767</v>
      </c>
      <c r="C54" s="515">
        <v>3422664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2701312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734</v>
      </c>
      <c r="C56" s="515">
        <v>721352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279344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749</v>
      </c>
      <c r="C58" s="515">
        <v>9810082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782</v>
      </c>
      <c r="C59" s="517">
        <f>SUM(C53+C54+C57)</f>
        <v>33786163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715</v>
      </c>
      <c r="C60" s="517">
        <f>SUM(C52+C59)</f>
        <v>178299446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640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866</v>
      </c>
      <c r="C63" s="514">
        <f>SUM(C41+C52)</f>
        <v>221325514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867</v>
      </c>
      <c r="C64" s="518">
        <f>SUM(C48+C59)</f>
        <v>84230130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640</v>
      </c>
      <c r="C65" s="517">
        <f>SUM(+C63+C64)</f>
        <v>305555644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868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869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642</v>
      </c>
      <c r="C70" s="530">
        <v>7317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621</v>
      </c>
      <c r="C71" s="530">
        <v>4984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767</v>
      </c>
      <c r="C72" s="530">
        <v>722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425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734</v>
      </c>
      <c r="C74" s="530">
        <v>297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4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749</v>
      </c>
      <c r="C76" s="545">
        <v>370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797</v>
      </c>
      <c r="C77" s="532">
        <f>SUM(C71+C72+C75)</f>
        <v>5710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711</v>
      </c>
      <c r="C78" s="596">
        <f>SUM(C70+C77)</f>
        <v>13027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802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642</v>
      </c>
      <c r="C81" s="541">
        <v>0.8478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621</v>
      </c>
      <c r="C82" s="541">
        <v>1.347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767</v>
      </c>
      <c r="C83" s="541">
        <f>((C73*C84)+(C74*C85))/(C73+C74)</f>
        <v>1.0041252077562326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0.92859999999999998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734</v>
      </c>
      <c r="C85" s="541">
        <v>1.1122000000000001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1.1954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749</v>
      </c>
      <c r="C87" s="541">
        <v>0.90229999999999999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803</v>
      </c>
      <c r="C88" s="543">
        <f>((C71*C82)+(C73*C84)+(C74*C85)+(C75*C86))/(C71+C73+C74+C75)</f>
        <v>1.3035390542907181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712</v>
      </c>
      <c r="C89" s="543">
        <f>((C70*C81)+(C71*C82)+(C73*C84)+(C74*C85)+(C75*C86))/(C70+C71+C73+C74+C75)</f>
        <v>1.0475597297919705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804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805</v>
      </c>
      <c r="C92" s="513">
        <v>484405308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806</v>
      </c>
      <c r="C93" s="546">
        <v>200620172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654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738</v>
      </c>
      <c r="C95" s="513">
        <f>+C92-C93</f>
        <v>283785136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656</v>
      </c>
      <c r="C96" s="597">
        <f>(+C92-C93)/C92</f>
        <v>0.58584233350308379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753</v>
      </c>
      <c r="C98" s="513">
        <v>18424137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739</v>
      </c>
      <c r="C99" s="513">
        <v>10994223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870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808</v>
      </c>
      <c r="C103" s="513">
        <v>16060311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809</v>
      </c>
      <c r="C104" s="513">
        <v>14042325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810</v>
      </c>
      <c r="C105" s="578">
        <f>+C103+C104</f>
        <v>30102636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811</v>
      </c>
      <c r="C107" s="513">
        <v>24731229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696</v>
      </c>
      <c r="C108" s="513">
        <v>312559000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841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842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640</v>
      </c>
      <c r="C114" s="514">
        <f>+C65</f>
        <v>305555644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843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844</v>
      </c>
      <c r="C116" s="517">
        <f>+C114+C115</f>
        <v>305555644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845</v>
      </c>
      <c r="C118" s="578">
        <v>-1209447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846</v>
      </c>
      <c r="C119" s="580">
        <f>+C116+C118</f>
        <v>304346197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847</v>
      </c>
      <c r="C121" s="513">
        <v>304346157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848</v>
      </c>
      <c r="C123" s="582">
        <f>C119-C121</f>
        <v>40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849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850</v>
      </c>
      <c r="C127" s="514">
        <f>+C38</f>
        <v>971611045</v>
      </c>
      <c r="D127" s="588"/>
      <c r="AR127" s="507"/>
    </row>
    <row r="128" spans="1:58" s="506" customFormat="1" x14ac:dyDescent="0.2">
      <c r="A128" s="512">
        <v>2</v>
      </c>
      <c r="B128" s="583" t="s">
        <v>851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852</v>
      </c>
      <c r="C129" s="581">
        <f>C127+C128</f>
        <v>971611045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853</v>
      </c>
      <c r="C131" s="513">
        <v>971611045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848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854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855</v>
      </c>
      <c r="C137" s="513">
        <f>C105</f>
        <v>30102636</v>
      </c>
      <c r="D137" s="588"/>
      <c r="AR137" s="507"/>
    </row>
    <row r="138" spans="1:44" s="506" customFormat="1" x14ac:dyDescent="0.2">
      <c r="A138" s="512">
        <v>2</v>
      </c>
      <c r="B138" s="511" t="s">
        <v>871</v>
      </c>
      <c r="C138" s="513">
        <v>5815730</v>
      </c>
      <c r="D138" s="588"/>
      <c r="AR138" s="507"/>
    </row>
    <row r="139" spans="1:44" s="506" customFormat="1" x14ac:dyDescent="0.2">
      <c r="A139" s="512"/>
      <c r="B139" s="516" t="s">
        <v>857</v>
      </c>
      <c r="C139" s="581">
        <f>C137+C138</f>
        <v>35918366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872</v>
      </c>
      <c r="C141" s="513">
        <v>35918318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859</v>
      </c>
      <c r="C143" s="581">
        <f>C139-C141</f>
        <v>48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FILING&amp;RGREENWICH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612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613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873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616</v>
      </c>
      <c r="D8" s="35" t="s">
        <v>616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618</v>
      </c>
      <c r="D9" s="607" t="s">
        <v>619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874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875</v>
      </c>
      <c r="C12" s="49">
        <v>4101</v>
      </c>
      <c r="D12" s="49">
        <v>2484</v>
      </c>
      <c r="E12" s="49">
        <f>+D12-C12</f>
        <v>-1617</v>
      </c>
      <c r="F12" s="70">
        <f>IF(C12=0,0,+E12/C12)</f>
        <v>-0.39429407461594734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876</v>
      </c>
      <c r="C13" s="49">
        <v>3978</v>
      </c>
      <c r="D13" s="49">
        <v>2453</v>
      </c>
      <c r="E13" s="49">
        <f>+D13-C13</f>
        <v>-1525</v>
      </c>
      <c r="F13" s="70">
        <f>IF(C13=0,0,+E13/C13)</f>
        <v>-0.38335847159376574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877</v>
      </c>
      <c r="C15" s="51">
        <v>19375204</v>
      </c>
      <c r="D15" s="51">
        <v>16060311</v>
      </c>
      <c r="E15" s="51">
        <f>+D15-C15</f>
        <v>-3314893</v>
      </c>
      <c r="F15" s="70">
        <f>IF(C15=0,0,+E15/C15)</f>
        <v>-0.17108945020656299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878</v>
      </c>
      <c r="C16" s="27">
        <f>IF(C13=0,0,+C15/+C13)</f>
        <v>4870.5892408245345</v>
      </c>
      <c r="D16" s="27">
        <f>IF(D13=0,0,+D15/+D13)</f>
        <v>6547.2119853240929</v>
      </c>
      <c r="E16" s="27">
        <f>+D16-C16</f>
        <v>1676.6227444995584</v>
      </c>
      <c r="F16" s="28">
        <f>IF(C16=0,0,+E16/C16)</f>
        <v>0.34423406729649114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879</v>
      </c>
      <c r="C18" s="210">
        <v>0.31130000000000002</v>
      </c>
      <c r="D18" s="210">
        <v>0.31687399999999999</v>
      </c>
      <c r="E18" s="210">
        <f>+D18-C18</f>
        <v>5.5739999999999679E-3</v>
      </c>
      <c r="F18" s="70">
        <f>IF(C18=0,0,+E18/C18)</f>
        <v>1.7905557340186212E-2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880</v>
      </c>
      <c r="C19" s="27">
        <f>+C15*C18</f>
        <v>6031501.0052000005</v>
      </c>
      <c r="D19" s="27">
        <f>+D15*D18</f>
        <v>5089094.9878139999</v>
      </c>
      <c r="E19" s="27">
        <f>+D19-C19</f>
        <v>-942406.0173860006</v>
      </c>
      <c r="F19" s="28">
        <f>IF(C19=0,0,+E19/C19)</f>
        <v>-0.15624734482735134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881</v>
      </c>
      <c r="C20" s="27">
        <f>IF(C13=0,0,+C19/C13)</f>
        <v>1516.2144306686778</v>
      </c>
      <c r="D20" s="27">
        <f>IF(D13=0,0,+D19/D13)</f>
        <v>2074.6412506375864</v>
      </c>
      <c r="E20" s="27">
        <f>+D20-C20</f>
        <v>558.4268199689086</v>
      </c>
      <c r="F20" s="28">
        <f>IF(C20=0,0,+E20/C20)</f>
        <v>0.36830332746709998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882</v>
      </c>
      <c r="C22" s="51">
        <v>3875040</v>
      </c>
      <c r="D22" s="51">
        <v>2569650</v>
      </c>
      <c r="E22" s="51">
        <f>+D22-C22</f>
        <v>-1305390</v>
      </c>
      <c r="F22" s="70">
        <f>IF(C22=0,0,+E22/C22)</f>
        <v>-0.33687136132788309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883</v>
      </c>
      <c r="C23" s="49">
        <v>6975073</v>
      </c>
      <c r="D23" s="49">
        <v>5139299</v>
      </c>
      <c r="E23" s="49">
        <f>+D23-C23</f>
        <v>-1835774</v>
      </c>
      <c r="F23" s="70">
        <f>IF(C23=0,0,+E23/C23)</f>
        <v>-0.26319065047777995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884</v>
      </c>
      <c r="C24" s="49">
        <v>8525091</v>
      </c>
      <c r="D24" s="49">
        <v>8351362</v>
      </c>
      <c r="E24" s="49">
        <f>+D24-C24</f>
        <v>-173729</v>
      </c>
      <c r="F24" s="70">
        <f>IF(C24=0,0,+E24/C24)</f>
        <v>-2.0378550797874182E-2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877</v>
      </c>
      <c r="C25" s="27">
        <f>+C22+C23+C24</f>
        <v>19375204</v>
      </c>
      <c r="D25" s="27">
        <f>+D22+D23+D24</f>
        <v>16060311</v>
      </c>
      <c r="E25" s="27">
        <f>+E22+E23+E24</f>
        <v>-3314893</v>
      </c>
      <c r="F25" s="28">
        <f>IF(C25=0,0,+E25/C25)</f>
        <v>-0.17108945020656299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885</v>
      </c>
      <c r="C27" s="49">
        <v>2049</v>
      </c>
      <c r="D27" s="49">
        <v>1290</v>
      </c>
      <c r="E27" s="49">
        <f>+D27-C27</f>
        <v>-759</v>
      </c>
      <c r="F27" s="70">
        <f>IF(C27=0,0,+E27/C27)</f>
        <v>-0.37042459736456806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886</v>
      </c>
      <c r="C28" s="49">
        <v>618</v>
      </c>
      <c r="D28" s="49">
        <v>391</v>
      </c>
      <c r="E28" s="49">
        <f>+D28-C28</f>
        <v>-227</v>
      </c>
      <c r="F28" s="70">
        <f>IF(C28=0,0,+E28/C28)</f>
        <v>-0.3673139158576052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887</v>
      </c>
      <c r="C29" s="49">
        <v>5466</v>
      </c>
      <c r="D29" s="49">
        <v>5465</v>
      </c>
      <c r="E29" s="49">
        <f>+D29-C29</f>
        <v>-1</v>
      </c>
      <c r="F29" s="70">
        <f>IF(C29=0,0,+E29/C29)</f>
        <v>-1.8294914013904133E-4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888</v>
      </c>
      <c r="C30" s="49">
        <v>15183</v>
      </c>
      <c r="D30" s="49">
        <v>15183</v>
      </c>
      <c r="E30" s="49">
        <f>+D30-C30</f>
        <v>0</v>
      </c>
      <c r="F30" s="70">
        <f>IF(C30=0,0,+E30/C30)</f>
        <v>0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889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890</v>
      </c>
      <c r="C33" s="51">
        <v>8405178</v>
      </c>
      <c r="D33" s="51">
        <v>13163470</v>
      </c>
      <c r="E33" s="51">
        <f>+D33-C33</f>
        <v>4758292</v>
      </c>
      <c r="F33" s="70">
        <f>IF(C33=0,0,+E33/C33)</f>
        <v>0.56611436426450457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891</v>
      </c>
      <c r="C34" s="49">
        <v>302645</v>
      </c>
      <c r="D34" s="49">
        <v>278640</v>
      </c>
      <c r="E34" s="49">
        <f>+D34-C34</f>
        <v>-24005</v>
      </c>
      <c r="F34" s="70">
        <f>IF(C34=0,0,+E34/C34)</f>
        <v>-7.9317352013084638E-2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892</v>
      </c>
      <c r="C35" s="49">
        <v>562054</v>
      </c>
      <c r="D35" s="49">
        <v>600215</v>
      </c>
      <c r="E35" s="49">
        <f>+D35-C35</f>
        <v>38161</v>
      </c>
      <c r="F35" s="70">
        <f>IF(C35=0,0,+E35/C35)</f>
        <v>6.7895611453703736E-2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893</v>
      </c>
      <c r="C36" s="27">
        <f>+C33+C34+C35</f>
        <v>9269877</v>
      </c>
      <c r="D36" s="27">
        <f>+D33+D34+D35</f>
        <v>14042325</v>
      </c>
      <c r="E36" s="27">
        <f>+E33+E34+E35</f>
        <v>4772448</v>
      </c>
      <c r="F36" s="28">
        <f>IF(C36=0,0,+E36/C36)</f>
        <v>0.51483401559697073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894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895</v>
      </c>
      <c r="C39" s="51">
        <f>+C25</f>
        <v>19375204</v>
      </c>
      <c r="D39" s="51">
        <f>+D25</f>
        <v>16060311</v>
      </c>
      <c r="E39" s="51">
        <f>+D39-C39</f>
        <v>-3314893</v>
      </c>
      <c r="F39" s="70">
        <f>IF(C39=0,0,+E39/C39)</f>
        <v>-0.17108945020656299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896</v>
      </c>
      <c r="C40" s="49">
        <f>+C36</f>
        <v>9269877</v>
      </c>
      <c r="D40" s="49">
        <f>+D36</f>
        <v>14042325</v>
      </c>
      <c r="E40" s="49">
        <f>+D40-C40</f>
        <v>4772448</v>
      </c>
      <c r="F40" s="70">
        <f>IF(C40=0,0,+E40/C40)</f>
        <v>0.51483401559697073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897</v>
      </c>
      <c r="C41" s="27">
        <f>+C39+C40</f>
        <v>28645081</v>
      </c>
      <c r="D41" s="27">
        <f>+D39+D40</f>
        <v>30102636</v>
      </c>
      <c r="E41" s="27">
        <f>+E39+E40</f>
        <v>1457555</v>
      </c>
      <c r="F41" s="28">
        <f>IF(C41=0,0,+E41/C41)</f>
        <v>5.0883256360839055E-2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898</v>
      </c>
      <c r="C43" s="51">
        <f t="shared" ref="C43:D45" si="0">+C22+C33</f>
        <v>12280218</v>
      </c>
      <c r="D43" s="51">
        <f t="shared" si="0"/>
        <v>15733120</v>
      </c>
      <c r="E43" s="51">
        <f>+D43-C43</f>
        <v>3452902</v>
      </c>
      <c r="F43" s="70">
        <f>IF(C43=0,0,+E43/C43)</f>
        <v>0.28117595306532833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899</v>
      </c>
      <c r="C44" s="49">
        <f t="shared" si="0"/>
        <v>7277718</v>
      </c>
      <c r="D44" s="49">
        <f t="shared" si="0"/>
        <v>5417939</v>
      </c>
      <c r="E44" s="49">
        <f>+D44-C44</f>
        <v>-1859779</v>
      </c>
      <c r="F44" s="70">
        <f>IF(C44=0,0,+E44/C44)</f>
        <v>-0.25554425164591427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900</v>
      </c>
      <c r="C45" s="49">
        <f t="shared" si="0"/>
        <v>9087145</v>
      </c>
      <c r="D45" s="49">
        <f t="shared" si="0"/>
        <v>8951577</v>
      </c>
      <c r="E45" s="49">
        <f>+D45-C45</f>
        <v>-135568</v>
      </c>
      <c r="F45" s="70">
        <f>IF(C45=0,0,+E45/C45)</f>
        <v>-1.4918657069959818E-2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897</v>
      </c>
      <c r="C46" s="27">
        <f>+C43+C44+C45</f>
        <v>28645081</v>
      </c>
      <c r="D46" s="27">
        <f>+D43+D44+D45</f>
        <v>30102636</v>
      </c>
      <c r="E46" s="27">
        <f>+E43+E44+E45</f>
        <v>1457555</v>
      </c>
      <c r="F46" s="28">
        <f>IF(C46=0,0,+E46/C46)</f>
        <v>5.0883256360839055E-2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901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FILING&amp;RGREENWICH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612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613</v>
      </c>
      <c r="B4" s="712"/>
      <c r="C4" s="712"/>
      <c r="D4" s="712"/>
      <c r="E4" s="712"/>
      <c r="F4" s="713"/>
    </row>
    <row r="5" spans="1:14" ht="15.75" customHeight="1" x14ac:dyDescent="0.25">
      <c r="A5" s="711" t="s">
        <v>902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903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618</v>
      </c>
      <c r="D9" s="35" t="s">
        <v>619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904</v>
      </c>
      <c r="D10" s="35" t="s">
        <v>904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905</v>
      </c>
      <c r="D11" s="605" t="s">
        <v>905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906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474455885</v>
      </c>
      <c r="D15" s="51">
        <v>484405308</v>
      </c>
      <c r="E15" s="51">
        <f>+D15-C15</f>
        <v>9949423</v>
      </c>
      <c r="F15" s="70">
        <f>+E15/C15</f>
        <v>2.0970175130191504E-2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907</v>
      </c>
      <c r="C17" s="51">
        <v>279761982</v>
      </c>
      <c r="D17" s="51">
        <v>283785136</v>
      </c>
      <c r="E17" s="51">
        <f>+D17-C17</f>
        <v>4023154</v>
      </c>
      <c r="F17" s="70">
        <f>+E17/C17</f>
        <v>1.4380631604189878E-2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908</v>
      </c>
      <c r="C19" s="27">
        <f>+C15-C17</f>
        <v>194693903</v>
      </c>
      <c r="D19" s="27">
        <f>+D15-D17</f>
        <v>200620172</v>
      </c>
      <c r="E19" s="27">
        <f>+D19-C19</f>
        <v>5926269</v>
      </c>
      <c r="F19" s="28">
        <f>+E19/C19</f>
        <v>3.0438903882881223E-2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909</v>
      </c>
      <c r="C21" s="628">
        <f>+C17/C15</f>
        <v>0.58964803861585569</v>
      </c>
      <c r="D21" s="628">
        <f>+D17/D15</f>
        <v>0.58584233350308379</v>
      </c>
      <c r="E21" s="628">
        <f>+D21-C21</f>
        <v>-3.8057051127718955E-3</v>
      </c>
      <c r="F21" s="28">
        <f>+E21/C21</f>
        <v>-6.4541978664177987E-3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910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FILING&amp;R&amp;12GREENWICH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911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912</v>
      </c>
      <c r="B6" s="632" t="s">
        <v>913</v>
      </c>
      <c r="C6" s="632" t="s">
        <v>914</v>
      </c>
      <c r="D6" s="632" t="s">
        <v>915</v>
      </c>
      <c r="E6" s="632" t="s">
        <v>916</v>
      </c>
    </row>
    <row r="7" spans="1:6" ht="37.5" customHeight="1" x14ac:dyDescent="0.25">
      <c r="A7" s="633" t="s">
        <v>8</v>
      </c>
      <c r="B7" s="634" t="s">
        <v>917</v>
      </c>
      <c r="C7" s="631" t="s">
        <v>918</v>
      </c>
      <c r="D7" s="631" t="s">
        <v>919</v>
      </c>
      <c r="E7" s="631" t="s">
        <v>920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921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922</v>
      </c>
      <c r="C10" s="641">
        <v>408731408</v>
      </c>
      <c r="D10" s="641">
        <v>423550235</v>
      </c>
      <c r="E10" s="641">
        <v>422498886</v>
      </c>
    </row>
    <row r="11" spans="1:6" ht="26.1" customHeight="1" x14ac:dyDescent="0.25">
      <c r="A11" s="639">
        <v>2</v>
      </c>
      <c r="B11" s="640" t="s">
        <v>923</v>
      </c>
      <c r="C11" s="641">
        <v>492001556</v>
      </c>
      <c r="D11" s="641">
        <v>521449226</v>
      </c>
      <c r="E11" s="641">
        <v>549112159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900732964</v>
      </c>
      <c r="D12" s="641">
        <f>+D11+D10</f>
        <v>944999461</v>
      </c>
      <c r="E12" s="641">
        <f>+E11+E10</f>
        <v>971611045</v>
      </c>
    </row>
    <row r="13" spans="1:6" ht="26.1" customHeight="1" x14ac:dyDescent="0.25">
      <c r="A13" s="639">
        <v>4</v>
      </c>
      <c r="B13" s="640" t="s">
        <v>496</v>
      </c>
      <c r="C13" s="641">
        <v>279086000</v>
      </c>
      <c r="D13" s="641">
        <v>297010000</v>
      </c>
      <c r="E13" s="641">
        <v>304346000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924</v>
      </c>
      <c r="C16" s="641">
        <v>287530757</v>
      </c>
      <c r="D16" s="641">
        <v>305925000</v>
      </c>
      <c r="E16" s="641">
        <v>312559000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925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53059</v>
      </c>
      <c r="D19" s="644">
        <v>52638</v>
      </c>
      <c r="E19" s="644">
        <v>51919</v>
      </c>
    </row>
    <row r="20" spans="1:5" ht="26.1" customHeight="1" x14ac:dyDescent="0.25">
      <c r="A20" s="639">
        <v>2</v>
      </c>
      <c r="B20" s="640" t="s">
        <v>385</v>
      </c>
      <c r="C20" s="645">
        <v>13627</v>
      </c>
      <c r="D20" s="645">
        <v>13479</v>
      </c>
      <c r="E20" s="645">
        <v>13027</v>
      </c>
    </row>
    <row r="21" spans="1:5" ht="26.1" customHeight="1" x14ac:dyDescent="0.25">
      <c r="A21" s="639">
        <v>3</v>
      </c>
      <c r="B21" s="640" t="s">
        <v>926</v>
      </c>
      <c r="C21" s="646">
        <f>IF(C20=0,0,+C19/C20)</f>
        <v>3.8936669846628016</v>
      </c>
      <c r="D21" s="646">
        <f>IF(D20=0,0,+D19/D20)</f>
        <v>3.905185844647229</v>
      </c>
      <c r="E21" s="646">
        <f>IF(E20=0,0,+E19/E20)</f>
        <v>3.9854916711445458</v>
      </c>
    </row>
    <row r="22" spans="1:5" ht="26.1" customHeight="1" x14ac:dyDescent="0.25">
      <c r="A22" s="639">
        <v>4</v>
      </c>
      <c r="B22" s="640" t="s">
        <v>927</v>
      </c>
      <c r="C22" s="645">
        <f>IF(C10=0,0,C19*(C12/C10))</f>
        <v>116927.61897288793</v>
      </c>
      <c r="D22" s="645">
        <f>IF(D10=0,0,D19*(D12/D10))</f>
        <v>117442.69632648888</v>
      </c>
      <c r="E22" s="645">
        <f>IF(E10=0,0,E19*(E12/E10))</f>
        <v>119396.93929833226</v>
      </c>
    </row>
    <row r="23" spans="1:5" ht="26.1" customHeight="1" x14ac:dyDescent="0.25">
      <c r="A23" s="639">
        <v>0</v>
      </c>
      <c r="B23" s="640" t="s">
        <v>928</v>
      </c>
      <c r="C23" s="645">
        <f>IF(C10=0,0,C20*(C12/C10))</f>
        <v>30030.205313774171</v>
      </c>
      <c r="D23" s="645">
        <f>IF(D10=0,0,D20*(D12/D10))</f>
        <v>30073.52300210387</v>
      </c>
      <c r="E23" s="645">
        <f>IF(E10=0,0,E20*(E12/E10))</f>
        <v>29957.894571146873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929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1.0867731122037132</v>
      </c>
      <c r="D26" s="647">
        <v>1.1277108465019658</v>
      </c>
      <c r="E26" s="647">
        <v>1.0475597297919705</v>
      </c>
    </row>
    <row r="27" spans="1:5" ht="26.1" customHeight="1" x14ac:dyDescent="0.25">
      <c r="A27" s="639">
        <v>2</v>
      </c>
      <c r="B27" s="640" t="s">
        <v>930</v>
      </c>
      <c r="C27" s="645">
        <f>C19*C26</f>
        <v>57663.094560416816</v>
      </c>
      <c r="D27" s="645">
        <f>D19*D26</f>
        <v>59360.443538170475</v>
      </c>
      <c r="E27" s="645">
        <f>E19*E26</f>
        <v>54388.253611069318</v>
      </c>
    </row>
    <row r="28" spans="1:5" ht="26.1" customHeight="1" x14ac:dyDescent="0.25">
      <c r="A28" s="639">
        <v>3</v>
      </c>
      <c r="B28" s="640" t="s">
        <v>931</v>
      </c>
      <c r="C28" s="645">
        <f>C20*C26</f>
        <v>14809.457199999999</v>
      </c>
      <c r="D28" s="645">
        <f>D20*D26</f>
        <v>15200.414499999997</v>
      </c>
      <c r="E28" s="645">
        <f>E20*E26</f>
        <v>13646.560600000001</v>
      </c>
    </row>
    <row r="29" spans="1:5" ht="26.1" customHeight="1" x14ac:dyDescent="0.25">
      <c r="A29" s="639">
        <v>4</v>
      </c>
      <c r="B29" s="640" t="s">
        <v>932</v>
      </c>
      <c r="C29" s="645">
        <f>C22*C26</f>
        <v>127073.79237373536</v>
      </c>
      <c r="D29" s="645">
        <f>D22*D26</f>
        <v>132441.40248981808</v>
      </c>
      <c r="E29" s="645">
        <f>E22*E26</f>
        <v>125075.42546934925</v>
      </c>
    </row>
    <row r="30" spans="1:5" ht="26.1" customHeight="1" x14ac:dyDescent="0.25">
      <c r="A30" s="639">
        <v>5</v>
      </c>
      <c r="B30" s="640" t="s">
        <v>933</v>
      </c>
      <c r="C30" s="645">
        <f>C23*C26</f>
        <v>32636.01968896684</v>
      </c>
      <c r="D30" s="645">
        <f>D23*D26</f>
        <v>33914.238081998898</v>
      </c>
      <c r="E30" s="645">
        <f>E23*E26</f>
        <v>31382.683942086958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934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935</v>
      </c>
      <c r="C33" s="641">
        <f>IF(C19=0,0,C12/C19)</f>
        <v>16976.063702670614</v>
      </c>
      <c r="D33" s="641">
        <f>IF(D19=0,0,D12/D19)</f>
        <v>17952.799517458869</v>
      </c>
      <c r="E33" s="641">
        <f>IF(E19=0,0,E12/E19)</f>
        <v>18713.978408675051</v>
      </c>
    </row>
    <row r="34" spans="1:5" ht="26.1" customHeight="1" x14ac:dyDescent="0.25">
      <c r="A34" s="639">
        <v>2</v>
      </c>
      <c r="B34" s="640" t="s">
        <v>936</v>
      </c>
      <c r="C34" s="641">
        <f>IF(C20=0,0,C12/C20)</f>
        <v>66099.138768621124</v>
      </c>
      <c r="D34" s="641">
        <f>IF(D20=0,0,D12/D20)</f>
        <v>70109.018547369982</v>
      </c>
      <c r="E34" s="641">
        <f>IF(E20=0,0,E12/E20)</f>
        <v>74584.405081753284</v>
      </c>
    </row>
    <row r="35" spans="1:5" ht="26.1" customHeight="1" x14ac:dyDescent="0.25">
      <c r="A35" s="639">
        <v>3</v>
      </c>
      <c r="B35" s="640" t="s">
        <v>937</v>
      </c>
      <c r="C35" s="641">
        <f>IF(C22=0,0,C12/C22)</f>
        <v>7703.3379445522914</v>
      </c>
      <c r="D35" s="641">
        <f>IF(D22=0,0,D12/D22)</f>
        <v>8046.4727953189713</v>
      </c>
      <c r="E35" s="641">
        <f>IF(E22=0,0,E12/E22)</f>
        <v>8137.6545388008244</v>
      </c>
    </row>
    <row r="36" spans="1:5" ht="26.1" customHeight="1" x14ac:dyDescent="0.25">
      <c r="A36" s="639">
        <v>4</v>
      </c>
      <c r="B36" s="640" t="s">
        <v>938</v>
      </c>
      <c r="C36" s="641">
        <f>IF(C23=0,0,C12/C23)</f>
        <v>29994.232626403467</v>
      </c>
      <c r="D36" s="641">
        <f>IF(D23=0,0,D12/D23)</f>
        <v>31422.971659618666</v>
      </c>
      <c r="E36" s="641">
        <f>IF(E23=0,0,E12/E23)</f>
        <v>32432.554387042292</v>
      </c>
    </row>
    <row r="37" spans="1:5" ht="26.1" customHeight="1" x14ac:dyDescent="0.25">
      <c r="A37" s="639">
        <v>5</v>
      </c>
      <c r="B37" s="640" t="s">
        <v>939</v>
      </c>
      <c r="C37" s="641">
        <f>IF(C29=0,0,C12/C29)</f>
        <v>7088.266960278198</v>
      </c>
      <c r="D37" s="641">
        <f>IF(D29=0,0,D12/D29)</f>
        <v>7135.226924772639</v>
      </c>
      <c r="E37" s="641">
        <f>IF(E29=0,0,E12/E29)</f>
        <v>7768.2009983496009</v>
      </c>
    </row>
    <row r="38" spans="1:5" ht="26.1" customHeight="1" x14ac:dyDescent="0.25">
      <c r="A38" s="639">
        <v>6</v>
      </c>
      <c r="B38" s="640" t="s">
        <v>940</v>
      </c>
      <c r="C38" s="641">
        <f>IF(C30=0,0,C12/C30)</f>
        <v>27599.351041711379</v>
      </c>
      <c r="D38" s="641">
        <f>IF(D30=0,0,D12/D30)</f>
        <v>27864.387184967887</v>
      </c>
      <c r="E38" s="641">
        <f>IF(E30=0,0,E12/E30)</f>
        <v>30960.10037869908</v>
      </c>
    </row>
    <row r="39" spans="1:5" ht="26.1" customHeight="1" x14ac:dyDescent="0.25">
      <c r="A39" s="639">
        <v>7</v>
      </c>
      <c r="B39" s="640" t="s">
        <v>941</v>
      </c>
      <c r="C39" s="641">
        <f>IF(C22=0,0,C10/C22)</f>
        <v>3495.5933558757642</v>
      </c>
      <c r="D39" s="641">
        <f>IF(D22=0,0,D10/D22)</f>
        <v>3606.4416796301825</v>
      </c>
      <c r="E39" s="641">
        <f>IF(E22=0,0,E10/E22)</f>
        <v>3538.6073418877118</v>
      </c>
    </row>
    <row r="40" spans="1:5" ht="26.1" customHeight="1" x14ac:dyDescent="0.25">
      <c r="A40" s="639">
        <v>8</v>
      </c>
      <c r="B40" s="640" t="s">
        <v>942</v>
      </c>
      <c r="C40" s="641">
        <f>IF(C23=0,0,C10/C23)</f>
        <v>13610.676441580112</v>
      </c>
      <c r="D40" s="641">
        <f>IF(D23=0,0,D10/D23)</f>
        <v>14083.824996837566</v>
      </c>
      <c r="E40" s="641">
        <f>IF(E23=0,0,E10/E23)</f>
        <v>14103.090088544415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943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944</v>
      </c>
      <c r="C43" s="641">
        <f>IF(C19=0,0,C13/C19)</f>
        <v>5259.9182042631792</v>
      </c>
      <c r="D43" s="641">
        <f>IF(D19=0,0,D13/D19)</f>
        <v>5642.5016148029945</v>
      </c>
      <c r="E43" s="641">
        <f>IF(E19=0,0,E13/E19)</f>
        <v>5861.9387892678978</v>
      </c>
    </row>
    <row r="44" spans="1:5" ht="26.1" customHeight="1" x14ac:dyDescent="0.25">
      <c r="A44" s="639">
        <v>2</v>
      </c>
      <c r="B44" s="640" t="s">
        <v>945</v>
      </c>
      <c r="C44" s="641">
        <f>IF(C20=0,0,C13/C20)</f>
        <v>20480.369853966389</v>
      </c>
      <c r="D44" s="641">
        <f>IF(D20=0,0,D13/D20)</f>
        <v>22035.017434527785</v>
      </c>
      <c r="E44" s="641">
        <f>IF(E20=0,0,E13/E20)</f>
        <v>23362.70822138635</v>
      </c>
    </row>
    <row r="45" spans="1:5" ht="26.1" customHeight="1" x14ac:dyDescent="0.25">
      <c r="A45" s="639">
        <v>3</v>
      </c>
      <c r="B45" s="640" t="s">
        <v>946</v>
      </c>
      <c r="C45" s="641">
        <f>IF(C22=0,0,C13/C22)</f>
        <v>2386.827017017355</v>
      </c>
      <c r="D45" s="641">
        <f>IF(D22=0,0,D13/D22)</f>
        <v>2528.9780402718002</v>
      </c>
      <c r="E45" s="641">
        <f>IF(E22=0,0,E13/E22)</f>
        <v>2549.0268158343915</v>
      </c>
    </row>
    <row r="46" spans="1:5" ht="26.1" customHeight="1" x14ac:dyDescent="0.25">
      <c r="A46" s="639">
        <v>4</v>
      </c>
      <c r="B46" s="640" t="s">
        <v>947</v>
      </c>
      <c r="C46" s="641">
        <f>IF(C23=0,0,C13/C23)</f>
        <v>9293.5095542616764</v>
      </c>
      <c r="D46" s="641">
        <f>IF(D23=0,0,D13/D23)</f>
        <v>9876.1292442931244</v>
      </c>
      <c r="E46" s="641">
        <f>IF(E23=0,0,E13/E23)</f>
        <v>10159.125144032068</v>
      </c>
    </row>
    <row r="47" spans="1:5" ht="26.1" customHeight="1" x14ac:dyDescent="0.25">
      <c r="A47" s="639">
        <v>5</v>
      </c>
      <c r="B47" s="640" t="s">
        <v>948</v>
      </c>
      <c r="C47" s="641">
        <f>IF(C29=0,0,C13/C29)</f>
        <v>2196.2514440364162</v>
      </c>
      <c r="D47" s="641">
        <f>IF(D29=0,0,D13/D29)</f>
        <v>2242.5766747889411</v>
      </c>
      <c r="E47" s="641">
        <f>IF(E29=0,0,E13/E29)</f>
        <v>2433.2997378016712</v>
      </c>
    </row>
    <row r="48" spans="1:5" ht="26.1" customHeight="1" x14ac:dyDescent="0.25">
      <c r="A48" s="639">
        <v>6</v>
      </c>
      <c r="B48" s="640" t="s">
        <v>949</v>
      </c>
      <c r="C48" s="641">
        <f>IF(C30=0,0,C13/C30)</f>
        <v>8551.4717376625977</v>
      </c>
      <c r="D48" s="641">
        <f>IF(D30=0,0,D13/D30)</f>
        <v>8757.6786859218246</v>
      </c>
      <c r="E48" s="641">
        <f>IF(E30=0,0,E13/E30)</f>
        <v>9697.8958384067682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950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951</v>
      </c>
      <c r="C51" s="641">
        <f>IF(C19=0,0,C16/C19)</f>
        <v>5419.0760662658549</v>
      </c>
      <c r="D51" s="641">
        <f>IF(D19=0,0,D16/D19)</f>
        <v>5811.8659523538126</v>
      </c>
      <c r="E51" s="641">
        <f>IF(E19=0,0,E16/E19)</f>
        <v>6020.1275063079029</v>
      </c>
    </row>
    <row r="52" spans="1:6" ht="26.1" customHeight="1" x14ac:dyDescent="0.25">
      <c r="A52" s="639">
        <v>2</v>
      </c>
      <c r="B52" s="640" t="s">
        <v>952</v>
      </c>
      <c r="C52" s="641">
        <f>IF(C20=0,0,C16/C20)</f>
        <v>21100.07756659573</v>
      </c>
      <c r="D52" s="641">
        <f>IF(D20=0,0,D16/D20)</f>
        <v>22696.416648119295</v>
      </c>
      <c r="E52" s="641">
        <f>IF(E20=0,0,E16/E20)</f>
        <v>23993.168035618331</v>
      </c>
    </row>
    <row r="53" spans="1:6" ht="26.1" customHeight="1" x14ac:dyDescent="0.25">
      <c r="A53" s="639">
        <v>3</v>
      </c>
      <c r="B53" s="640" t="s">
        <v>953</v>
      </c>
      <c r="C53" s="641">
        <f>IF(C22=0,0,C16/C22)</f>
        <v>2459.0491068382221</v>
      </c>
      <c r="D53" s="641">
        <f>IF(D22=0,0,D16/D22)</f>
        <v>2604.8874009971064</v>
      </c>
      <c r="E53" s="641">
        <f>IF(E22=0,0,E16/E22)</f>
        <v>2617.8141737705819</v>
      </c>
    </row>
    <row r="54" spans="1:6" ht="26.1" customHeight="1" x14ac:dyDescent="0.25">
      <c r="A54" s="639">
        <v>4</v>
      </c>
      <c r="B54" s="640" t="s">
        <v>954</v>
      </c>
      <c r="C54" s="641">
        <f>IF(C23=0,0,C16/C23)</f>
        <v>9574.7183209605355</v>
      </c>
      <c r="D54" s="641">
        <f>IF(D23=0,0,D16/D23)</f>
        <v>10172.569405273809</v>
      </c>
      <c r="E54" s="641">
        <f>IF(E23=0,0,E16/E23)</f>
        <v>10433.276586166794</v>
      </c>
    </row>
    <row r="55" spans="1:6" ht="26.1" customHeight="1" x14ac:dyDescent="0.25">
      <c r="A55" s="639">
        <v>5</v>
      </c>
      <c r="B55" s="640" t="s">
        <v>955</v>
      </c>
      <c r="C55" s="641">
        <f>IF(C29=0,0,C16/C29)</f>
        <v>2262.7069801643001</v>
      </c>
      <c r="D55" s="641">
        <f>IF(D29=0,0,D16/D29)</f>
        <v>2309.8894624248569</v>
      </c>
      <c r="E55" s="641">
        <f>IF(E29=0,0,E16/E29)</f>
        <v>2498.9641156695093</v>
      </c>
    </row>
    <row r="56" spans="1:6" ht="26.1" customHeight="1" x14ac:dyDescent="0.25">
      <c r="A56" s="639">
        <v>6</v>
      </c>
      <c r="B56" s="640" t="s">
        <v>956</v>
      </c>
      <c r="C56" s="641">
        <f>IF(C30=0,0,C16/C30)</f>
        <v>8810.2274646318056</v>
      </c>
      <c r="D56" s="641">
        <f>IF(D30=0,0,D16/D30)</f>
        <v>9020.547631361349</v>
      </c>
      <c r="E56" s="641">
        <f>IF(E30=0,0,E16/E30)</f>
        <v>9959.6006694899261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957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958</v>
      </c>
      <c r="C59" s="649">
        <v>32654133</v>
      </c>
      <c r="D59" s="649">
        <v>31538096</v>
      </c>
      <c r="E59" s="649">
        <v>38516535</v>
      </c>
    </row>
    <row r="60" spans="1:6" ht="26.1" customHeight="1" x14ac:dyDescent="0.25">
      <c r="A60" s="639">
        <v>2</v>
      </c>
      <c r="B60" s="640" t="s">
        <v>959</v>
      </c>
      <c r="C60" s="649">
        <v>9208466</v>
      </c>
      <c r="D60" s="649">
        <v>8830667</v>
      </c>
      <c r="E60" s="649">
        <v>11554960</v>
      </c>
    </row>
    <row r="61" spans="1:6" ht="26.1" customHeight="1" x14ac:dyDescent="0.25">
      <c r="A61" s="650">
        <v>3</v>
      </c>
      <c r="B61" s="651" t="s">
        <v>960</v>
      </c>
      <c r="C61" s="652">
        <f>C59+C60</f>
        <v>41862599</v>
      </c>
      <c r="D61" s="652">
        <f>D59+D60</f>
        <v>40368763</v>
      </c>
      <c r="E61" s="652">
        <f>E59+E60</f>
        <v>50071495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961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962</v>
      </c>
      <c r="C64" s="641">
        <v>16407798</v>
      </c>
      <c r="D64" s="641">
        <v>17349745</v>
      </c>
      <c r="E64" s="649">
        <v>9013899</v>
      </c>
      <c r="F64" s="653"/>
    </row>
    <row r="65" spans="1:6" ht="26.1" customHeight="1" x14ac:dyDescent="0.25">
      <c r="A65" s="639">
        <v>2</v>
      </c>
      <c r="B65" s="640" t="s">
        <v>963</v>
      </c>
      <c r="C65" s="649">
        <v>4626999</v>
      </c>
      <c r="D65" s="649">
        <v>4857929</v>
      </c>
      <c r="E65" s="649">
        <v>2704170</v>
      </c>
      <c r="F65" s="653"/>
    </row>
    <row r="66" spans="1:6" ht="26.1" customHeight="1" x14ac:dyDescent="0.25">
      <c r="A66" s="650">
        <v>3</v>
      </c>
      <c r="B66" s="651" t="s">
        <v>964</v>
      </c>
      <c r="C66" s="654">
        <f>C64+C65</f>
        <v>21034797</v>
      </c>
      <c r="D66" s="654">
        <f>D64+D65</f>
        <v>22207674</v>
      </c>
      <c r="E66" s="654">
        <f>E64+E65</f>
        <v>11718069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965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966</v>
      </c>
      <c r="C69" s="649">
        <v>69278749</v>
      </c>
      <c r="D69" s="649">
        <v>77070980</v>
      </c>
      <c r="E69" s="649">
        <v>67271694</v>
      </c>
    </row>
    <row r="70" spans="1:6" ht="26.1" customHeight="1" x14ac:dyDescent="0.25">
      <c r="A70" s="639">
        <v>2</v>
      </c>
      <c r="B70" s="640" t="s">
        <v>967</v>
      </c>
      <c r="C70" s="649">
        <v>19548935</v>
      </c>
      <c r="D70" s="649">
        <v>24661908</v>
      </c>
      <c r="E70" s="649">
        <v>24163937</v>
      </c>
    </row>
    <row r="71" spans="1:6" ht="26.1" customHeight="1" x14ac:dyDescent="0.25">
      <c r="A71" s="650">
        <v>3</v>
      </c>
      <c r="B71" s="651" t="s">
        <v>968</v>
      </c>
      <c r="C71" s="652">
        <f>C69+C70</f>
        <v>88827684</v>
      </c>
      <c r="D71" s="652">
        <f>D69+D70</f>
        <v>101732888</v>
      </c>
      <c r="E71" s="652">
        <f>E69+E70</f>
        <v>91435631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969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970</v>
      </c>
      <c r="C75" s="641">
        <f t="shared" ref="C75:E76" si="0">+C59+C64+C69</f>
        <v>118340680</v>
      </c>
      <c r="D75" s="641">
        <f t="shared" si="0"/>
        <v>125958821</v>
      </c>
      <c r="E75" s="641">
        <f t="shared" si="0"/>
        <v>114802128</v>
      </c>
    </row>
    <row r="76" spans="1:6" ht="26.1" customHeight="1" x14ac:dyDescent="0.25">
      <c r="A76" s="639">
        <v>2</v>
      </c>
      <c r="B76" s="640" t="s">
        <v>971</v>
      </c>
      <c r="C76" s="641">
        <f t="shared" si="0"/>
        <v>33384400</v>
      </c>
      <c r="D76" s="641">
        <f t="shared" si="0"/>
        <v>38350504</v>
      </c>
      <c r="E76" s="641">
        <f t="shared" si="0"/>
        <v>38423067</v>
      </c>
    </row>
    <row r="77" spans="1:6" ht="26.1" customHeight="1" x14ac:dyDescent="0.25">
      <c r="A77" s="650">
        <v>3</v>
      </c>
      <c r="B77" s="651" t="s">
        <v>969</v>
      </c>
      <c r="C77" s="654">
        <f>C75+C76</f>
        <v>151725080</v>
      </c>
      <c r="D77" s="654">
        <f>D75+D76</f>
        <v>164309325</v>
      </c>
      <c r="E77" s="654">
        <f>E75+E76</f>
        <v>153225195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972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351.9</v>
      </c>
      <c r="D80" s="646">
        <v>361.7</v>
      </c>
      <c r="E80" s="646">
        <v>430.3</v>
      </c>
    </row>
    <row r="81" spans="1:5" ht="26.1" customHeight="1" x14ac:dyDescent="0.25">
      <c r="A81" s="639">
        <v>2</v>
      </c>
      <c r="B81" s="640" t="s">
        <v>597</v>
      </c>
      <c r="C81" s="646">
        <v>51.3</v>
      </c>
      <c r="D81" s="646">
        <v>61.7</v>
      </c>
      <c r="E81" s="646">
        <v>47.3</v>
      </c>
    </row>
    <row r="82" spans="1:5" ht="26.1" customHeight="1" x14ac:dyDescent="0.25">
      <c r="A82" s="639">
        <v>3</v>
      </c>
      <c r="B82" s="640" t="s">
        <v>973</v>
      </c>
      <c r="C82" s="646">
        <v>1058.5</v>
      </c>
      <c r="D82" s="646">
        <v>1189.5999999999999</v>
      </c>
      <c r="E82" s="646">
        <v>1011.7</v>
      </c>
    </row>
    <row r="83" spans="1:5" ht="26.1" customHeight="1" x14ac:dyDescent="0.25">
      <c r="A83" s="650">
        <v>4</v>
      </c>
      <c r="B83" s="651" t="s">
        <v>972</v>
      </c>
      <c r="C83" s="656">
        <f>C80+C81+C82</f>
        <v>1461.7</v>
      </c>
      <c r="D83" s="656">
        <f>D80+D81+D82</f>
        <v>1613</v>
      </c>
      <c r="E83" s="656">
        <f>E80+E81+E82</f>
        <v>1489.3000000000002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974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975</v>
      </c>
      <c r="C86" s="649">
        <f>IF(C80=0,0,C59/C80)</f>
        <v>92793.785166240414</v>
      </c>
      <c r="D86" s="649">
        <f>IF(D80=0,0,D59/D80)</f>
        <v>87194.072435720213</v>
      </c>
      <c r="E86" s="649">
        <f>IF(E80=0,0,E59/E80)</f>
        <v>89510.887752730647</v>
      </c>
    </row>
    <row r="87" spans="1:5" ht="26.1" customHeight="1" x14ac:dyDescent="0.25">
      <c r="A87" s="639">
        <v>2</v>
      </c>
      <c r="B87" s="640" t="s">
        <v>976</v>
      </c>
      <c r="C87" s="649">
        <f>IF(C80=0,0,C60/C80)</f>
        <v>26167.848820687697</v>
      </c>
      <c r="D87" s="649">
        <f>IF(D80=0,0,D60/D80)</f>
        <v>24414.340613768316</v>
      </c>
      <c r="E87" s="649">
        <f>IF(E80=0,0,E60/E80)</f>
        <v>26853.26516383918</v>
      </c>
    </row>
    <row r="88" spans="1:5" ht="26.1" customHeight="1" x14ac:dyDescent="0.25">
      <c r="A88" s="650">
        <v>3</v>
      </c>
      <c r="B88" s="651" t="s">
        <v>977</v>
      </c>
      <c r="C88" s="652">
        <f>+C86+C87</f>
        <v>118961.63398692811</v>
      </c>
      <c r="D88" s="652">
        <f>+D86+D87</f>
        <v>111608.41304948853</v>
      </c>
      <c r="E88" s="652">
        <f>+E86+E87</f>
        <v>116364.15291656983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978</v>
      </c>
    </row>
    <row r="91" spans="1:5" ht="26.1" customHeight="1" x14ac:dyDescent="0.25">
      <c r="A91" s="639">
        <v>1</v>
      </c>
      <c r="B91" s="640" t="s">
        <v>979</v>
      </c>
      <c r="C91" s="641">
        <f>IF(C81=0,0,C64/C81)</f>
        <v>319840.11695906433</v>
      </c>
      <c r="D91" s="641">
        <f>IF(D81=0,0,D64/D81)</f>
        <v>281195.21880064829</v>
      </c>
      <c r="E91" s="641">
        <f>IF(E81=0,0,E64/E81)</f>
        <v>190568.68921775901</v>
      </c>
    </row>
    <row r="92" spans="1:5" ht="26.1" customHeight="1" x14ac:dyDescent="0.25">
      <c r="A92" s="639">
        <v>2</v>
      </c>
      <c r="B92" s="640" t="s">
        <v>980</v>
      </c>
      <c r="C92" s="641">
        <f>IF(C81=0,0,C65/C81)</f>
        <v>90194.912280701756</v>
      </c>
      <c r="D92" s="641">
        <f>IF(D81=0,0,D65/D81)</f>
        <v>78734.667747163694</v>
      </c>
      <c r="E92" s="641">
        <f>IF(E81=0,0,E65/E81)</f>
        <v>57170.613107822413</v>
      </c>
    </row>
    <row r="93" spans="1:5" ht="26.1" customHeight="1" x14ac:dyDescent="0.25">
      <c r="A93" s="650">
        <v>3</v>
      </c>
      <c r="B93" s="651" t="s">
        <v>981</v>
      </c>
      <c r="C93" s="654">
        <f>+C91+C92</f>
        <v>410035.02923976607</v>
      </c>
      <c r="D93" s="654">
        <f>+D91+D92</f>
        <v>359929.88654781197</v>
      </c>
      <c r="E93" s="654">
        <f>+E91+E92</f>
        <v>247739.30232558143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982</v>
      </c>
      <c r="B95" s="642" t="s">
        <v>983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984</v>
      </c>
      <c r="C96" s="649">
        <f>IF(C82=0,0,C69/C82)</f>
        <v>65449.928200283422</v>
      </c>
      <c r="D96" s="649">
        <f>IF(D82=0,0,D69/D82)</f>
        <v>64787.306657700072</v>
      </c>
      <c r="E96" s="649">
        <f>IF(E82=0,0,E69/E82)</f>
        <v>66493.717505189285</v>
      </c>
    </row>
    <row r="97" spans="1:5" ht="26.1" customHeight="1" x14ac:dyDescent="0.25">
      <c r="A97" s="639">
        <v>2</v>
      </c>
      <c r="B97" s="640" t="s">
        <v>985</v>
      </c>
      <c r="C97" s="649">
        <f>IF(C82=0,0,C70/C82)</f>
        <v>18468.526216343882</v>
      </c>
      <c r="D97" s="649">
        <f>IF(D82=0,0,D70/D82)</f>
        <v>20731.260928043041</v>
      </c>
      <c r="E97" s="649">
        <f>IF(E82=0,0,E70/E82)</f>
        <v>23884.488484728674</v>
      </c>
    </row>
    <row r="98" spans="1:5" ht="26.1" customHeight="1" x14ac:dyDescent="0.25">
      <c r="A98" s="650">
        <v>3</v>
      </c>
      <c r="B98" s="651" t="s">
        <v>986</v>
      </c>
      <c r="C98" s="654">
        <f>+C96+C97</f>
        <v>83918.454416627297</v>
      </c>
      <c r="D98" s="654">
        <f>+D96+D97</f>
        <v>85518.56758574312</v>
      </c>
      <c r="E98" s="654">
        <f>+E96+E97</f>
        <v>90378.205989917959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987</v>
      </c>
      <c r="B100" s="642" t="s">
        <v>988</v>
      </c>
    </row>
    <row r="101" spans="1:5" ht="26.1" customHeight="1" x14ac:dyDescent="0.25">
      <c r="A101" s="639">
        <v>1</v>
      </c>
      <c r="B101" s="640" t="s">
        <v>989</v>
      </c>
      <c r="C101" s="641">
        <f>IF(C83=0,0,C75/C83)</f>
        <v>80960.990627351712</v>
      </c>
      <c r="D101" s="641">
        <f>IF(D83=0,0,D75/D83)</f>
        <v>78089.783632982027</v>
      </c>
      <c r="E101" s="641">
        <f>IF(E83=0,0,E75/E83)</f>
        <v>77084.622305781231</v>
      </c>
    </row>
    <row r="102" spans="1:5" ht="26.1" customHeight="1" x14ac:dyDescent="0.25">
      <c r="A102" s="639">
        <v>2</v>
      </c>
      <c r="B102" s="640" t="s">
        <v>990</v>
      </c>
      <c r="C102" s="658">
        <f>IF(C83=0,0,C76/C83)</f>
        <v>22839.433536293356</v>
      </c>
      <c r="D102" s="658">
        <f>IF(D83=0,0,D76/D83)</f>
        <v>23775.885926844388</v>
      </c>
      <c r="E102" s="658">
        <f>IF(E83=0,0,E76/E83)</f>
        <v>25799.413818572481</v>
      </c>
    </row>
    <row r="103" spans="1:5" ht="26.1" customHeight="1" x14ac:dyDescent="0.25">
      <c r="A103" s="650">
        <v>3</v>
      </c>
      <c r="B103" s="651" t="s">
        <v>988</v>
      </c>
      <c r="C103" s="654">
        <f>+C101+C102</f>
        <v>103800.42416364508</v>
      </c>
      <c r="D103" s="654">
        <f>+D101+D102</f>
        <v>101865.66955982642</v>
      </c>
      <c r="E103" s="654">
        <f>+E101+E102</f>
        <v>102884.0361243537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991</v>
      </c>
      <c r="B107" s="634" t="s">
        <v>992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993</v>
      </c>
      <c r="C108" s="641">
        <f>IF(C19=0,0,C77/C19)</f>
        <v>2859.5540813057164</v>
      </c>
      <c r="D108" s="641">
        <f>IF(D19=0,0,D77/D19)</f>
        <v>3121.4963524450018</v>
      </c>
      <c r="E108" s="641">
        <f>IF(E19=0,0,E77/E19)</f>
        <v>2951.2354821934168</v>
      </c>
    </row>
    <row r="109" spans="1:5" ht="26.1" customHeight="1" x14ac:dyDescent="0.25">
      <c r="A109" s="639">
        <v>2</v>
      </c>
      <c r="B109" s="640" t="s">
        <v>994</v>
      </c>
      <c r="C109" s="641">
        <f>IF(C20=0,0,C77/C20)</f>
        <v>11134.151317237836</v>
      </c>
      <c r="D109" s="641">
        <f>IF(D20=0,0,D77/D20)</f>
        <v>12190.023369686178</v>
      </c>
      <c r="E109" s="641">
        <f>IF(E20=0,0,E77/E20)</f>
        <v>11762.124433868121</v>
      </c>
    </row>
    <row r="110" spans="1:5" ht="26.1" customHeight="1" x14ac:dyDescent="0.25">
      <c r="A110" s="639">
        <v>3</v>
      </c>
      <c r="B110" s="640" t="s">
        <v>995</v>
      </c>
      <c r="C110" s="641">
        <f>IF(C22=0,0,C77/C22)</f>
        <v>1297.5983034015308</v>
      </c>
      <c r="D110" s="641">
        <f>IF(D22=0,0,D77/D22)</f>
        <v>1399.0595425638273</v>
      </c>
      <c r="E110" s="641">
        <f>IF(E22=0,0,E77/E22)</f>
        <v>1283.3259872528429</v>
      </c>
    </row>
    <row r="111" spans="1:5" ht="26.1" customHeight="1" x14ac:dyDescent="0.25">
      <c r="A111" s="639">
        <v>4</v>
      </c>
      <c r="B111" s="640" t="s">
        <v>996</v>
      </c>
      <c r="C111" s="641">
        <f>IF(C23=0,0,C77/C23)</f>
        <v>5052.4156733090049</v>
      </c>
      <c r="D111" s="641">
        <f>IF(D23=0,0,D77/D23)</f>
        <v>5463.5875214388861</v>
      </c>
      <c r="E111" s="641">
        <f>IF(E23=0,0,E77/E23)</f>
        <v>5114.6850335595564</v>
      </c>
    </row>
    <row r="112" spans="1:5" ht="26.1" customHeight="1" x14ac:dyDescent="0.25">
      <c r="A112" s="639">
        <v>5</v>
      </c>
      <c r="B112" s="640" t="s">
        <v>997</v>
      </c>
      <c r="C112" s="641">
        <f>IF(C29=0,0,C77/C29)</f>
        <v>1193.9919094707036</v>
      </c>
      <c r="D112" s="641">
        <f>IF(D29=0,0,D77/D29)</f>
        <v>1240.6190353702414</v>
      </c>
      <c r="E112" s="641">
        <f>IF(E29=0,0,E77/E29)</f>
        <v>1225.0623527764778</v>
      </c>
    </row>
    <row r="113" spans="1:7" ht="25.5" customHeight="1" x14ac:dyDescent="0.25">
      <c r="A113" s="639">
        <v>6</v>
      </c>
      <c r="B113" s="640" t="s">
        <v>998</v>
      </c>
      <c r="C113" s="641">
        <f>IF(C30=0,0,C77/C30)</f>
        <v>4649.0068778605755</v>
      </c>
      <c r="D113" s="641">
        <f>IF(D30=0,0,D77/D30)</f>
        <v>4844.8478955277669</v>
      </c>
      <c r="E113" s="641">
        <f>IF(E30=0,0,E77/E30)</f>
        <v>4882.4758036233943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FILING&amp;R&amp;12GREENWICH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944999000</v>
      </c>
      <c r="D12" s="51">
        <v>971611000</v>
      </c>
      <c r="E12" s="51">
        <f t="shared" ref="E12:E19" si="0">D12-C12</f>
        <v>26612000</v>
      </c>
      <c r="F12" s="70">
        <f t="shared" ref="F12:F19" si="1">IF(C12=0,0,E12/C12)</f>
        <v>2.8160876360715726E-2</v>
      </c>
    </row>
    <row r="13" spans="1:8" ht="23.1" customHeight="1" x14ac:dyDescent="0.2">
      <c r="A13" s="25">
        <v>2</v>
      </c>
      <c r="B13" s="48" t="s">
        <v>72</v>
      </c>
      <c r="C13" s="51">
        <v>605114066</v>
      </c>
      <c r="D13" s="51">
        <v>623587000</v>
      </c>
      <c r="E13" s="51">
        <f t="shared" si="0"/>
        <v>18472934</v>
      </c>
      <c r="F13" s="70">
        <f t="shared" si="1"/>
        <v>3.0528019489138764E-2</v>
      </c>
    </row>
    <row r="14" spans="1:8" ht="23.1" customHeight="1" x14ac:dyDescent="0.2">
      <c r="A14" s="25">
        <v>3</v>
      </c>
      <c r="B14" s="48" t="s">
        <v>73</v>
      </c>
      <c r="C14" s="51">
        <v>22297544</v>
      </c>
      <c r="D14" s="51">
        <v>21876000</v>
      </c>
      <c r="E14" s="51">
        <f t="shared" si="0"/>
        <v>-421544</v>
      </c>
      <c r="F14" s="70">
        <f t="shared" si="1"/>
        <v>-1.8905400523035184E-2</v>
      </c>
    </row>
    <row r="15" spans="1:8" ht="23.1" customHeight="1" x14ac:dyDescent="0.2">
      <c r="A15" s="25">
        <v>4</v>
      </c>
      <c r="B15" s="48" t="s">
        <v>74</v>
      </c>
      <c r="C15" s="51">
        <v>20577390</v>
      </c>
      <c r="D15" s="51">
        <v>21802000</v>
      </c>
      <c r="E15" s="51">
        <f t="shared" si="0"/>
        <v>1224610</v>
      </c>
      <c r="F15" s="70">
        <f t="shared" si="1"/>
        <v>5.9512406578288109E-2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297010000</v>
      </c>
      <c r="D16" s="27">
        <f>D12-D13-D14-D15</f>
        <v>304346000</v>
      </c>
      <c r="E16" s="27">
        <f t="shared" si="0"/>
        <v>7336000</v>
      </c>
      <c r="F16" s="28">
        <f t="shared" si="1"/>
        <v>2.4699505067169454E-2</v>
      </c>
    </row>
    <row r="17" spans="1:7" ht="23.1" customHeight="1" x14ac:dyDescent="0.2">
      <c r="A17" s="25">
        <v>5</v>
      </c>
      <c r="B17" s="48" t="s">
        <v>76</v>
      </c>
      <c r="C17" s="51">
        <v>14197000</v>
      </c>
      <c r="D17" s="51">
        <v>16382000</v>
      </c>
      <c r="E17" s="51">
        <f t="shared" si="0"/>
        <v>2185000</v>
      </c>
      <c r="F17" s="70">
        <f t="shared" si="1"/>
        <v>0.15390575473691626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4366000</v>
      </c>
      <c r="D18" s="51">
        <v>3760000</v>
      </c>
      <c r="E18" s="51">
        <f t="shared" si="0"/>
        <v>-606000</v>
      </c>
      <c r="F18" s="70">
        <f t="shared" si="1"/>
        <v>-0.13879981676591846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315573000</v>
      </c>
      <c r="D19" s="27">
        <f>SUM(D16:D18)</f>
        <v>324488000</v>
      </c>
      <c r="E19" s="27">
        <f t="shared" si="0"/>
        <v>8915000</v>
      </c>
      <c r="F19" s="28">
        <f t="shared" si="1"/>
        <v>2.8250198844641333E-2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125958821</v>
      </c>
      <c r="D22" s="51">
        <v>114802128</v>
      </c>
      <c r="E22" s="51">
        <f t="shared" ref="E22:E31" si="2">D22-C22</f>
        <v>-11156693</v>
      </c>
      <c r="F22" s="70">
        <f t="shared" ref="F22:F31" si="3">IF(C22=0,0,E22/C22)</f>
        <v>-8.8574130111935545E-2</v>
      </c>
    </row>
    <row r="23" spans="1:7" ht="23.1" customHeight="1" x14ac:dyDescent="0.2">
      <c r="A23" s="25">
        <v>2</v>
      </c>
      <c r="B23" s="48" t="s">
        <v>81</v>
      </c>
      <c r="C23" s="51">
        <v>38350504</v>
      </c>
      <c r="D23" s="51">
        <v>38423067</v>
      </c>
      <c r="E23" s="51">
        <f t="shared" si="2"/>
        <v>72563</v>
      </c>
      <c r="F23" s="70">
        <f t="shared" si="3"/>
        <v>1.8921002967783682E-3</v>
      </c>
    </row>
    <row r="24" spans="1:7" ht="23.1" customHeight="1" x14ac:dyDescent="0.2">
      <c r="A24" s="25">
        <v>3</v>
      </c>
      <c r="B24" s="48" t="s">
        <v>82</v>
      </c>
      <c r="C24" s="51">
        <v>4204096</v>
      </c>
      <c r="D24" s="51">
        <v>8372980</v>
      </c>
      <c r="E24" s="51">
        <f t="shared" si="2"/>
        <v>4168884</v>
      </c>
      <c r="F24" s="70">
        <f t="shared" si="3"/>
        <v>0.99162435872063814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41117895</v>
      </c>
      <c r="D25" s="51">
        <v>38635786</v>
      </c>
      <c r="E25" s="51">
        <f t="shared" si="2"/>
        <v>-2482109</v>
      </c>
      <c r="F25" s="70">
        <f t="shared" si="3"/>
        <v>-6.0365663174148383E-2</v>
      </c>
    </row>
    <row r="26" spans="1:7" ht="23.1" customHeight="1" x14ac:dyDescent="0.2">
      <c r="A26" s="25">
        <v>5</v>
      </c>
      <c r="B26" s="48" t="s">
        <v>84</v>
      </c>
      <c r="C26" s="51">
        <v>18905989</v>
      </c>
      <c r="D26" s="51">
        <v>18406037</v>
      </c>
      <c r="E26" s="51">
        <f t="shared" si="2"/>
        <v>-499952</v>
      </c>
      <c r="F26" s="70">
        <f t="shared" si="3"/>
        <v>-2.6444107208567613E-2</v>
      </c>
    </row>
    <row r="27" spans="1:7" ht="23.1" customHeight="1" x14ac:dyDescent="0.2">
      <c r="A27" s="25">
        <v>6</v>
      </c>
      <c r="B27" s="48" t="s">
        <v>85</v>
      </c>
      <c r="C27" s="51">
        <v>9269877</v>
      </c>
      <c r="D27" s="51">
        <v>14042325</v>
      </c>
      <c r="E27" s="51">
        <f t="shared" si="2"/>
        <v>4772448</v>
      </c>
      <c r="F27" s="70">
        <f t="shared" si="3"/>
        <v>0.51483401559697073</v>
      </c>
    </row>
    <row r="28" spans="1:7" ht="23.1" customHeight="1" x14ac:dyDescent="0.2">
      <c r="A28" s="25">
        <v>7</v>
      </c>
      <c r="B28" s="48" t="s">
        <v>86</v>
      </c>
      <c r="C28" s="51">
        <v>425472</v>
      </c>
      <c r="D28" s="51">
        <v>357587</v>
      </c>
      <c r="E28" s="51">
        <f t="shared" si="2"/>
        <v>-67885</v>
      </c>
      <c r="F28" s="70">
        <f t="shared" si="3"/>
        <v>-0.15955221495186522</v>
      </c>
    </row>
    <row r="29" spans="1:7" ht="23.1" customHeight="1" x14ac:dyDescent="0.2">
      <c r="A29" s="25">
        <v>8</v>
      </c>
      <c r="B29" s="48" t="s">
        <v>87</v>
      </c>
      <c r="C29" s="51">
        <v>200972</v>
      </c>
      <c r="D29" s="51">
        <v>-1785660</v>
      </c>
      <c r="E29" s="51">
        <f t="shared" si="2"/>
        <v>-1986632</v>
      </c>
      <c r="F29" s="70">
        <f t="shared" si="3"/>
        <v>-9.8851183249407875</v>
      </c>
    </row>
    <row r="30" spans="1:7" ht="23.1" customHeight="1" x14ac:dyDescent="0.2">
      <c r="A30" s="25">
        <v>9</v>
      </c>
      <c r="B30" s="48" t="s">
        <v>88</v>
      </c>
      <c r="C30" s="51">
        <v>67491374</v>
      </c>
      <c r="D30" s="51">
        <v>81304750</v>
      </c>
      <c r="E30" s="51">
        <f t="shared" si="2"/>
        <v>13813376</v>
      </c>
      <c r="F30" s="70">
        <f t="shared" si="3"/>
        <v>0.20466876255919755</v>
      </c>
    </row>
    <row r="31" spans="1:7" ht="23.1" customHeight="1" x14ac:dyDescent="0.25">
      <c r="A31" s="29"/>
      <c r="B31" s="71" t="s">
        <v>89</v>
      </c>
      <c r="C31" s="27">
        <f>SUM(C22:C30)</f>
        <v>305925000</v>
      </c>
      <c r="D31" s="27">
        <f>SUM(D22:D30)</f>
        <v>312559000</v>
      </c>
      <c r="E31" s="27">
        <f t="shared" si="2"/>
        <v>6634000</v>
      </c>
      <c r="F31" s="28">
        <f t="shared" si="3"/>
        <v>2.1685053526191059E-2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9648000</v>
      </c>
      <c r="D33" s="27">
        <f>+D19-D31</f>
        <v>11929000</v>
      </c>
      <c r="E33" s="27">
        <f>D33-C33</f>
        <v>2281000</v>
      </c>
      <c r="F33" s="28">
        <f>IF(C33=0,0,E33/C33)</f>
        <v>0.23642205638474295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751000</v>
      </c>
      <c r="D36" s="51">
        <v>237000</v>
      </c>
      <c r="E36" s="51">
        <f>D36-C36</f>
        <v>-514000</v>
      </c>
      <c r="F36" s="70">
        <f>IF(C36=0,0,E36/C36)</f>
        <v>-0.68442077230359522</v>
      </c>
    </row>
    <row r="37" spans="1:6" ht="23.1" customHeight="1" x14ac:dyDescent="0.2">
      <c r="A37" s="44">
        <v>2</v>
      </c>
      <c r="B37" s="48" t="s">
        <v>93</v>
      </c>
      <c r="C37" s="51">
        <v>4117000</v>
      </c>
      <c r="D37" s="51">
        <v>1780000</v>
      </c>
      <c r="E37" s="51">
        <f>D37-C37</f>
        <v>-2337000</v>
      </c>
      <c r="F37" s="70">
        <f>IF(C37=0,0,E37/C37)</f>
        <v>-0.56764634442555262</v>
      </c>
    </row>
    <row r="38" spans="1:6" ht="23.1" customHeight="1" x14ac:dyDescent="0.2">
      <c r="A38" s="44">
        <v>3</v>
      </c>
      <c r="B38" s="48" t="s">
        <v>94</v>
      </c>
      <c r="C38" s="51">
        <v>-4485000</v>
      </c>
      <c r="D38" s="51">
        <v>-4240000</v>
      </c>
      <c r="E38" s="51">
        <f>D38-C38</f>
        <v>245000</v>
      </c>
      <c r="F38" s="70">
        <f>IF(C38=0,0,E38/C38)</f>
        <v>-5.4626532887402456E-2</v>
      </c>
    </row>
    <row r="39" spans="1:6" ht="23.1" customHeight="1" x14ac:dyDescent="0.25">
      <c r="A39" s="20"/>
      <c r="B39" s="71" t="s">
        <v>95</v>
      </c>
      <c r="C39" s="27">
        <f>SUM(C36:C38)</f>
        <v>383000</v>
      </c>
      <c r="D39" s="27">
        <f>SUM(D36:D38)</f>
        <v>-2223000</v>
      </c>
      <c r="E39" s="27">
        <f>D39-C39</f>
        <v>-2606000</v>
      </c>
      <c r="F39" s="28">
        <f>IF(C39=0,0,E39/C39)</f>
        <v>-6.804177545691906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10031000</v>
      </c>
      <c r="D41" s="27">
        <f>D33+D39</f>
        <v>9706000</v>
      </c>
      <c r="E41" s="27">
        <f>D41-C41</f>
        <v>-325000</v>
      </c>
      <c r="F41" s="28">
        <f>IF(C41=0,0,E41/C41)</f>
        <v>-3.2399561359784668E-2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-2162000</v>
      </c>
      <c r="D44" s="51">
        <v>7990000</v>
      </c>
      <c r="E44" s="51">
        <f>D44-C44</f>
        <v>10152000</v>
      </c>
      <c r="F44" s="70">
        <f>IF(C44=0,0,E44/C44)</f>
        <v>-4.6956521739130439</v>
      </c>
    </row>
    <row r="45" spans="1:6" ht="23.1" customHeight="1" x14ac:dyDescent="0.2">
      <c r="A45" s="44"/>
      <c r="B45" s="48" t="s">
        <v>99</v>
      </c>
      <c r="C45" s="51">
        <v>-1847000</v>
      </c>
      <c r="D45" s="51">
        <v>-1713000</v>
      </c>
      <c r="E45" s="51">
        <f>D45-C45</f>
        <v>134000</v>
      </c>
      <c r="F45" s="70">
        <f>IF(C45=0,0,E45/C45)</f>
        <v>-7.2550081212777479E-2</v>
      </c>
    </row>
    <row r="46" spans="1:6" ht="23.1" customHeight="1" x14ac:dyDescent="0.25">
      <c r="A46" s="20"/>
      <c r="B46" s="74" t="s">
        <v>100</v>
      </c>
      <c r="C46" s="27">
        <f>SUM(C44:C45)</f>
        <v>-4009000</v>
      </c>
      <c r="D46" s="27">
        <f>SUM(D44:D45)</f>
        <v>6277000</v>
      </c>
      <c r="E46" s="27">
        <f>D46-C46</f>
        <v>10286000</v>
      </c>
      <c r="F46" s="28">
        <f>IF(C46=0,0,E46/C46)</f>
        <v>-2.5657271139935145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6022000</v>
      </c>
      <c r="D48" s="27">
        <f>D41+D46</f>
        <v>15983000</v>
      </c>
      <c r="E48" s="27">
        <f>D48-C48</f>
        <v>9961000</v>
      </c>
      <c r="F48" s="28">
        <f>IF(C48=0,0,E48/C48)</f>
        <v>1.6541016273663234</v>
      </c>
    </row>
    <row r="49" spans="1:6" ht="23.1" customHeight="1" x14ac:dyDescent="0.2">
      <c r="A49" s="44"/>
      <c r="B49" s="48" t="s">
        <v>102</v>
      </c>
      <c r="C49" s="51">
        <v>2260000</v>
      </c>
      <c r="D49" s="51">
        <v>2360000</v>
      </c>
      <c r="E49" s="51">
        <f>D49-C49</f>
        <v>100000</v>
      </c>
      <c r="F49" s="70">
        <f>IF(C49=0,0,E49/C49)</f>
        <v>4.4247787610619468E-2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FILING&amp;RGREENWICH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7.855468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201049875</v>
      </c>
      <c r="D14" s="97">
        <v>192021956</v>
      </c>
      <c r="E14" s="97">
        <f t="shared" ref="E14:E25" si="0">D14-C14</f>
        <v>-9027919</v>
      </c>
      <c r="F14" s="98">
        <f t="shared" ref="F14:F25" si="1">IF(C14=0,0,E14/C14)</f>
        <v>-4.4903877706962018E-2</v>
      </c>
    </row>
    <row r="15" spans="1:6" ht="18" customHeight="1" x14ac:dyDescent="0.25">
      <c r="A15" s="99">
        <v>2</v>
      </c>
      <c r="B15" s="100" t="s">
        <v>113</v>
      </c>
      <c r="C15" s="97">
        <v>19420686</v>
      </c>
      <c r="D15" s="97">
        <v>21174964</v>
      </c>
      <c r="E15" s="97">
        <f t="shared" si="0"/>
        <v>1754278</v>
      </c>
      <c r="F15" s="98">
        <f t="shared" si="1"/>
        <v>9.0330382768147324E-2</v>
      </c>
    </row>
    <row r="16" spans="1:6" ht="18" customHeight="1" x14ac:dyDescent="0.25">
      <c r="A16" s="99">
        <v>3</v>
      </c>
      <c r="B16" s="100" t="s">
        <v>114</v>
      </c>
      <c r="C16" s="97">
        <v>8460492</v>
      </c>
      <c r="D16" s="97">
        <v>10947058</v>
      </c>
      <c r="E16" s="97">
        <f t="shared" si="0"/>
        <v>2486566</v>
      </c>
      <c r="F16" s="98">
        <f t="shared" si="1"/>
        <v>0.29390323872417823</v>
      </c>
    </row>
    <row r="17" spans="1:6" ht="18" customHeight="1" x14ac:dyDescent="0.25">
      <c r="A17" s="99">
        <v>4</v>
      </c>
      <c r="B17" s="100" t="s">
        <v>115</v>
      </c>
      <c r="C17" s="97">
        <v>3027509</v>
      </c>
      <c r="D17" s="97">
        <v>806776</v>
      </c>
      <c r="E17" s="97">
        <f t="shared" si="0"/>
        <v>-2220733</v>
      </c>
      <c r="F17" s="98">
        <f t="shared" si="1"/>
        <v>-0.73351821580051457</v>
      </c>
    </row>
    <row r="18" spans="1:6" ht="18" customHeight="1" x14ac:dyDescent="0.25">
      <c r="A18" s="99">
        <v>5</v>
      </c>
      <c r="B18" s="100" t="s">
        <v>116</v>
      </c>
      <c r="C18" s="97">
        <v>74098</v>
      </c>
      <c r="D18" s="97">
        <v>93179</v>
      </c>
      <c r="E18" s="97">
        <f t="shared" si="0"/>
        <v>19081</v>
      </c>
      <c r="F18" s="98">
        <f t="shared" si="1"/>
        <v>0.25751032416529462</v>
      </c>
    </row>
    <row r="19" spans="1:6" ht="18" customHeight="1" x14ac:dyDescent="0.25">
      <c r="A19" s="99">
        <v>6</v>
      </c>
      <c r="B19" s="100" t="s">
        <v>117</v>
      </c>
      <c r="C19" s="97">
        <v>62538172</v>
      </c>
      <c r="D19" s="97">
        <v>63494501</v>
      </c>
      <c r="E19" s="97">
        <f t="shared" si="0"/>
        <v>956329</v>
      </c>
      <c r="F19" s="98">
        <f t="shared" si="1"/>
        <v>1.5291924426572621E-2</v>
      </c>
    </row>
    <row r="20" spans="1:6" ht="18" customHeight="1" x14ac:dyDescent="0.25">
      <c r="A20" s="99">
        <v>7</v>
      </c>
      <c r="B20" s="100" t="s">
        <v>118</v>
      </c>
      <c r="C20" s="97">
        <v>106772858</v>
      </c>
      <c r="D20" s="97">
        <v>109827008</v>
      </c>
      <c r="E20" s="97">
        <f t="shared" si="0"/>
        <v>3054150</v>
      </c>
      <c r="F20" s="98">
        <f t="shared" si="1"/>
        <v>2.8604179537837227E-2</v>
      </c>
    </row>
    <row r="21" spans="1:6" ht="18" customHeight="1" x14ac:dyDescent="0.25">
      <c r="A21" s="99">
        <v>8</v>
      </c>
      <c r="B21" s="100" t="s">
        <v>119</v>
      </c>
      <c r="C21" s="97">
        <v>3667218</v>
      </c>
      <c r="D21" s="97">
        <v>2031904</v>
      </c>
      <c r="E21" s="97">
        <f t="shared" si="0"/>
        <v>-1635314</v>
      </c>
      <c r="F21" s="98">
        <f t="shared" si="1"/>
        <v>-0.44592767596581384</v>
      </c>
    </row>
    <row r="22" spans="1:6" ht="18" customHeight="1" x14ac:dyDescent="0.25">
      <c r="A22" s="99">
        <v>9</v>
      </c>
      <c r="B22" s="100" t="s">
        <v>120</v>
      </c>
      <c r="C22" s="97">
        <v>7142474</v>
      </c>
      <c r="D22" s="97">
        <v>11328527</v>
      </c>
      <c r="E22" s="97">
        <f t="shared" si="0"/>
        <v>4186053</v>
      </c>
      <c r="F22" s="98">
        <f t="shared" si="1"/>
        <v>0.58607885726990394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11396853</v>
      </c>
      <c r="D24" s="97">
        <v>10773013</v>
      </c>
      <c r="E24" s="97">
        <f t="shared" si="0"/>
        <v>-623840</v>
      </c>
      <c r="F24" s="98">
        <f t="shared" si="1"/>
        <v>-5.473791756373448E-2</v>
      </c>
    </row>
    <row r="25" spans="1:6" ht="18" customHeight="1" x14ac:dyDescent="0.25">
      <c r="A25" s="101"/>
      <c r="B25" s="102" t="s">
        <v>123</v>
      </c>
      <c r="C25" s="103">
        <f>SUM(C14:C24)</f>
        <v>423550235</v>
      </c>
      <c r="D25" s="103">
        <f>SUM(D14:D24)</f>
        <v>422498886</v>
      </c>
      <c r="E25" s="103">
        <f t="shared" si="0"/>
        <v>-1051349</v>
      </c>
      <c r="F25" s="104">
        <f t="shared" si="1"/>
        <v>-2.4822297643159142E-3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133046353</v>
      </c>
      <c r="D27" s="97">
        <v>147232824</v>
      </c>
      <c r="E27" s="97">
        <f t="shared" ref="E27:E38" si="2">D27-C27</f>
        <v>14186471</v>
      </c>
      <c r="F27" s="98">
        <f t="shared" ref="F27:F38" si="3">IF(C27=0,0,E27/C27)</f>
        <v>0.10662803361472073</v>
      </c>
    </row>
    <row r="28" spans="1:6" ht="18" customHeight="1" x14ac:dyDescent="0.25">
      <c r="A28" s="99">
        <v>2</v>
      </c>
      <c r="B28" s="100" t="s">
        <v>113</v>
      </c>
      <c r="C28" s="97">
        <v>11490133</v>
      </c>
      <c r="D28" s="97">
        <v>11914167</v>
      </c>
      <c r="E28" s="97">
        <f t="shared" si="2"/>
        <v>424034</v>
      </c>
      <c r="F28" s="98">
        <f t="shared" si="3"/>
        <v>3.6904185530315443E-2</v>
      </c>
    </row>
    <row r="29" spans="1:6" ht="18" customHeight="1" x14ac:dyDescent="0.25">
      <c r="A29" s="99">
        <v>3</v>
      </c>
      <c r="B29" s="100" t="s">
        <v>114</v>
      </c>
      <c r="C29" s="97">
        <v>8050258</v>
      </c>
      <c r="D29" s="97">
        <v>16835183</v>
      </c>
      <c r="E29" s="97">
        <f t="shared" si="2"/>
        <v>8784925</v>
      </c>
      <c r="F29" s="98">
        <f t="shared" si="3"/>
        <v>1.0912600565099901</v>
      </c>
    </row>
    <row r="30" spans="1:6" ht="18" customHeight="1" x14ac:dyDescent="0.25">
      <c r="A30" s="99">
        <v>4</v>
      </c>
      <c r="B30" s="100" t="s">
        <v>115</v>
      </c>
      <c r="C30" s="97">
        <v>11780627</v>
      </c>
      <c r="D30" s="97">
        <v>3015655</v>
      </c>
      <c r="E30" s="97">
        <f t="shared" si="2"/>
        <v>-8764972</v>
      </c>
      <c r="F30" s="98">
        <f t="shared" si="3"/>
        <v>-0.74401574720938024</v>
      </c>
    </row>
    <row r="31" spans="1:6" ht="18" customHeight="1" x14ac:dyDescent="0.25">
      <c r="A31" s="99">
        <v>5</v>
      </c>
      <c r="B31" s="100" t="s">
        <v>116</v>
      </c>
      <c r="C31" s="97">
        <v>363756</v>
      </c>
      <c r="D31" s="97">
        <v>456236</v>
      </c>
      <c r="E31" s="97">
        <f t="shared" si="2"/>
        <v>92480</v>
      </c>
      <c r="F31" s="98">
        <f t="shared" si="3"/>
        <v>0.25423635623879742</v>
      </c>
    </row>
    <row r="32" spans="1:6" ht="18" customHeight="1" x14ac:dyDescent="0.25">
      <c r="A32" s="99">
        <v>6</v>
      </c>
      <c r="B32" s="100" t="s">
        <v>117</v>
      </c>
      <c r="C32" s="97">
        <v>120972876</v>
      </c>
      <c r="D32" s="97">
        <v>124364850</v>
      </c>
      <c r="E32" s="97">
        <f t="shared" si="2"/>
        <v>3391974</v>
      </c>
      <c r="F32" s="98">
        <f t="shared" si="3"/>
        <v>2.8039128374529178E-2</v>
      </c>
    </row>
    <row r="33" spans="1:6" ht="18" customHeight="1" x14ac:dyDescent="0.25">
      <c r="A33" s="99">
        <v>7</v>
      </c>
      <c r="B33" s="100" t="s">
        <v>118</v>
      </c>
      <c r="C33" s="97">
        <v>195434323</v>
      </c>
      <c r="D33" s="97">
        <v>198823012</v>
      </c>
      <c r="E33" s="97">
        <f t="shared" si="2"/>
        <v>3388689</v>
      </c>
      <c r="F33" s="98">
        <f t="shared" si="3"/>
        <v>1.733927259031158E-2</v>
      </c>
    </row>
    <row r="34" spans="1:6" ht="18" customHeight="1" x14ac:dyDescent="0.25">
      <c r="A34" s="99">
        <v>8</v>
      </c>
      <c r="B34" s="100" t="s">
        <v>119</v>
      </c>
      <c r="C34" s="97">
        <v>5602878</v>
      </c>
      <c r="D34" s="97">
        <v>4288170</v>
      </c>
      <c r="E34" s="97">
        <f t="shared" si="2"/>
        <v>-1314708</v>
      </c>
      <c r="F34" s="98">
        <f t="shared" si="3"/>
        <v>-0.23464869304668065</v>
      </c>
    </row>
    <row r="35" spans="1:6" ht="18" customHeight="1" x14ac:dyDescent="0.25">
      <c r="A35" s="99">
        <v>9</v>
      </c>
      <c r="B35" s="100" t="s">
        <v>120</v>
      </c>
      <c r="C35" s="97">
        <v>26201618</v>
      </c>
      <c r="D35" s="97">
        <v>32051536</v>
      </c>
      <c r="E35" s="97">
        <f t="shared" si="2"/>
        <v>5849918</v>
      </c>
      <c r="F35" s="98">
        <f t="shared" si="3"/>
        <v>0.22326552505268948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8506404</v>
      </c>
      <c r="D37" s="97">
        <v>10130526</v>
      </c>
      <c r="E37" s="97">
        <f t="shared" si="2"/>
        <v>1624122</v>
      </c>
      <c r="F37" s="98">
        <f t="shared" si="3"/>
        <v>0.19092932806859397</v>
      </c>
    </row>
    <row r="38" spans="1:6" ht="18" customHeight="1" x14ac:dyDescent="0.25">
      <c r="A38" s="101"/>
      <c r="B38" s="102" t="s">
        <v>126</v>
      </c>
      <c r="C38" s="103">
        <f>SUM(C27:C37)</f>
        <v>521449226</v>
      </c>
      <c r="D38" s="103">
        <f>SUM(D27:D37)</f>
        <v>549112159</v>
      </c>
      <c r="E38" s="103">
        <f t="shared" si="2"/>
        <v>27662933</v>
      </c>
      <c r="F38" s="104">
        <f t="shared" si="3"/>
        <v>5.3050098879617473E-2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334096228</v>
      </c>
      <c r="D41" s="103">
        <f t="shared" si="4"/>
        <v>339254780</v>
      </c>
      <c r="E41" s="107">
        <f t="shared" ref="E41:E52" si="5">D41-C41</f>
        <v>5158552</v>
      </c>
      <c r="F41" s="108">
        <f t="shared" ref="F41:F52" si="6">IF(C41=0,0,E41/C41)</f>
        <v>1.5440317991258494E-2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30910819</v>
      </c>
      <c r="D42" s="103">
        <f t="shared" si="4"/>
        <v>33089131</v>
      </c>
      <c r="E42" s="107">
        <f t="shared" si="5"/>
        <v>2178312</v>
      </c>
      <c r="F42" s="108">
        <f t="shared" si="6"/>
        <v>7.0470860057121096E-2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16510750</v>
      </c>
      <c r="D43" s="103">
        <f t="shared" si="4"/>
        <v>27782241</v>
      </c>
      <c r="E43" s="107">
        <f t="shared" si="5"/>
        <v>11271491</v>
      </c>
      <c r="F43" s="108">
        <f t="shared" si="6"/>
        <v>0.68267589297881681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14808136</v>
      </c>
      <c r="D44" s="103">
        <f t="shared" si="4"/>
        <v>3822431</v>
      </c>
      <c r="E44" s="107">
        <f t="shared" si="5"/>
        <v>-10985705</v>
      </c>
      <c r="F44" s="108">
        <f t="shared" si="6"/>
        <v>-0.74186953712472659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437854</v>
      </c>
      <c r="D45" s="103">
        <f t="shared" si="4"/>
        <v>549415</v>
      </c>
      <c r="E45" s="107">
        <f t="shared" si="5"/>
        <v>111561</v>
      </c>
      <c r="F45" s="108">
        <f t="shared" si="6"/>
        <v>0.25479040958858434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183511048</v>
      </c>
      <c r="D46" s="103">
        <f t="shared" si="4"/>
        <v>187859351</v>
      </c>
      <c r="E46" s="107">
        <f t="shared" si="5"/>
        <v>4348303</v>
      </c>
      <c r="F46" s="108">
        <f t="shared" si="6"/>
        <v>2.3695047504714812E-2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302207181</v>
      </c>
      <c r="D47" s="103">
        <f t="shared" si="4"/>
        <v>308650020</v>
      </c>
      <c r="E47" s="107">
        <f t="shared" si="5"/>
        <v>6442839</v>
      </c>
      <c r="F47" s="108">
        <f t="shared" si="6"/>
        <v>2.1319278313244316E-2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9270096</v>
      </c>
      <c r="D48" s="103">
        <f t="shared" si="4"/>
        <v>6320074</v>
      </c>
      <c r="E48" s="107">
        <f t="shared" si="5"/>
        <v>-2950022</v>
      </c>
      <c r="F48" s="108">
        <f t="shared" si="6"/>
        <v>-0.3182299298734339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33344092</v>
      </c>
      <c r="D49" s="103">
        <f t="shared" si="4"/>
        <v>43380063</v>
      </c>
      <c r="E49" s="107">
        <f t="shared" si="5"/>
        <v>10035971</v>
      </c>
      <c r="F49" s="108">
        <f t="shared" si="6"/>
        <v>0.3009819850545038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19903257</v>
      </c>
      <c r="D51" s="103">
        <f t="shared" si="4"/>
        <v>20903539</v>
      </c>
      <c r="E51" s="107">
        <f t="shared" si="5"/>
        <v>1000282</v>
      </c>
      <c r="F51" s="108">
        <f t="shared" si="6"/>
        <v>5.0257201622829872E-2</v>
      </c>
    </row>
    <row r="52" spans="1:6" ht="18.75" customHeight="1" thickBot="1" x14ac:dyDescent="0.3">
      <c r="A52" s="109"/>
      <c r="B52" s="110" t="s">
        <v>128</v>
      </c>
      <c r="C52" s="111">
        <f>SUM(C41:C51)</f>
        <v>944999461</v>
      </c>
      <c r="D52" s="112">
        <f>SUM(D41:D51)</f>
        <v>971611045</v>
      </c>
      <c r="E52" s="111">
        <f t="shared" si="5"/>
        <v>26611584</v>
      </c>
      <c r="F52" s="113">
        <f t="shared" si="6"/>
        <v>2.816042241107691E-2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47570334</v>
      </c>
      <c r="D57" s="97">
        <v>41914288</v>
      </c>
      <c r="E57" s="97">
        <f t="shared" ref="E57:E68" si="7">D57-C57</f>
        <v>-5656046</v>
      </c>
      <c r="F57" s="98">
        <f t="shared" ref="F57:F68" si="8">IF(C57=0,0,E57/C57)</f>
        <v>-0.11889859760076521</v>
      </c>
    </row>
    <row r="58" spans="1:6" ht="18" customHeight="1" x14ac:dyDescent="0.25">
      <c r="A58" s="99">
        <v>2</v>
      </c>
      <c r="B58" s="100" t="s">
        <v>113</v>
      </c>
      <c r="C58" s="97">
        <v>4491654</v>
      </c>
      <c r="D58" s="97">
        <v>4763710</v>
      </c>
      <c r="E58" s="97">
        <f t="shared" si="7"/>
        <v>272056</v>
      </c>
      <c r="F58" s="98">
        <f t="shared" si="8"/>
        <v>6.0569224610800387E-2</v>
      </c>
    </row>
    <row r="59" spans="1:6" ht="18" customHeight="1" x14ac:dyDescent="0.25">
      <c r="A59" s="99">
        <v>3</v>
      </c>
      <c r="B59" s="100" t="s">
        <v>114</v>
      </c>
      <c r="C59" s="97">
        <v>2429570</v>
      </c>
      <c r="D59" s="97">
        <v>1081141</v>
      </c>
      <c r="E59" s="97">
        <f t="shared" si="7"/>
        <v>-1348429</v>
      </c>
      <c r="F59" s="98">
        <f t="shared" si="8"/>
        <v>-0.55500726466000161</v>
      </c>
    </row>
    <row r="60" spans="1:6" ht="18" customHeight="1" x14ac:dyDescent="0.25">
      <c r="A60" s="99">
        <v>4</v>
      </c>
      <c r="B60" s="100" t="s">
        <v>115</v>
      </c>
      <c r="C60" s="97">
        <v>835635</v>
      </c>
      <c r="D60" s="97">
        <v>102979</v>
      </c>
      <c r="E60" s="97">
        <f t="shared" si="7"/>
        <v>-732656</v>
      </c>
      <c r="F60" s="98">
        <f t="shared" si="8"/>
        <v>-0.87676557348603157</v>
      </c>
    </row>
    <row r="61" spans="1:6" ht="18" customHeight="1" x14ac:dyDescent="0.25">
      <c r="A61" s="99">
        <v>5</v>
      </c>
      <c r="B61" s="100" t="s">
        <v>116</v>
      </c>
      <c r="C61" s="97">
        <v>20081</v>
      </c>
      <c r="D61" s="97">
        <v>60268</v>
      </c>
      <c r="E61" s="97">
        <f t="shared" si="7"/>
        <v>40187</v>
      </c>
      <c r="F61" s="98">
        <f t="shared" si="8"/>
        <v>2.0012449579204223</v>
      </c>
    </row>
    <row r="62" spans="1:6" ht="18" customHeight="1" x14ac:dyDescent="0.25">
      <c r="A62" s="99">
        <v>6</v>
      </c>
      <c r="B62" s="100" t="s">
        <v>117</v>
      </c>
      <c r="C62" s="97">
        <v>23244462</v>
      </c>
      <c r="D62" s="97">
        <v>26767618</v>
      </c>
      <c r="E62" s="97">
        <f t="shared" si="7"/>
        <v>3523156</v>
      </c>
      <c r="F62" s="98">
        <f t="shared" si="8"/>
        <v>0.15156969432116776</v>
      </c>
    </row>
    <row r="63" spans="1:6" ht="18" customHeight="1" x14ac:dyDescent="0.25">
      <c r="A63" s="99">
        <v>7</v>
      </c>
      <c r="B63" s="100" t="s">
        <v>118</v>
      </c>
      <c r="C63" s="97">
        <v>47698505</v>
      </c>
      <c r="D63" s="97">
        <v>45384957</v>
      </c>
      <c r="E63" s="97">
        <f t="shared" si="7"/>
        <v>-2313548</v>
      </c>
      <c r="F63" s="98">
        <f t="shared" si="8"/>
        <v>-4.8503574692749803E-2</v>
      </c>
    </row>
    <row r="64" spans="1:6" ht="18" customHeight="1" x14ac:dyDescent="0.25">
      <c r="A64" s="99">
        <v>8</v>
      </c>
      <c r="B64" s="100" t="s">
        <v>119</v>
      </c>
      <c r="C64" s="97">
        <v>2217043</v>
      </c>
      <c r="D64" s="97">
        <v>1192310</v>
      </c>
      <c r="E64" s="97">
        <f t="shared" si="7"/>
        <v>-1024733</v>
      </c>
      <c r="F64" s="98">
        <f t="shared" si="8"/>
        <v>-0.46220709296121004</v>
      </c>
    </row>
    <row r="65" spans="1:6" ht="18" customHeight="1" x14ac:dyDescent="0.25">
      <c r="A65" s="99">
        <v>9</v>
      </c>
      <c r="B65" s="100" t="s">
        <v>120</v>
      </c>
      <c r="C65" s="97">
        <v>1006552</v>
      </c>
      <c r="D65" s="97">
        <v>3467346</v>
      </c>
      <c r="E65" s="97">
        <f t="shared" si="7"/>
        <v>2460794</v>
      </c>
      <c r="F65" s="98">
        <f t="shared" si="8"/>
        <v>2.4447758287698997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2239666</v>
      </c>
      <c r="D67" s="97">
        <v>2521581</v>
      </c>
      <c r="E67" s="97">
        <f t="shared" si="7"/>
        <v>281915</v>
      </c>
      <c r="F67" s="98">
        <f t="shared" si="8"/>
        <v>0.12587367937897884</v>
      </c>
    </row>
    <row r="68" spans="1:6" ht="18" customHeight="1" x14ac:dyDescent="0.25">
      <c r="A68" s="101"/>
      <c r="B68" s="102" t="s">
        <v>131</v>
      </c>
      <c r="C68" s="103">
        <f>SUM(C57:C67)</f>
        <v>131753502</v>
      </c>
      <c r="D68" s="103">
        <f>SUM(D57:D67)</f>
        <v>127256198</v>
      </c>
      <c r="E68" s="103">
        <f t="shared" si="7"/>
        <v>-4497304</v>
      </c>
      <c r="F68" s="104">
        <f t="shared" si="8"/>
        <v>-3.4134227415070911E-2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22150758</v>
      </c>
      <c r="D70" s="97">
        <v>26435744</v>
      </c>
      <c r="E70" s="97">
        <f t="shared" ref="E70:E81" si="9">D70-C70</f>
        <v>4284986</v>
      </c>
      <c r="F70" s="98">
        <f t="shared" ref="F70:F81" si="10">IF(C70=0,0,E70/C70)</f>
        <v>0.19344647257669467</v>
      </c>
    </row>
    <row r="71" spans="1:6" ht="18" customHeight="1" x14ac:dyDescent="0.25">
      <c r="A71" s="99">
        <v>2</v>
      </c>
      <c r="B71" s="100" t="s">
        <v>113</v>
      </c>
      <c r="C71" s="97">
        <v>3856863</v>
      </c>
      <c r="D71" s="97">
        <v>3648411</v>
      </c>
      <c r="E71" s="97">
        <f t="shared" si="9"/>
        <v>-208452</v>
      </c>
      <c r="F71" s="98">
        <f t="shared" si="10"/>
        <v>-5.4047032523581992E-2</v>
      </c>
    </row>
    <row r="72" spans="1:6" ht="18" customHeight="1" x14ac:dyDescent="0.25">
      <c r="A72" s="99">
        <v>3</v>
      </c>
      <c r="B72" s="100" t="s">
        <v>114</v>
      </c>
      <c r="C72" s="97">
        <v>1670983</v>
      </c>
      <c r="D72" s="97">
        <v>2419243</v>
      </c>
      <c r="E72" s="97">
        <f t="shared" si="9"/>
        <v>748260</v>
      </c>
      <c r="F72" s="98">
        <f t="shared" si="10"/>
        <v>0.44779629714964186</v>
      </c>
    </row>
    <row r="73" spans="1:6" ht="18" customHeight="1" x14ac:dyDescent="0.25">
      <c r="A73" s="99">
        <v>4</v>
      </c>
      <c r="B73" s="100" t="s">
        <v>115</v>
      </c>
      <c r="C73" s="97">
        <v>1957946</v>
      </c>
      <c r="D73" s="97">
        <v>282069</v>
      </c>
      <c r="E73" s="97">
        <f t="shared" si="9"/>
        <v>-1675877</v>
      </c>
      <c r="F73" s="98">
        <f t="shared" si="10"/>
        <v>-0.85593627199115807</v>
      </c>
    </row>
    <row r="74" spans="1:6" ht="18" customHeight="1" x14ac:dyDescent="0.25">
      <c r="A74" s="99">
        <v>5</v>
      </c>
      <c r="B74" s="100" t="s">
        <v>116</v>
      </c>
      <c r="C74" s="97">
        <v>127693</v>
      </c>
      <c r="D74" s="97">
        <v>279344</v>
      </c>
      <c r="E74" s="97">
        <f t="shared" si="9"/>
        <v>151651</v>
      </c>
      <c r="F74" s="98">
        <f t="shared" si="10"/>
        <v>1.1876218743392355</v>
      </c>
    </row>
    <row r="75" spans="1:6" ht="18" customHeight="1" x14ac:dyDescent="0.25">
      <c r="A75" s="99">
        <v>6</v>
      </c>
      <c r="B75" s="100" t="s">
        <v>117</v>
      </c>
      <c r="C75" s="97">
        <v>45052861</v>
      </c>
      <c r="D75" s="97">
        <v>56564968</v>
      </c>
      <c r="E75" s="97">
        <f t="shared" si="9"/>
        <v>11512107</v>
      </c>
      <c r="F75" s="98">
        <f t="shared" si="10"/>
        <v>0.25552443828151111</v>
      </c>
    </row>
    <row r="76" spans="1:6" ht="18" customHeight="1" x14ac:dyDescent="0.25">
      <c r="A76" s="99">
        <v>7</v>
      </c>
      <c r="B76" s="100" t="s">
        <v>118</v>
      </c>
      <c r="C76" s="97">
        <v>76576379</v>
      </c>
      <c r="D76" s="97">
        <v>75587020</v>
      </c>
      <c r="E76" s="97">
        <f t="shared" si="9"/>
        <v>-989359</v>
      </c>
      <c r="F76" s="98">
        <f t="shared" si="10"/>
        <v>-1.2919897923091924E-2</v>
      </c>
    </row>
    <row r="77" spans="1:6" ht="18" customHeight="1" x14ac:dyDescent="0.25">
      <c r="A77" s="99">
        <v>8</v>
      </c>
      <c r="B77" s="100" t="s">
        <v>119</v>
      </c>
      <c r="C77" s="97">
        <v>3783574</v>
      </c>
      <c r="D77" s="97">
        <v>2551213</v>
      </c>
      <c r="E77" s="97">
        <f t="shared" si="9"/>
        <v>-1232361</v>
      </c>
      <c r="F77" s="98">
        <f t="shared" si="10"/>
        <v>-0.32571346562800146</v>
      </c>
    </row>
    <row r="78" spans="1:6" ht="18" customHeight="1" x14ac:dyDescent="0.25">
      <c r="A78" s="99">
        <v>9</v>
      </c>
      <c r="B78" s="100" t="s">
        <v>120</v>
      </c>
      <c r="C78" s="97">
        <v>3692459</v>
      </c>
      <c r="D78" s="97">
        <v>9810082</v>
      </c>
      <c r="E78" s="97">
        <f t="shared" si="9"/>
        <v>6117623</v>
      </c>
      <c r="F78" s="98">
        <f t="shared" si="10"/>
        <v>1.6567883353613404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679764</v>
      </c>
      <c r="D80" s="97">
        <v>721352</v>
      </c>
      <c r="E80" s="97">
        <f t="shared" si="9"/>
        <v>41588</v>
      </c>
      <c r="F80" s="98">
        <f t="shared" si="10"/>
        <v>6.1180056607881561E-2</v>
      </c>
    </row>
    <row r="81" spans="1:6" ht="18" customHeight="1" x14ac:dyDescent="0.25">
      <c r="A81" s="101"/>
      <c r="B81" s="102" t="s">
        <v>133</v>
      </c>
      <c r="C81" s="103">
        <f>SUM(C70:C80)</f>
        <v>159549280</v>
      </c>
      <c r="D81" s="103">
        <f>SUM(D70:D80)</f>
        <v>178299446</v>
      </c>
      <c r="E81" s="103">
        <f t="shared" si="9"/>
        <v>18750166</v>
      </c>
      <c r="F81" s="104">
        <f t="shared" si="10"/>
        <v>0.11751959018555271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69721092</v>
      </c>
      <c r="D84" s="103">
        <f t="shared" si="11"/>
        <v>68350032</v>
      </c>
      <c r="E84" s="103">
        <f t="shared" ref="E84:E95" si="12">D84-C84</f>
        <v>-1371060</v>
      </c>
      <c r="F84" s="104">
        <f t="shared" ref="F84:F95" si="13">IF(C84=0,0,E84/C84)</f>
        <v>-1.9664924353164175E-2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8348517</v>
      </c>
      <c r="D85" s="103">
        <f t="shared" si="11"/>
        <v>8412121</v>
      </c>
      <c r="E85" s="103">
        <f t="shared" si="12"/>
        <v>63604</v>
      </c>
      <c r="F85" s="104">
        <f t="shared" si="13"/>
        <v>7.6185986085912025E-3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4100553</v>
      </c>
      <c r="D86" s="103">
        <f t="shared" si="11"/>
        <v>3500384</v>
      </c>
      <c r="E86" s="103">
        <f t="shared" si="12"/>
        <v>-600169</v>
      </c>
      <c r="F86" s="104">
        <f t="shared" si="13"/>
        <v>-0.14636294177882836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2793581</v>
      </c>
      <c r="D87" s="103">
        <f t="shared" si="11"/>
        <v>385048</v>
      </c>
      <c r="E87" s="103">
        <f t="shared" si="12"/>
        <v>-2408533</v>
      </c>
      <c r="F87" s="104">
        <f t="shared" si="13"/>
        <v>-0.86216687470311404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147774</v>
      </c>
      <c r="D88" s="103">
        <f t="shared" si="11"/>
        <v>339612</v>
      </c>
      <c r="E88" s="103">
        <f t="shared" si="12"/>
        <v>191838</v>
      </c>
      <c r="F88" s="104">
        <f t="shared" si="13"/>
        <v>1.2981850663851557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68297323</v>
      </c>
      <c r="D89" s="103">
        <f t="shared" si="11"/>
        <v>83332586</v>
      </c>
      <c r="E89" s="103">
        <f t="shared" si="12"/>
        <v>15035263</v>
      </c>
      <c r="F89" s="104">
        <f t="shared" si="13"/>
        <v>0.2201442507490374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124274884</v>
      </c>
      <c r="D90" s="103">
        <f t="shared" si="11"/>
        <v>120971977</v>
      </c>
      <c r="E90" s="103">
        <f t="shared" si="12"/>
        <v>-3302907</v>
      </c>
      <c r="F90" s="104">
        <f t="shared" si="13"/>
        <v>-2.6577429756442179E-2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6000617</v>
      </c>
      <c r="D91" s="103">
        <f t="shared" si="11"/>
        <v>3743523</v>
      </c>
      <c r="E91" s="103">
        <f t="shared" si="12"/>
        <v>-2257094</v>
      </c>
      <c r="F91" s="104">
        <f t="shared" si="13"/>
        <v>-0.37614365322765975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4699011</v>
      </c>
      <c r="D92" s="103">
        <f t="shared" si="11"/>
        <v>13277428</v>
      </c>
      <c r="E92" s="103">
        <f t="shared" si="12"/>
        <v>8578417</v>
      </c>
      <c r="F92" s="104">
        <f t="shared" si="13"/>
        <v>1.8255792548687373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2919430</v>
      </c>
      <c r="D94" s="103">
        <f t="shared" si="11"/>
        <v>3242933</v>
      </c>
      <c r="E94" s="103">
        <f t="shared" si="12"/>
        <v>323503</v>
      </c>
      <c r="F94" s="104">
        <f t="shared" si="13"/>
        <v>0.11081032941361842</v>
      </c>
    </row>
    <row r="95" spans="1:6" ht="18.75" customHeight="1" thickBot="1" x14ac:dyDescent="0.3">
      <c r="A95" s="115"/>
      <c r="B95" s="116" t="s">
        <v>134</v>
      </c>
      <c r="C95" s="112">
        <f>SUM(C84:C94)</f>
        <v>291302782</v>
      </c>
      <c r="D95" s="112">
        <f>SUM(D84:D94)</f>
        <v>305555644</v>
      </c>
      <c r="E95" s="112">
        <f t="shared" si="12"/>
        <v>14252862</v>
      </c>
      <c r="F95" s="113">
        <f t="shared" si="13"/>
        <v>4.8927998222825071E-2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4769</v>
      </c>
      <c r="D100" s="117">
        <v>4495</v>
      </c>
      <c r="E100" s="117">
        <f t="shared" ref="E100:E111" si="14">D100-C100</f>
        <v>-274</v>
      </c>
      <c r="F100" s="98">
        <f t="shared" ref="F100:F111" si="15">IF(C100=0,0,E100/C100)</f>
        <v>-5.74543929544978E-2</v>
      </c>
    </row>
    <row r="101" spans="1:6" ht="18" customHeight="1" x14ac:dyDescent="0.25">
      <c r="A101" s="99">
        <v>2</v>
      </c>
      <c r="B101" s="100" t="s">
        <v>113</v>
      </c>
      <c r="C101" s="117">
        <v>486</v>
      </c>
      <c r="D101" s="117">
        <v>489</v>
      </c>
      <c r="E101" s="117">
        <f t="shared" si="14"/>
        <v>3</v>
      </c>
      <c r="F101" s="98">
        <f t="shared" si="15"/>
        <v>6.1728395061728392E-3</v>
      </c>
    </row>
    <row r="102" spans="1:6" ht="18" customHeight="1" x14ac:dyDescent="0.25">
      <c r="A102" s="99">
        <v>3</v>
      </c>
      <c r="B102" s="100" t="s">
        <v>114</v>
      </c>
      <c r="C102" s="117">
        <v>289</v>
      </c>
      <c r="D102" s="117">
        <v>398</v>
      </c>
      <c r="E102" s="117">
        <f t="shared" si="14"/>
        <v>109</v>
      </c>
      <c r="F102" s="98">
        <f t="shared" si="15"/>
        <v>0.37716262975778547</v>
      </c>
    </row>
    <row r="103" spans="1:6" ht="18" customHeight="1" x14ac:dyDescent="0.25">
      <c r="A103" s="99">
        <v>4</v>
      </c>
      <c r="B103" s="100" t="s">
        <v>115</v>
      </c>
      <c r="C103" s="117">
        <v>156</v>
      </c>
      <c r="D103" s="117">
        <v>27</v>
      </c>
      <c r="E103" s="117">
        <f t="shared" si="14"/>
        <v>-129</v>
      </c>
      <c r="F103" s="98">
        <f t="shared" si="15"/>
        <v>-0.82692307692307687</v>
      </c>
    </row>
    <row r="104" spans="1:6" ht="18" customHeight="1" x14ac:dyDescent="0.25">
      <c r="A104" s="99">
        <v>5</v>
      </c>
      <c r="B104" s="100" t="s">
        <v>116</v>
      </c>
      <c r="C104" s="117">
        <v>4</v>
      </c>
      <c r="D104" s="117">
        <v>4</v>
      </c>
      <c r="E104" s="117">
        <f t="shared" si="14"/>
        <v>0</v>
      </c>
      <c r="F104" s="98">
        <f t="shared" si="15"/>
        <v>0</v>
      </c>
    </row>
    <row r="105" spans="1:6" ht="18" customHeight="1" x14ac:dyDescent="0.25">
      <c r="A105" s="99">
        <v>6</v>
      </c>
      <c r="B105" s="100" t="s">
        <v>117</v>
      </c>
      <c r="C105" s="117">
        <v>2572</v>
      </c>
      <c r="D105" s="117">
        <v>2491</v>
      </c>
      <c r="E105" s="117">
        <f t="shared" si="14"/>
        <v>-81</v>
      </c>
      <c r="F105" s="98">
        <f t="shared" si="15"/>
        <v>-3.1493001555209954E-2</v>
      </c>
    </row>
    <row r="106" spans="1:6" ht="18" customHeight="1" x14ac:dyDescent="0.25">
      <c r="A106" s="99">
        <v>7</v>
      </c>
      <c r="B106" s="100" t="s">
        <v>118</v>
      </c>
      <c r="C106" s="117">
        <v>4527</v>
      </c>
      <c r="D106" s="117">
        <v>4421</v>
      </c>
      <c r="E106" s="117">
        <f t="shared" si="14"/>
        <v>-106</v>
      </c>
      <c r="F106" s="98">
        <f t="shared" si="15"/>
        <v>-2.3415065164568146E-2</v>
      </c>
    </row>
    <row r="107" spans="1:6" ht="18" customHeight="1" x14ac:dyDescent="0.25">
      <c r="A107" s="99">
        <v>8</v>
      </c>
      <c r="B107" s="100" t="s">
        <v>119</v>
      </c>
      <c r="C107" s="117">
        <v>52</v>
      </c>
      <c r="D107" s="117">
        <v>35</v>
      </c>
      <c r="E107" s="117">
        <f t="shared" si="14"/>
        <v>-17</v>
      </c>
      <c r="F107" s="98">
        <f t="shared" si="15"/>
        <v>-0.32692307692307693</v>
      </c>
    </row>
    <row r="108" spans="1:6" ht="18" customHeight="1" x14ac:dyDescent="0.25">
      <c r="A108" s="99">
        <v>9</v>
      </c>
      <c r="B108" s="100" t="s">
        <v>120</v>
      </c>
      <c r="C108" s="117">
        <v>290</v>
      </c>
      <c r="D108" s="117">
        <v>370</v>
      </c>
      <c r="E108" s="117">
        <f t="shared" si="14"/>
        <v>80</v>
      </c>
      <c r="F108" s="98">
        <f t="shared" si="15"/>
        <v>0.27586206896551724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334</v>
      </c>
      <c r="D110" s="117">
        <v>297</v>
      </c>
      <c r="E110" s="117">
        <f t="shared" si="14"/>
        <v>-37</v>
      </c>
      <c r="F110" s="98">
        <f t="shared" si="15"/>
        <v>-0.11077844311377245</v>
      </c>
    </row>
    <row r="111" spans="1:6" ht="18" customHeight="1" x14ac:dyDescent="0.25">
      <c r="A111" s="101"/>
      <c r="B111" s="102" t="s">
        <v>138</v>
      </c>
      <c r="C111" s="118">
        <f>SUM(C100:C110)</f>
        <v>13479</v>
      </c>
      <c r="D111" s="118">
        <f>SUM(D100:D110)</f>
        <v>13027</v>
      </c>
      <c r="E111" s="118">
        <f t="shared" si="14"/>
        <v>-452</v>
      </c>
      <c r="F111" s="104">
        <f t="shared" si="15"/>
        <v>-3.3533644929149044E-2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22667</v>
      </c>
      <c r="D113" s="117">
        <v>21234</v>
      </c>
      <c r="E113" s="117">
        <f t="shared" ref="E113:E124" si="16">D113-C113</f>
        <v>-1433</v>
      </c>
      <c r="F113" s="98">
        <f t="shared" ref="F113:F124" si="17">IF(C113=0,0,E113/C113)</f>
        <v>-6.3219658534433315E-2</v>
      </c>
    </row>
    <row r="114" spans="1:6" ht="18" customHeight="1" x14ac:dyDescent="0.25">
      <c r="A114" s="99">
        <v>2</v>
      </c>
      <c r="B114" s="100" t="s">
        <v>113</v>
      </c>
      <c r="C114" s="117">
        <v>2461</v>
      </c>
      <c r="D114" s="117">
        <v>3062</v>
      </c>
      <c r="E114" s="117">
        <f t="shared" si="16"/>
        <v>601</v>
      </c>
      <c r="F114" s="98">
        <f t="shared" si="17"/>
        <v>0.24420967086550183</v>
      </c>
    </row>
    <row r="115" spans="1:6" ht="18" customHeight="1" x14ac:dyDescent="0.25">
      <c r="A115" s="99">
        <v>3</v>
      </c>
      <c r="B115" s="100" t="s">
        <v>114</v>
      </c>
      <c r="C115" s="117">
        <v>1013</v>
      </c>
      <c r="D115" s="117">
        <v>1859</v>
      </c>
      <c r="E115" s="117">
        <f t="shared" si="16"/>
        <v>846</v>
      </c>
      <c r="F115" s="98">
        <f t="shared" si="17"/>
        <v>0.83514313919052319</v>
      </c>
    </row>
    <row r="116" spans="1:6" ht="18" customHeight="1" x14ac:dyDescent="0.25">
      <c r="A116" s="99">
        <v>4</v>
      </c>
      <c r="B116" s="100" t="s">
        <v>115</v>
      </c>
      <c r="C116" s="117">
        <v>498</v>
      </c>
      <c r="D116" s="117">
        <v>85</v>
      </c>
      <c r="E116" s="117">
        <f t="shared" si="16"/>
        <v>-413</v>
      </c>
      <c r="F116" s="98">
        <f t="shared" si="17"/>
        <v>-0.82931726907630521</v>
      </c>
    </row>
    <row r="117" spans="1:6" ht="18" customHeight="1" x14ac:dyDescent="0.25">
      <c r="A117" s="99">
        <v>5</v>
      </c>
      <c r="B117" s="100" t="s">
        <v>116</v>
      </c>
      <c r="C117" s="117">
        <v>7</v>
      </c>
      <c r="D117" s="117">
        <v>9</v>
      </c>
      <c r="E117" s="117">
        <f t="shared" si="16"/>
        <v>2</v>
      </c>
      <c r="F117" s="98">
        <f t="shared" si="17"/>
        <v>0.2857142857142857</v>
      </c>
    </row>
    <row r="118" spans="1:6" ht="18" customHeight="1" x14ac:dyDescent="0.25">
      <c r="A118" s="99">
        <v>6</v>
      </c>
      <c r="B118" s="100" t="s">
        <v>117</v>
      </c>
      <c r="C118" s="117">
        <v>8527</v>
      </c>
      <c r="D118" s="117">
        <v>8397</v>
      </c>
      <c r="E118" s="117">
        <f t="shared" si="16"/>
        <v>-130</v>
      </c>
      <c r="F118" s="98">
        <f t="shared" si="17"/>
        <v>-1.5245690160666119E-2</v>
      </c>
    </row>
    <row r="119" spans="1:6" ht="18" customHeight="1" x14ac:dyDescent="0.25">
      <c r="A119" s="99">
        <v>7</v>
      </c>
      <c r="B119" s="100" t="s">
        <v>118</v>
      </c>
      <c r="C119" s="117">
        <v>14756</v>
      </c>
      <c r="D119" s="117">
        <v>14734</v>
      </c>
      <c r="E119" s="117">
        <f t="shared" si="16"/>
        <v>-22</v>
      </c>
      <c r="F119" s="98">
        <f t="shared" si="17"/>
        <v>-1.4909189482244511E-3</v>
      </c>
    </row>
    <row r="120" spans="1:6" ht="18" customHeight="1" x14ac:dyDescent="0.25">
      <c r="A120" s="99">
        <v>8</v>
      </c>
      <c r="B120" s="100" t="s">
        <v>119</v>
      </c>
      <c r="C120" s="117">
        <v>178</v>
      </c>
      <c r="D120" s="117">
        <v>110</v>
      </c>
      <c r="E120" s="117">
        <f t="shared" si="16"/>
        <v>-68</v>
      </c>
      <c r="F120" s="98">
        <f t="shared" si="17"/>
        <v>-0.38202247191011235</v>
      </c>
    </row>
    <row r="121" spans="1:6" ht="18" customHeight="1" x14ac:dyDescent="0.25">
      <c r="A121" s="99">
        <v>9</v>
      </c>
      <c r="B121" s="100" t="s">
        <v>120</v>
      </c>
      <c r="C121" s="117">
        <v>694</v>
      </c>
      <c r="D121" s="117">
        <v>1052</v>
      </c>
      <c r="E121" s="117">
        <f t="shared" si="16"/>
        <v>358</v>
      </c>
      <c r="F121" s="98">
        <f t="shared" si="17"/>
        <v>0.51585014409221897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1837</v>
      </c>
      <c r="D123" s="117">
        <v>1377</v>
      </c>
      <c r="E123" s="117">
        <f t="shared" si="16"/>
        <v>-460</v>
      </c>
      <c r="F123" s="98">
        <f t="shared" si="17"/>
        <v>-0.25040827436037016</v>
      </c>
    </row>
    <row r="124" spans="1:6" ht="18" customHeight="1" x14ac:dyDescent="0.25">
      <c r="A124" s="101"/>
      <c r="B124" s="102" t="s">
        <v>140</v>
      </c>
      <c r="C124" s="118">
        <f>SUM(C113:C123)</f>
        <v>52638</v>
      </c>
      <c r="D124" s="118">
        <f>SUM(D113:D123)</f>
        <v>51919</v>
      </c>
      <c r="E124" s="118">
        <f t="shared" si="16"/>
        <v>-719</v>
      </c>
      <c r="F124" s="104">
        <f t="shared" si="17"/>
        <v>-1.365933356130552E-2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106110</v>
      </c>
      <c r="D126" s="117">
        <v>99490</v>
      </c>
      <c r="E126" s="117">
        <f t="shared" ref="E126:E137" si="18">D126-C126</f>
        <v>-6620</v>
      </c>
      <c r="F126" s="98">
        <f t="shared" ref="F126:F137" si="19">IF(C126=0,0,E126/C126)</f>
        <v>-6.2388087833380457E-2</v>
      </c>
    </row>
    <row r="127" spans="1:6" ht="18" customHeight="1" x14ac:dyDescent="0.25">
      <c r="A127" s="99">
        <v>2</v>
      </c>
      <c r="B127" s="100" t="s">
        <v>113</v>
      </c>
      <c r="C127" s="117">
        <v>7212</v>
      </c>
      <c r="D127" s="117">
        <v>7762</v>
      </c>
      <c r="E127" s="117">
        <f t="shared" si="18"/>
        <v>550</v>
      </c>
      <c r="F127" s="98">
        <f t="shared" si="19"/>
        <v>7.6261785912368277E-2</v>
      </c>
    </row>
    <row r="128" spans="1:6" ht="18" customHeight="1" x14ac:dyDescent="0.25">
      <c r="A128" s="99">
        <v>3</v>
      </c>
      <c r="B128" s="100" t="s">
        <v>114</v>
      </c>
      <c r="C128" s="117">
        <v>7668</v>
      </c>
      <c r="D128" s="117">
        <v>16749</v>
      </c>
      <c r="E128" s="117">
        <f t="shared" si="18"/>
        <v>9081</v>
      </c>
      <c r="F128" s="98">
        <f t="shared" si="19"/>
        <v>1.1842723004694835</v>
      </c>
    </row>
    <row r="129" spans="1:6" ht="18" customHeight="1" x14ac:dyDescent="0.25">
      <c r="A129" s="99">
        <v>4</v>
      </c>
      <c r="B129" s="100" t="s">
        <v>115</v>
      </c>
      <c r="C129" s="117">
        <v>13724</v>
      </c>
      <c r="D129" s="117">
        <v>3673</v>
      </c>
      <c r="E129" s="117">
        <f t="shared" si="18"/>
        <v>-10051</v>
      </c>
      <c r="F129" s="98">
        <f t="shared" si="19"/>
        <v>-0.73236665695132619</v>
      </c>
    </row>
    <row r="130" spans="1:6" ht="18" customHeight="1" x14ac:dyDescent="0.25">
      <c r="A130" s="99">
        <v>5</v>
      </c>
      <c r="B130" s="100" t="s">
        <v>116</v>
      </c>
      <c r="C130" s="117">
        <v>138</v>
      </c>
      <c r="D130" s="117">
        <v>255</v>
      </c>
      <c r="E130" s="117">
        <f t="shared" si="18"/>
        <v>117</v>
      </c>
      <c r="F130" s="98">
        <f t="shared" si="19"/>
        <v>0.84782608695652173</v>
      </c>
    </row>
    <row r="131" spans="1:6" ht="18" customHeight="1" x14ac:dyDescent="0.25">
      <c r="A131" s="99">
        <v>6</v>
      </c>
      <c r="B131" s="100" t="s">
        <v>117</v>
      </c>
      <c r="C131" s="117">
        <v>68590</v>
      </c>
      <c r="D131" s="117">
        <v>80845</v>
      </c>
      <c r="E131" s="117">
        <f t="shared" si="18"/>
        <v>12255</v>
      </c>
      <c r="F131" s="98">
        <f t="shared" si="19"/>
        <v>0.17867036011080331</v>
      </c>
    </row>
    <row r="132" spans="1:6" ht="18" customHeight="1" x14ac:dyDescent="0.25">
      <c r="A132" s="99">
        <v>7</v>
      </c>
      <c r="B132" s="100" t="s">
        <v>118</v>
      </c>
      <c r="C132" s="117">
        <v>160294</v>
      </c>
      <c r="D132" s="117">
        <v>148534</v>
      </c>
      <c r="E132" s="117">
        <f t="shared" si="18"/>
        <v>-11760</v>
      </c>
      <c r="F132" s="98">
        <f t="shared" si="19"/>
        <v>-7.3365191460690982E-2</v>
      </c>
    </row>
    <row r="133" spans="1:6" ht="18" customHeight="1" x14ac:dyDescent="0.25">
      <c r="A133" s="99">
        <v>8</v>
      </c>
      <c r="B133" s="100" t="s">
        <v>119</v>
      </c>
      <c r="C133" s="117">
        <v>4089</v>
      </c>
      <c r="D133" s="117">
        <v>4322</v>
      </c>
      <c r="E133" s="117">
        <f t="shared" si="18"/>
        <v>233</v>
      </c>
      <c r="F133" s="98">
        <f t="shared" si="19"/>
        <v>5.6982147224260211E-2</v>
      </c>
    </row>
    <row r="134" spans="1:6" ht="18" customHeight="1" x14ac:dyDescent="0.25">
      <c r="A134" s="99">
        <v>9</v>
      </c>
      <c r="B134" s="100" t="s">
        <v>120</v>
      </c>
      <c r="C134" s="117">
        <v>37508</v>
      </c>
      <c r="D134" s="117">
        <v>24611</v>
      </c>
      <c r="E134" s="117">
        <f t="shared" si="18"/>
        <v>-12897</v>
      </c>
      <c r="F134" s="98">
        <f t="shared" si="19"/>
        <v>-0.34384664604884291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195</v>
      </c>
      <c r="D136" s="117">
        <v>4027</v>
      </c>
      <c r="E136" s="117">
        <f t="shared" si="18"/>
        <v>3832</v>
      </c>
      <c r="F136" s="98">
        <f t="shared" si="19"/>
        <v>19.651282051282053</v>
      </c>
    </row>
    <row r="137" spans="1:6" ht="18" customHeight="1" x14ac:dyDescent="0.25">
      <c r="A137" s="101"/>
      <c r="B137" s="102" t="s">
        <v>143</v>
      </c>
      <c r="C137" s="118">
        <f>SUM(C126:C136)</f>
        <v>405528</v>
      </c>
      <c r="D137" s="118">
        <f>SUM(D126:D136)</f>
        <v>390268</v>
      </c>
      <c r="E137" s="118">
        <f t="shared" si="18"/>
        <v>-15260</v>
      </c>
      <c r="F137" s="104">
        <f t="shared" si="19"/>
        <v>-3.7629954035233081E-2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20347528</v>
      </c>
      <c r="D142" s="97">
        <v>20356092</v>
      </c>
      <c r="E142" s="97">
        <f t="shared" ref="E142:E153" si="20">D142-C142</f>
        <v>8564</v>
      </c>
      <c r="F142" s="98">
        <f t="shared" ref="F142:F153" si="21">IF(C142=0,0,E142/C142)</f>
        <v>4.2088650768781348E-4</v>
      </c>
    </row>
    <row r="143" spans="1:6" ht="18" customHeight="1" x14ac:dyDescent="0.25">
      <c r="A143" s="99">
        <v>2</v>
      </c>
      <c r="B143" s="100" t="s">
        <v>113</v>
      </c>
      <c r="C143" s="97">
        <v>2576694</v>
      </c>
      <c r="D143" s="97">
        <v>2471833</v>
      </c>
      <c r="E143" s="97">
        <f t="shared" si="20"/>
        <v>-104861</v>
      </c>
      <c r="F143" s="98">
        <f t="shared" si="21"/>
        <v>-4.0695946045591756E-2</v>
      </c>
    </row>
    <row r="144" spans="1:6" ht="18" customHeight="1" x14ac:dyDescent="0.25">
      <c r="A144" s="99">
        <v>3</v>
      </c>
      <c r="B144" s="100" t="s">
        <v>114</v>
      </c>
      <c r="C144" s="97">
        <v>2823880</v>
      </c>
      <c r="D144" s="97">
        <v>6427671</v>
      </c>
      <c r="E144" s="97">
        <f t="shared" si="20"/>
        <v>3603791</v>
      </c>
      <c r="F144" s="98">
        <f t="shared" si="21"/>
        <v>1.2761841862968681</v>
      </c>
    </row>
    <row r="145" spans="1:6" ht="18" customHeight="1" x14ac:dyDescent="0.25">
      <c r="A145" s="99">
        <v>4</v>
      </c>
      <c r="B145" s="100" t="s">
        <v>115</v>
      </c>
      <c r="C145" s="97">
        <v>5610277</v>
      </c>
      <c r="D145" s="97">
        <v>860064</v>
      </c>
      <c r="E145" s="97">
        <f t="shared" si="20"/>
        <v>-4750213</v>
      </c>
      <c r="F145" s="98">
        <f t="shared" si="21"/>
        <v>-0.84669847852432245</v>
      </c>
    </row>
    <row r="146" spans="1:6" ht="18" customHeight="1" x14ac:dyDescent="0.25">
      <c r="A146" s="99">
        <v>5</v>
      </c>
      <c r="B146" s="100" t="s">
        <v>116</v>
      </c>
      <c r="C146" s="97">
        <v>168272</v>
      </c>
      <c r="D146" s="97">
        <v>217512</v>
      </c>
      <c r="E146" s="97">
        <f t="shared" si="20"/>
        <v>49240</v>
      </c>
      <c r="F146" s="98">
        <f t="shared" si="21"/>
        <v>0.29262147000095085</v>
      </c>
    </row>
    <row r="147" spans="1:6" ht="18" customHeight="1" x14ac:dyDescent="0.25">
      <c r="A147" s="99">
        <v>6</v>
      </c>
      <c r="B147" s="100" t="s">
        <v>117</v>
      </c>
      <c r="C147" s="97">
        <v>17457340</v>
      </c>
      <c r="D147" s="97">
        <v>24168953</v>
      </c>
      <c r="E147" s="97">
        <f t="shared" si="20"/>
        <v>6711613</v>
      </c>
      <c r="F147" s="98">
        <f t="shared" si="21"/>
        <v>0.38445794147332868</v>
      </c>
    </row>
    <row r="148" spans="1:6" ht="18" customHeight="1" x14ac:dyDescent="0.25">
      <c r="A148" s="99">
        <v>7</v>
      </c>
      <c r="B148" s="100" t="s">
        <v>118</v>
      </c>
      <c r="C148" s="97">
        <v>42943668</v>
      </c>
      <c r="D148" s="97">
        <v>36414309</v>
      </c>
      <c r="E148" s="97">
        <f t="shared" si="20"/>
        <v>-6529359</v>
      </c>
      <c r="F148" s="98">
        <f t="shared" si="21"/>
        <v>-0.15204474382579522</v>
      </c>
    </row>
    <row r="149" spans="1:6" ht="18" customHeight="1" x14ac:dyDescent="0.25">
      <c r="A149" s="99">
        <v>8</v>
      </c>
      <c r="B149" s="100" t="s">
        <v>119</v>
      </c>
      <c r="C149" s="97">
        <v>2338506</v>
      </c>
      <c r="D149" s="97">
        <v>2485572</v>
      </c>
      <c r="E149" s="97">
        <f t="shared" si="20"/>
        <v>147066</v>
      </c>
      <c r="F149" s="98">
        <f t="shared" si="21"/>
        <v>6.2888870073457157E-2</v>
      </c>
    </row>
    <row r="150" spans="1:6" ht="18" customHeight="1" x14ac:dyDescent="0.25">
      <c r="A150" s="99">
        <v>9</v>
      </c>
      <c r="B150" s="100" t="s">
        <v>120</v>
      </c>
      <c r="C150" s="97">
        <v>13207718</v>
      </c>
      <c r="D150" s="97">
        <v>12654693</v>
      </c>
      <c r="E150" s="97">
        <f t="shared" si="20"/>
        <v>-553025</v>
      </c>
      <c r="F150" s="98">
        <f t="shared" si="21"/>
        <v>-4.1871351281122141E-2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6987816</v>
      </c>
      <c r="D152" s="97">
        <v>5161198</v>
      </c>
      <c r="E152" s="97">
        <f t="shared" si="20"/>
        <v>-1826618</v>
      </c>
      <c r="F152" s="98">
        <f t="shared" si="21"/>
        <v>-0.2614004146646105</v>
      </c>
    </row>
    <row r="153" spans="1:6" ht="33.75" customHeight="1" x14ac:dyDescent="0.25">
      <c r="A153" s="101"/>
      <c r="B153" s="102" t="s">
        <v>147</v>
      </c>
      <c r="C153" s="103">
        <f>SUM(C142:C152)</f>
        <v>114461699</v>
      </c>
      <c r="D153" s="103">
        <f>SUM(D142:D152)</f>
        <v>111217897</v>
      </c>
      <c r="E153" s="103">
        <f t="shared" si="20"/>
        <v>-3243802</v>
      </c>
      <c r="F153" s="104">
        <f t="shared" si="21"/>
        <v>-2.8339628262900412E-2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3768103</v>
      </c>
      <c r="D155" s="97">
        <v>3897597</v>
      </c>
      <c r="E155" s="97">
        <f t="shared" ref="E155:E166" si="22">D155-C155</f>
        <v>129494</v>
      </c>
      <c r="F155" s="98">
        <f t="shared" ref="F155:F166" si="23">IF(C155=0,0,E155/C155)</f>
        <v>3.4365833418035549E-2</v>
      </c>
    </row>
    <row r="156" spans="1:6" ht="18" customHeight="1" x14ac:dyDescent="0.25">
      <c r="A156" s="99">
        <v>2</v>
      </c>
      <c r="B156" s="100" t="s">
        <v>113</v>
      </c>
      <c r="C156" s="97">
        <v>577017</v>
      </c>
      <c r="D156" s="97">
        <v>676498</v>
      </c>
      <c r="E156" s="97">
        <f t="shared" si="22"/>
        <v>99481</v>
      </c>
      <c r="F156" s="98">
        <f t="shared" si="23"/>
        <v>0.17240566569095883</v>
      </c>
    </row>
    <row r="157" spans="1:6" ht="18" customHeight="1" x14ac:dyDescent="0.25">
      <c r="A157" s="99">
        <v>3</v>
      </c>
      <c r="B157" s="100" t="s">
        <v>114</v>
      </c>
      <c r="C157" s="97">
        <v>353804</v>
      </c>
      <c r="D157" s="97">
        <v>1065121</v>
      </c>
      <c r="E157" s="97">
        <f t="shared" si="22"/>
        <v>711317</v>
      </c>
      <c r="F157" s="98">
        <f t="shared" si="23"/>
        <v>2.010483205390555</v>
      </c>
    </row>
    <row r="158" spans="1:6" ht="18" customHeight="1" x14ac:dyDescent="0.25">
      <c r="A158" s="99">
        <v>4</v>
      </c>
      <c r="B158" s="100" t="s">
        <v>115</v>
      </c>
      <c r="C158" s="97">
        <v>853852</v>
      </c>
      <c r="D158" s="97">
        <v>128226</v>
      </c>
      <c r="E158" s="97">
        <f t="shared" si="22"/>
        <v>-725626</v>
      </c>
      <c r="F158" s="98">
        <f t="shared" si="23"/>
        <v>-0.84982643362081489</v>
      </c>
    </row>
    <row r="159" spans="1:6" ht="18" customHeight="1" x14ac:dyDescent="0.25">
      <c r="A159" s="99">
        <v>5</v>
      </c>
      <c r="B159" s="100" t="s">
        <v>116</v>
      </c>
      <c r="C159" s="97">
        <v>39133</v>
      </c>
      <c r="D159" s="97">
        <v>130915</v>
      </c>
      <c r="E159" s="97">
        <f t="shared" si="22"/>
        <v>91782</v>
      </c>
      <c r="F159" s="98">
        <f t="shared" si="23"/>
        <v>2.345386246901592</v>
      </c>
    </row>
    <row r="160" spans="1:6" ht="18" customHeight="1" x14ac:dyDescent="0.25">
      <c r="A160" s="99">
        <v>6</v>
      </c>
      <c r="B160" s="100" t="s">
        <v>117</v>
      </c>
      <c r="C160" s="97">
        <v>7948102</v>
      </c>
      <c r="D160" s="97">
        <v>9979944</v>
      </c>
      <c r="E160" s="97">
        <f t="shared" si="22"/>
        <v>2031842</v>
      </c>
      <c r="F160" s="98">
        <f t="shared" si="23"/>
        <v>0.25563864177888002</v>
      </c>
    </row>
    <row r="161" spans="1:6" ht="18" customHeight="1" x14ac:dyDescent="0.25">
      <c r="A161" s="99">
        <v>7</v>
      </c>
      <c r="B161" s="100" t="s">
        <v>118</v>
      </c>
      <c r="C161" s="97">
        <v>21262583</v>
      </c>
      <c r="D161" s="97">
        <v>14625997</v>
      </c>
      <c r="E161" s="97">
        <f t="shared" si="22"/>
        <v>-6636586</v>
      </c>
      <c r="F161" s="98">
        <f t="shared" si="23"/>
        <v>-0.31212510728353182</v>
      </c>
    </row>
    <row r="162" spans="1:6" ht="18" customHeight="1" x14ac:dyDescent="0.25">
      <c r="A162" s="99">
        <v>8</v>
      </c>
      <c r="B162" s="100" t="s">
        <v>119</v>
      </c>
      <c r="C162" s="97">
        <v>1523683</v>
      </c>
      <c r="D162" s="97">
        <v>1639651</v>
      </c>
      <c r="E162" s="97">
        <f t="shared" si="22"/>
        <v>115968</v>
      </c>
      <c r="F162" s="98">
        <f t="shared" si="23"/>
        <v>7.6110319534968884E-2</v>
      </c>
    </row>
    <row r="163" spans="1:6" ht="18" customHeight="1" x14ac:dyDescent="0.25">
      <c r="A163" s="99">
        <v>9</v>
      </c>
      <c r="B163" s="100" t="s">
        <v>120</v>
      </c>
      <c r="C163" s="97">
        <v>927843</v>
      </c>
      <c r="D163" s="97">
        <v>8605521</v>
      </c>
      <c r="E163" s="97">
        <f t="shared" si="22"/>
        <v>7677678</v>
      </c>
      <c r="F163" s="98">
        <f t="shared" si="23"/>
        <v>8.2747598462239846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665331</v>
      </c>
      <c r="D165" s="97">
        <v>798310</v>
      </c>
      <c r="E165" s="97">
        <f t="shared" si="22"/>
        <v>132979</v>
      </c>
      <c r="F165" s="98">
        <f t="shared" si="23"/>
        <v>0.1998689374161132</v>
      </c>
    </row>
    <row r="166" spans="1:6" ht="33.75" customHeight="1" x14ac:dyDescent="0.25">
      <c r="A166" s="101"/>
      <c r="B166" s="102" t="s">
        <v>149</v>
      </c>
      <c r="C166" s="103">
        <f>SUM(C155:C165)</f>
        <v>37919451</v>
      </c>
      <c r="D166" s="103">
        <f>SUM(D155:D165)</f>
        <v>41547780</v>
      </c>
      <c r="E166" s="103">
        <f t="shared" si="22"/>
        <v>3628329</v>
      </c>
      <c r="F166" s="104">
        <f t="shared" si="23"/>
        <v>9.5685166960882417E-2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5198</v>
      </c>
      <c r="D168" s="117">
        <v>5272</v>
      </c>
      <c r="E168" s="117">
        <f t="shared" ref="E168:E179" si="24">D168-C168</f>
        <v>74</v>
      </c>
      <c r="F168" s="98">
        <f t="shared" ref="F168:F179" si="25">IF(C168=0,0,E168/C168)</f>
        <v>1.4236244709503656E-2</v>
      </c>
    </row>
    <row r="169" spans="1:6" ht="18" customHeight="1" x14ac:dyDescent="0.25">
      <c r="A169" s="99">
        <v>2</v>
      </c>
      <c r="B169" s="100" t="s">
        <v>113</v>
      </c>
      <c r="C169" s="117">
        <v>567</v>
      </c>
      <c r="D169" s="117">
        <v>616</v>
      </c>
      <c r="E169" s="117">
        <f t="shared" si="24"/>
        <v>49</v>
      </c>
      <c r="F169" s="98">
        <f t="shared" si="25"/>
        <v>8.6419753086419748E-2</v>
      </c>
    </row>
    <row r="170" spans="1:6" ht="18" customHeight="1" x14ac:dyDescent="0.25">
      <c r="A170" s="99">
        <v>3</v>
      </c>
      <c r="B170" s="100" t="s">
        <v>114</v>
      </c>
      <c r="C170" s="117">
        <v>873</v>
      </c>
      <c r="D170" s="117">
        <v>3562</v>
      </c>
      <c r="E170" s="117">
        <f t="shared" si="24"/>
        <v>2689</v>
      </c>
      <c r="F170" s="98">
        <f t="shared" si="25"/>
        <v>3.0801832760595649</v>
      </c>
    </row>
    <row r="171" spans="1:6" ht="18" customHeight="1" x14ac:dyDescent="0.25">
      <c r="A171" s="99">
        <v>4</v>
      </c>
      <c r="B171" s="100" t="s">
        <v>115</v>
      </c>
      <c r="C171" s="117">
        <v>2307</v>
      </c>
      <c r="D171" s="117">
        <v>794</v>
      </c>
      <c r="E171" s="117">
        <f t="shared" si="24"/>
        <v>-1513</v>
      </c>
      <c r="F171" s="98">
        <f t="shared" si="25"/>
        <v>-0.65583008235804074</v>
      </c>
    </row>
    <row r="172" spans="1:6" ht="18" customHeight="1" x14ac:dyDescent="0.25">
      <c r="A172" s="99">
        <v>5</v>
      </c>
      <c r="B172" s="100" t="s">
        <v>116</v>
      </c>
      <c r="C172" s="117">
        <v>59</v>
      </c>
      <c r="D172" s="117">
        <v>64</v>
      </c>
      <c r="E172" s="117">
        <f t="shared" si="24"/>
        <v>5</v>
      </c>
      <c r="F172" s="98">
        <f t="shared" si="25"/>
        <v>8.4745762711864403E-2</v>
      </c>
    </row>
    <row r="173" spans="1:6" ht="18" customHeight="1" x14ac:dyDescent="0.25">
      <c r="A173" s="99">
        <v>6</v>
      </c>
      <c r="B173" s="100" t="s">
        <v>117</v>
      </c>
      <c r="C173" s="117">
        <v>5312</v>
      </c>
      <c r="D173" s="117">
        <v>7640</v>
      </c>
      <c r="E173" s="117">
        <f t="shared" si="24"/>
        <v>2328</v>
      </c>
      <c r="F173" s="98">
        <f t="shared" si="25"/>
        <v>0.43825301204819278</v>
      </c>
    </row>
    <row r="174" spans="1:6" ht="18" customHeight="1" x14ac:dyDescent="0.25">
      <c r="A174" s="99">
        <v>7</v>
      </c>
      <c r="B174" s="100" t="s">
        <v>118</v>
      </c>
      <c r="C174" s="117">
        <v>13335</v>
      </c>
      <c r="D174" s="117">
        <v>11272</v>
      </c>
      <c r="E174" s="117">
        <f t="shared" si="24"/>
        <v>-2063</v>
      </c>
      <c r="F174" s="98">
        <f t="shared" si="25"/>
        <v>-0.15470566179227596</v>
      </c>
    </row>
    <row r="175" spans="1:6" ht="18" customHeight="1" x14ac:dyDescent="0.25">
      <c r="A175" s="99">
        <v>8</v>
      </c>
      <c r="B175" s="100" t="s">
        <v>119</v>
      </c>
      <c r="C175" s="117">
        <v>921</v>
      </c>
      <c r="D175" s="117">
        <v>894</v>
      </c>
      <c r="E175" s="117">
        <f t="shared" si="24"/>
        <v>-27</v>
      </c>
      <c r="F175" s="98">
        <f t="shared" si="25"/>
        <v>-2.9315960912052116E-2</v>
      </c>
    </row>
    <row r="176" spans="1:6" ht="18" customHeight="1" x14ac:dyDescent="0.25">
      <c r="A176" s="99">
        <v>9</v>
      </c>
      <c r="B176" s="100" t="s">
        <v>120</v>
      </c>
      <c r="C176" s="117">
        <v>3995</v>
      </c>
      <c r="D176" s="117">
        <v>3987</v>
      </c>
      <c r="E176" s="117">
        <f t="shared" si="24"/>
        <v>-8</v>
      </c>
      <c r="F176" s="98">
        <f t="shared" si="25"/>
        <v>-2.0025031289111388E-3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2603</v>
      </c>
      <c r="D178" s="117">
        <v>1823</v>
      </c>
      <c r="E178" s="117">
        <f t="shared" si="24"/>
        <v>-780</v>
      </c>
      <c r="F178" s="98">
        <f t="shared" si="25"/>
        <v>-0.29965424510180561</v>
      </c>
    </row>
    <row r="179" spans="1:6" ht="33.75" customHeight="1" x14ac:dyDescent="0.25">
      <c r="A179" s="101"/>
      <c r="B179" s="102" t="s">
        <v>151</v>
      </c>
      <c r="C179" s="118">
        <f>SUM(C168:C178)</f>
        <v>35170</v>
      </c>
      <c r="D179" s="118">
        <f>SUM(D168:D178)</f>
        <v>35924</v>
      </c>
      <c r="E179" s="118">
        <f t="shared" si="24"/>
        <v>754</v>
      </c>
      <c r="F179" s="104">
        <f t="shared" si="25"/>
        <v>2.1438726187091271E-2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FILING&amp;RGREENWICH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31538096</v>
      </c>
      <c r="D15" s="146">
        <v>38516535</v>
      </c>
      <c r="E15" s="146">
        <f>+D15-C15</f>
        <v>6978439</v>
      </c>
      <c r="F15" s="150">
        <f>IF(C15=0,0,E15/C15)</f>
        <v>0.22127014262370182</v>
      </c>
    </row>
    <row r="16" spans="1:7" ht="15" customHeight="1" x14ac:dyDescent="0.2">
      <c r="A16" s="141">
        <v>2</v>
      </c>
      <c r="B16" s="149" t="s">
        <v>158</v>
      </c>
      <c r="C16" s="146">
        <v>17349745</v>
      </c>
      <c r="D16" s="146">
        <v>9013899</v>
      </c>
      <c r="E16" s="146">
        <f>+D16-C16</f>
        <v>-8335846</v>
      </c>
      <c r="F16" s="150">
        <f>IF(C16=0,0,E16/C16)</f>
        <v>-0.48045928052544862</v>
      </c>
    </row>
    <row r="17" spans="1:7" ht="15" customHeight="1" x14ac:dyDescent="0.2">
      <c r="A17" s="141">
        <v>3</v>
      </c>
      <c r="B17" s="149" t="s">
        <v>159</v>
      </c>
      <c r="C17" s="146">
        <v>77070980</v>
      </c>
      <c r="D17" s="146">
        <v>67271694</v>
      </c>
      <c r="E17" s="146">
        <f>+D17-C17</f>
        <v>-9799286</v>
      </c>
      <c r="F17" s="150">
        <f>IF(C17=0,0,E17/C17)</f>
        <v>-0.12714624882154088</v>
      </c>
    </row>
    <row r="18" spans="1:7" ht="15.75" customHeight="1" x14ac:dyDescent="0.25">
      <c r="A18" s="141"/>
      <c r="B18" s="151" t="s">
        <v>160</v>
      </c>
      <c r="C18" s="147">
        <f>SUM(C15:C17)</f>
        <v>125958821</v>
      </c>
      <c r="D18" s="147">
        <f>SUM(D15:D17)</f>
        <v>114802128</v>
      </c>
      <c r="E18" s="147">
        <f>+D18-C18</f>
        <v>-11156693</v>
      </c>
      <c r="F18" s="148">
        <f>IF(C18=0,0,E18/C18)</f>
        <v>-8.8574130111935545E-2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8830667</v>
      </c>
      <c r="D21" s="146">
        <v>11554960</v>
      </c>
      <c r="E21" s="146">
        <f>+D21-C21</f>
        <v>2724293</v>
      </c>
      <c r="F21" s="150">
        <f>IF(C21=0,0,E21/C21)</f>
        <v>0.30850364983754908</v>
      </c>
    </row>
    <row r="22" spans="1:7" ht="15" customHeight="1" x14ac:dyDescent="0.2">
      <c r="A22" s="141">
        <v>2</v>
      </c>
      <c r="B22" s="149" t="s">
        <v>163</v>
      </c>
      <c r="C22" s="146">
        <v>4857929</v>
      </c>
      <c r="D22" s="146">
        <v>2704170</v>
      </c>
      <c r="E22" s="146">
        <f>+D22-C22</f>
        <v>-2153759</v>
      </c>
      <c r="F22" s="150">
        <f>IF(C22=0,0,E22/C22)</f>
        <v>-0.44334921321410831</v>
      </c>
    </row>
    <row r="23" spans="1:7" ht="15" customHeight="1" x14ac:dyDescent="0.2">
      <c r="A23" s="141">
        <v>3</v>
      </c>
      <c r="B23" s="149" t="s">
        <v>164</v>
      </c>
      <c r="C23" s="146">
        <v>24661908</v>
      </c>
      <c r="D23" s="146">
        <v>24163937</v>
      </c>
      <c r="E23" s="146">
        <f>+D23-C23</f>
        <v>-497971</v>
      </c>
      <c r="F23" s="150">
        <f>IF(C23=0,0,E23/C23)</f>
        <v>-2.0191908914752258E-2</v>
      </c>
    </row>
    <row r="24" spans="1:7" ht="15.75" customHeight="1" x14ac:dyDescent="0.25">
      <c r="A24" s="141"/>
      <c r="B24" s="151" t="s">
        <v>165</v>
      </c>
      <c r="C24" s="147">
        <f>SUM(C21:C23)</f>
        <v>38350504</v>
      </c>
      <c r="D24" s="147">
        <f>SUM(D21:D23)</f>
        <v>38423067</v>
      </c>
      <c r="E24" s="147">
        <f>+D24-C24</f>
        <v>72563</v>
      </c>
      <c r="F24" s="148">
        <f>IF(C24=0,0,E24/C24)</f>
        <v>1.8921002967783682E-3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2156332</v>
      </c>
      <c r="D27" s="146">
        <v>1529236</v>
      </c>
      <c r="E27" s="146">
        <f>+D27-C27</f>
        <v>-627096</v>
      </c>
      <c r="F27" s="150">
        <f>IF(C27=0,0,E27/C27)</f>
        <v>-0.29081607099463347</v>
      </c>
    </row>
    <row r="28" spans="1:7" ht="15" customHeight="1" x14ac:dyDescent="0.2">
      <c r="A28" s="141">
        <v>2</v>
      </c>
      <c r="B28" s="149" t="s">
        <v>168</v>
      </c>
      <c r="C28" s="146">
        <v>4204096</v>
      </c>
      <c r="D28" s="146">
        <v>8372980</v>
      </c>
      <c r="E28" s="146">
        <f>+D28-C28</f>
        <v>4168884</v>
      </c>
      <c r="F28" s="150">
        <f>IF(C28=0,0,E28/C28)</f>
        <v>0.99162435872063814</v>
      </c>
    </row>
    <row r="29" spans="1:7" ht="15" customHeight="1" x14ac:dyDescent="0.2">
      <c r="A29" s="141">
        <v>3</v>
      </c>
      <c r="B29" s="149" t="s">
        <v>169</v>
      </c>
      <c r="C29" s="146">
        <v>173158</v>
      </c>
      <c r="D29" s="146">
        <v>174476</v>
      </c>
      <c r="E29" s="146">
        <f>+D29-C29</f>
        <v>1318</v>
      </c>
      <c r="F29" s="150">
        <f>IF(C29=0,0,E29/C29)</f>
        <v>7.6115455248963373E-3</v>
      </c>
    </row>
    <row r="30" spans="1:7" ht="15.75" customHeight="1" x14ac:dyDescent="0.25">
      <c r="A30" s="141"/>
      <c r="B30" s="151" t="s">
        <v>170</v>
      </c>
      <c r="C30" s="147">
        <f>SUM(C27:C29)</f>
        <v>6533586</v>
      </c>
      <c r="D30" s="147">
        <f>SUM(D27:D29)</f>
        <v>10076692</v>
      </c>
      <c r="E30" s="147">
        <f>+D30-C30</f>
        <v>3543106</v>
      </c>
      <c r="F30" s="148">
        <f>IF(C30=0,0,E30/C30)</f>
        <v>0.54229117057615828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28259778</v>
      </c>
      <c r="D33" s="146">
        <v>23717629</v>
      </c>
      <c r="E33" s="146">
        <f>+D33-C33</f>
        <v>-4542149</v>
      </c>
      <c r="F33" s="150">
        <f>IF(C33=0,0,E33/C33)</f>
        <v>-0.16072840345738032</v>
      </c>
    </row>
    <row r="34" spans="1:7" ht="15" customHeight="1" x14ac:dyDescent="0.2">
      <c r="A34" s="141">
        <v>2</v>
      </c>
      <c r="B34" s="149" t="s">
        <v>174</v>
      </c>
      <c r="C34" s="146">
        <v>12858117</v>
      </c>
      <c r="D34" s="146">
        <v>14918157</v>
      </c>
      <c r="E34" s="146">
        <f>+D34-C34</f>
        <v>2060040</v>
      </c>
      <c r="F34" s="150">
        <f>IF(C34=0,0,E34/C34)</f>
        <v>0.160213194513629</v>
      </c>
    </row>
    <row r="35" spans="1:7" ht="15.75" customHeight="1" x14ac:dyDescent="0.25">
      <c r="A35" s="141"/>
      <c r="B35" s="151" t="s">
        <v>175</v>
      </c>
      <c r="C35" s="147">
        <f>SUM(C33:C34)</f>
        <v>41117895</v>
      </c>
      <c r="D35" s="147">
        <f>SUM(D33:D34)</f>
        <v>38635786</v>
      </c>
      <c r="E35" s="147">
        <f>+D35-C35</f>
        <v>-2482109</v>
      </c>
      <c r="F35" s="148">
        <f>IF(C35=0,0,E35/C35)</f>
        <v>-6.0365663174148383E-2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5599584</v>
      </c>
      <c r="D38" s="146">
        <v>5905693</v>
      </c>
      <c r="E38" s="146">
        <f>+D38-C38</f>
        <v>306109</v>
      </c>
      <c r="F38" s="150">
        <f>IF(C38=0,0,E38/C38)</f>
        <v>5.4666382359832448E-2</v>
      </c>
    </row>
    <row r="39" spans="1:7" ht="15" customHeight="1" x14ac:dyDescent="0.2">
      <c r="A39" s="141">
        <v>2</v>
      </c>
      <c r="B39" s="149" t="s">
        <v>179</v>
      </c>
      <c r="C39" s="146">
        <v>13306405</v>
      </c>
      <c r="D39" s="146">
        <v>12500344</v>
      </c>
      <c r="E39" s="146">
        <f>+D39-C39</f>
        <v>-806061</v>
      </c>
      <c r="F39" s="150">
        <f>IF(C39=0,0,E39/C39)</f>
        <v>-6.0576917657323676E-2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18905989</v>
      </c>
      <c r="D41" s="147">
        <f>SUM(D38:D40)</f>
        <v>18406037</v>
      </c>
      <c r="E41" s="147">
        <f>+D41-C41</f>
        <v>-499952</v>
      </c>
      <c r="F41" s="148">
        <f>IF(C41=0,0,E41/C41)</f>
        <v>-2.6444107208567613E-2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9269877</v>
      </c>
      <c r="D44" s="146">
        <v>14042325</v>
      </c>
      <c r="E44" s="146">
        <f>+D44-C44</f>
        <v>4772448</v>
      </c>
      <c r="F44" s="150">
        <f>IF(C44=0,0,E44/C44)</f>
        <v>0.51483401559697073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425472</v>
      </c>
      <c r="D47" s="146">
        <v>357587</v>
      </c>
      <c r="E47" s="146">
        <f>+D47-C47</f>
        <v>-67885</v>
      </c>
      <c r="F47" s="150">
        <f>IF(C47=0,0,E47/C47)</f>
        <v>-0.15955221495186522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200972</v>
      </c>
      <c r="D50" s="146">
        <v>-1785660</v>
      </c>
      <c r="E50" s="146">
        <f>+D50-C50</f>
        <v>-1986632</v>
      </c>
      <c r="F50" s="150">
        <f>IF(C50=0,0,E50/C50)</f>
        <v>-9.8851183249407875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89090</v>
      </c>
      <c r="D53" s="146">
        <v>85991</v>
      </c>
      <c r="E53" s="146">
        <f t="shared" ref="E53:E59" si="0">+D53-C53</f>
        <v>-3099</v>
      </c>
      <c r="F53" s="150">
        <f t="shared" ref="F53:F59" si="1">IF(C53=0,0,E53/C53)</f>
        <v>-3.4785048827028847E-2</v>
      </c>
    </row>
    <row r="54" spans="1:7" ht="15" customHeight="1" x14ac:dyDescent="0.2">
      <c r="A54" s="141">
        <v>2</v>
      </c>
      <c r="B54" s="149" t="s">
        <v>193</v>
      </c>
      <c r="C54" s="146">
        <v>1122985</v>
      </c>
      <c r="D54" s="146">
        <v>439575</v>
      </c>
      <c r="E54" s="146">
        <f t="shared" si="0"/>
        <v>-683410</v>
      </c>
      <c r="F54" s="150">
        <f t="shared" si="1"/>
        <v>-0.60856556409925333</v>
      </c>
    </row>
    <row r="55" spans="1:7" ht="15" customHeight="1" x14ac:dyDescent="0.2">
      <c r="A55" s="141">
        <v>3</v>
      </c>
      <c r="B55" s="149" t="s">
        <v>194</v>
      </c>
      <c r="C55" s="146">
        <v>84651</v>
      </c>
      <c r="D55" s="146">
        <v>43552</v>
      </c>
      <c r="E55" s="146">
        <f t="shared" si="0"/>
        <v>-41099</v>
      </c>
      <c r="F55" s="150">
        <f t="shared" si="1"/>
        <v>-0.48551109851035429</v>
      </c>
    </row>
    <row r="56" spans="1:7" ht="15" customHeight="1" x14ac:dyDescent="0.2">
      <c r="A56" s="141">
        <v>4</v>
      </c>
      <c r="B56" s="149" t="s">
        <v>195</v>
      </c>
      <c r="C56" s="146">
        <v>1690298</v>
      </c>
      <c r="D56" s="146">
        <v>1701249</v>
      </c>
      <c r="E56" s="146">
        <f t="shared" si="0"/>
        <v>10951</v>
      </c>
      <c r="F56" s="150">
        <f t="shared" si="1"/>
        <v>6.4787392518952276E-3</v>
      </c>
    </row>
    <row r="57" spans="1:7" ht="15" customHeight="1" x14ac:dyDescent="0.2">
      <c r="A57" s="141">
        <v>5</v>
      </c>
      <c r="B57" s="149" t="s">
        <v>196</v>
      </c>
      <c r="C57" s="146">
        <v>958758</v>
      </c>
      <c r="D57" s="146">
        <v>234214</v>
      </c>
      <c r="E57" s="146">
        <f t="shared" si="0"/>
        <v>-724544</v>
      </c>
      <c r="F57" s="150">
        <f t="shared" si="1"/>
        <v>-0.7557110344841973</v>
      </c>
    </row>
    <row r="58" spans="1:7" ht="15" customHeight="1" x14ac:dyDescent="0.2">
      <c r="A58" s="141">
        <v>6</v>
      </c>
      <c r="B58" s="149" t="s">
        <v>197</v>
      </c>
      <c r="C58" s="146">
        <v>31952</v>
      </c>
      <c r="D58" s="146">
        <v>32595</v>
      </c>
      <c r="E58" s="146">
        <f t="shared" si="0"/>
        <v>643</v>
      </c>
      <c r="F58" s="150">
        <f t="shared" si="1"/>
        <v>2.0123935903855784E-2</v>
      </c>
    </row>
    <row r="59" spans="1:7" ht="15.75" customHeight="1" x14ac:dyDescent="0.25">
      <c r="A59" s="141"/>
      <c r="B59" s="151" t="s">
        <v>198</v>
      </c>
      <c r="C59" s="147">
        <f>SUM(C53:C58)</f>
        <v>3977734</v>
      </c>
      <c r="D59" s="147">
        <f>SUM(D53:D58)</f>
        <v>2537176</v>
      </c>
      <c r="E59" s="147">
        <f t="shared" si="0"/>
        <v>-1440558</v>
      </c>
      <c r="F59" s="148">
        <f t="shared" si="1"/>
        <v>-0.36215543824700192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272721</v>
      </c>
      <c r="D62" s="146">
        <v>267875</v>
      </c>
      <c r="E62" s="146">
        <f t="shared" ref="E62:E90" si="2">+D62-C62</f>
        <v>-4846</v>
      </c>
      <c r="F62" s="150">
        <f t="shared" ref="F62:F90" si="3">IF(C62=0,0,E62/C62)</f>
        <v>-1.776907535539984E-2</v>
      </c>
    </row>
    <row r="63" spans="1:7" ht="15" customHeight="1" x14ac:dyDescent="0.2">
      <c r="A63" s="141">
        <v>2</v>
      </c>
      <c r="B63" s="149" t="s">
        <v>202</v>
      </c>
      <c r="C63" s="146">
        <v>362526</v>
      </c>
      <c r="D63" s="146">
        <v>227119</v>
      </c>
      <c r="E63" s="146">
        <f t="shared" si="2"/>
        <v>-135407</v>
      </c>
      <c r="F63" s="150">
        <f t="shared" si="3"/>
        <v>-0.37350976205844544</v>
      </c>
    </row>
    <row r="64" spans="1:7" ht="15" customHeight="1" x14ac:dyDescent="0.2">
      <c r="A64" s="141">
        <v>3</v>
      </c>
      <c r="B64" s="149" t="s">
        <v>203</v>
      </c>
      <c r="C64" s="146">
        <v>2159488</v>
      </c>
      <c r="D64" s="146">
        <v>2193568</v>
      </c>
      <c r="E64" s="146">
        <f t="shared" si="2"/>
        <v>34080</v>
      </c>
      <c r="F64" s="150">
        <f t="shared" si="3"/>
        <v>1.5781518582182442E-2</v>
      </c>
    </row>
    <row r="65" spans="1:6" ht="15" customHeight="1" x14ac:dyDescent="0.2">
      <c r="A65" s="141">
        <v>4</v>
      </c>
      <c r="B65" s="149" t="s">
        <v>204</v>
      </c>
      <c r="C65" s="146">
        <v>459238</v>
      </c>
      <c r="D65" s="146">
        <v>413421</v>
      </c>
      <c r="E65" s="146">
        <f t="shared" si="2"/>
        <v>-45817</v>
      </c>
      <c r="F65" s="150">
        <f t="shared" si="3"/>
        <v>-9.9767440847665048E-2</v>
      </c>
    </row>
    <row r="66" spans="1:6" ht="15" customHeight="1" x14ac:dyDescent="0.2">
      <c r="A66" s="141">
        <v>5</v>
      </c>
      <c r="B66" s="149" t="s">
        <v>205</v>
      </c>
      <c r="C66" s="146">
        <v>1233434</v>
      </c>
      <c r="D66" s="146">
        <v>1180653</v>
      </c>
      <c r="E66" s="146">
        <f t="shared" si="2"/>
        <v>-52781</v>
      </c>
      <c r="F66" s="150">
        <f t="shared" si="3"/>
        <v>-4.2791912660101794E-2</v>
      </c>
    </row>
    <row r="67" spans="1:6" ht="15" customHeight="1" x14ac:dyDescent="0.2">
      <c r="A67" s="141">
        <v>6</v>
      </c>
      <c r="B67" s="149" t="s">
        <v>206</v>
      </c>
      <c r="C67" s="146">
        <v>5404265</v>
      </c>
      <c r="D67" s="146">
        <v>5469985</v>
      </c>
      <c r="E67" s="146">
        <f t="shared" si="2"/>
        <v>65720</v>
      </c>
      <c r="F67" s="150">
        <f t="shared" si="3"/>
        <v>1.2160765617526157E-2</v>
      </c>
    </row>
    <row r="68" spans="1:6" ht="15" customHeight="1" x14ac:dyDescent="0.2">
      <c r="A68" s="141">
        <v>7</v>
      </c>
      <c r="B68" s="149" t="s">
        <v>207</v>
      </c>
      <c r="C68" s="146">
        <v>1169919</v>
      </c>
      <c r="D68" s="146">
        <v>1033578</v>
      </c>
      <c r="E68" s="146">
        <f t="shared" si="2"/>
        <v>-136341</v>
      </c>
      <c r="F68" s="150">
        <f t="shared" si="3"/>
        <v>-0.11653883730412105</v>
      </c>
    </row>
    <row r="69" spans="1:6" ht="15" customHeight="1" x14ac:dyDescent="0.2">
      <c r="A69" s="141">
        <v>8</v>
      </c>
      <c r="B69" s="149" t="s">
        <v>208</v>
      </c>
      <c r="C69" s="146">
        <v>389177</v>
      </c>
      <c r="D69" s="146">
        <v>488499</v>
      </c>
      <c r="E69" s="146">
        <f t="shared" si="2"/>
        <v>99322</v>
      </c>
      <c r="F69" s="150">
        <f t="shared" si="3"/>
        <v>0.25521035415761978</v>
      </c>
    </row>
    <row r="70" spans="1:6" ht="15" customHeight="1" x14ac:dyDescent="0.2">
      <c r="A70" s="141">
        <v>9</v>
      </c>
      <c r="B70" s="149" t="s">
        <v>209</v>
      </c>
      <c r="C70" s="146">
        <v>106847</v>
      </c>
      <c r="D70" s="146">
        <v>176660</v>
      </c>
      <c r="E70" s="146">
        <f t="shared" si="2"/>
        <v>69813</v>
      </c>
      <c r="F70" s="150">
        <f t="shared" si="3"/>
        <v>0.65339223375480826</v>
      </c>
    </row>
    <row r="71" spans="1:6" ht="15" customHeight="1" x14ac:dyDescent="0.2">
      <c r="A71" s="141">
        <v>10</v>
      </c>
      <c r="B71" s="149" t="s">
        <v>210</v>
      </c>
      <c r="C71" s="146">
        <v>327603</v>
      </c>
      <c r="D71" s="146">
        <v>338610</v>
      </c>
      <c r="E71" s="146">
        <f t="shared" si="2"/>
        <v>11007</v>
      </c>
      <c r="F71" s="150">
        <f t="shared" si="3"/>
        <v>3.3598593419474181E-2</v>
      </c>
    </row>
    <row r="72" spans="1:6" ht="15" customHeight="1" x14ac:dyDescent="0.2">
      <c r="A72" s="141">
        <v>11</v>
      </c>
      <c r="B72" s="149" t="s">
        <v>211</v>
      </c>
      <c r="C72" s="146">
        <v>175763</v>
      </c>
      <c r="D72" s="146">
        <v>140512</v>
      </c>
      <c r="E72" s="146">
        <f t="shared" si="2"/>
        <v>-35251</v>
      </c>
      <c r="F72" s="150">
        <f t="shared" si="3"/>
        <v>-0.20055984479099698</v>
      </c>
    </row>
    <row r="73" spans="1:6" ht="15" customHeight="1" x14ac:dyDescent="0.2">
      <c r="A73" s="141">
        <v>12</v>
      </c>
      <c r="B73" s="149" t="s">
        <v>212</v>
      </c>
      <c r="C73" s="146">
        <v>6560648</v>
      </c>
      <c r="D73" s="146">
        <v>2853587</v>
      </c>
      <c r="E73" s="146">
        <f t="shared" si="2"/>
        <v>-3707061</v>
      </c>
      <c r="F73" s="150">
        <f t="shared" si="3"/>
        <v>-0.56504494677964734</v>
      </c>
    </row>
    <row r="74" spans="1:6" ht="15" customHeight="1" x14ac:dyDescent="0.2">
      <c r="A74" s="141">
        <v>13</v>
      </c>
      <c r="B74" s="149" t="s">
        <v>213</v>
      </c>
      <c r="C74" s="146">
        <v>369074</v>
      </c>
      <c r="D74" s="146">
        <v>309820</v>
      </c>
      <c r="E74" s="146">
        <f t="shared" si="2"/>
        <v>-59254</v>
      </c>
      <c r="F74" s="150">
        <f t="shared" si="3"/>
        <v>-0.16054774923186135</v>
      </c>
    </row>
    <row r="75" spans="1:6" ht="15" customHeight="1" x14ac:dyDescent="0.2">
      <c r="A75" s="141">
        <v>14</v>
      </c>
      <c r="B75" s="149" t="s">
        <v>214</v>
      </c>
      <c r="C75" s="146">
        <v>585253</v>
      </c>
      <c r="D75" s="146">
        <v>410567</v>
      </c>
      <c r="E75" s="146">
        <f t="shared" si="2"/>
        <v>-174686</v>
      </c>
      <c r="F75" s="150">
        <f t="shared" si="3"/>
        <v>-0.29847946101942235</v>
      </c>
    </row>
    <row r="76" spans="1:6" ht="15" customHeight="1" x14ac:dyDescent="0.2">
      <c r="A76" s="141">
        <v>15</v>
      </c>
      <c r="B76" s="149" t="s">
        <v>215</v>
      </c>
      <c r="C76" s="146">
        <v>1574810</v>
      </c>
      <c r="D76" s="146">
        <v>1816908</v>
      </c>
      <c r="E76" s="146">
        <f t="shared" si="2"/>
        <v>242098</v>
      </c>
      <c r="F76" s="150">
        <f t="shared" si="3"/>
        <v>0.15373156126770848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34462716</v>
      </c>
      <c r="E77" s="146">
        <f t="shared" si="2"/>
        <v>34462716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381122</v>
      </c>
      <c r="E78" s="146">
        <f t="shared" si="2"/>
        <v>381122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130474</v>
      </c>
      <c r="E79" s="146">
        <f t="shared" si="2"/>
        <v>130474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2515460</v>
      </c>
      <c r="E80" s="146">
        <f t="shared" si="2"/>
        <v>2515460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1034677</v>
      </c>
      <c r="E81" s="146">
        <f t="shared" si="2"/>
        <v>1034677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157436</v>
      </c>
      <c r="E82" s="146">
        <f t="shared" si="2"/>
        <v>157436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1028512</v>
      </c>
      <c r="E83" s="146">
        <f t="shared" si="2"/>
        <v>1028512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1194413</v>
      </c>
      <c r="E84" s="146">
        <f t="shared" si="2"/>
        <v>1194413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4388834</v>
      </c>
      <c r="E85" s="146">
        <f t="shared" si="2"/>
        <v>4388834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225342</v>
      </c>
      <c r="E86" s="146">
        <f t="shared" si="2"/>
        <v>225342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904147</v>
      </c>
      <c r="E87" s="146">
        <f t="shared" si="2"/>
        <v>904147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5940215</v>
      </c>
      <c r="E88" s="146">
        <f t="shared" si="2"/>
        <v>5940215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39596626</v>
      </c>
      <c r="D89" s="146">
        <v>6869929</v>
      </c>
      <c r="E89" s="146">
        <f t="shared" si="2"/>
        <v>-32726697</v>
      </c>
      <c r="F89" s="150">
        <f t="shared" si="3"/>
        <v>-0.82650216207815286</v>
      </c>
    </row>
    <row r="90" spans="1:7" ht="15.75" customHeight="1" x14ac:dyDescent="0.25">
      <c r="A90" s="141"/>
      <c r="B90" s="151" t="s">
        <v>229</v>
      </c>
      <c r="C90" s="147">
        <f>SUM(C62:C89)</f>
        <v>60747392</v>
      </c>
      <c r="D90" s="147">
        <f>SUM(D62:D89)</f>
        <v>76554639</v>
      </c>
      <c r="E90" s="147">
        <f t="shared" si="2"/>
        <v>15807247</v>
      </c>
      <c r="F90" s="148">
        <f t="shared" si="3"/>
        <v>0.26021276765264262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436758</v>
      </c>
      <c r="D93" s="146">
        <v>509223</v>
      </c>
      <c r="E93" s="146">
        <f>+D93-C93</f>
        <v>72465</v>
      </c>
      <c r="F93" s="150">
        <f>IF(C93=0,0,E93/C93)</f>
        <v>0.16591567870537002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305925000</v>
      </c>
      <c r="D95" s="147">
        <f>+D93+D90+D59+D50+D47+D44+D41+D35+D30+D24+D18</f>
        <v>312559000</v>
      </c>
      <c r="E95" s="147">
        <f>+D95-C95</f>
        <v>6634000</v>
      </c>
      <c r="F95" s="148">
        <f>IF(C95=0,0,E95/C95)</f>
        <v>2.1685053526191059E-2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61020261</v>
      </c>
      <c r="D103" s="146">
        <v>88223372</v>
      </c>
      <c r="E103" s="146">
        <f t="shared" ref="E103:E121" si="4">D103-C103</f>
        <v>27203111</v>
      </c>
      <c r="F103" s="150">
        <f t="shared" ref="F103:F121" si="5">IF(C103=0,0,E103/C103)</f>
        <v>0.44580456645375544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5020722</v>
      </c>
      <c r="D104" s="146">
        <v>6167832</v>
      </c>
      <c r="E104" s="146">
        <f t="shared" si="4"/>
        <v>1147110</v>
      </c>
      <c r="F104" s="150">
        <f t="shared" si="5"/>
        <v>0.22847510776338542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5566827</v>
      </c>
      <c r="D105" s="146">
        <v>7356128</v>
      </c>
      <c r="E105" s="146">
        <f t="shared" si="4"/>
        <v>1789301</v>
      </c>
      <c r="F105" s="150">
        <f t="shared" si="5"/>
        <v>0.32142205964007864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2157763</v>
      </c>
      <c r="D106" s="146">
        <v>3042294</v>
      </c>
      <c r="E106" s="146">
        <f t="shared" si="4"/>
        <v>884531</v>
      </c>
      <c r="F106" s="150">
        <f t="shared" si="5"/>
        <v>0.40992963546042821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8033581</v>
      </c>
      <c r="D107" s="146">
        <v>16383300</v>
      </c>
      <c r="E107" s="146">
        <f t="shared" si="4"/>
        <v>8349719</v>
      </c>
      <c r="F107" s="150">
        <f t="shared" si="5"/>
        <v>1.03935206478904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0</v>
      </c>
      <c r="D108" s="146">
        <v>0</v>
      </c>
      <c r="E108" s="146">
        <f t="shared" si="4"/>
        <v>0</v>
      </c>
      <c r="F108" s="150">
        <f t="shared" si="5"/>
        <v>0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2611353</v>
      </c>
      <c r="D109" s="146">
        <v>1854733</v>
      </c>
      <c r="E109" s="146">
        <f t="shared" si="4"/>
        <v>-756620</v>
      </c>
      <c r="F109" s="150">
        <f t="shared" si="5"/>
        <v>-0.28974252044821208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4044233</v>
      </c>
      <c r="D110" s="146">
        <v>4315151</v>
      </c>
      <c r="E110" s="146">
        <f t="shared" si="4"/>
        <v>270918</v>
      </c>
      <c r="F110" s="150">
        <f t="shared" si="5"/>
        <v>6.6988721965326917E-2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445343</v>
      </c>
      <c r="D111" s="146">
        <v>0</v>
      </c>
      <c r="E111" s="146">
        <f t="shared" si="4"/>
        <v>-445343</v>
      </c>
      <c r="F111" s="150">
        <f t="shared" si="5"/>
        <v>-1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5411877</v>
      </c>
      <c r="D112" s="146">
        <v>5212677</v>
      </c>
      <c r="E112" s="146">
        <f t="shared" si="4"/>
        <v>-199200</v>
      </c>
      <c r="F112" s="150">
        <f t="shared" si="5"/>
        <v>-3.6807931887587249E-2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2603294</v>
      </c>
      <c r="D113" s="146">
        <v>2616607</v>
      </c>
      <c r="E113" s="146">
        <f t="shared" si="4"/>
        <v>13313</v>
      </c>
      <c r="F113" s="150">
        <f t="shared" si="5"/>
        <v>5.1139056902524266E-3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1118987</v>
      </c>
      <c r="D114" s="146">
        <v>1359351</v>
      </c>
      <c r="E114" s="146">
        <f t="shared" si="4"/>
        <v>240364</v>
      </c>
      <c r="F114" s="150">
        <f t="shared" si="5"/>
        <v>0.21480499773455813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4177694</v>
      </c>
      <c r="D115" s="146">
        <v>3529890</v>
      </c>
      <c r="E115" s="146">
        <f t="shared" si="4"/>
        <v>-647804</v>
      </c>
      <c r="F115" s="150">
        <f t="shared" si="5"/>
        <v>-0.15506257758466752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1728272</v>
      </c>
      <c r="D116" s="146">
        <v>1765268</v>
      </c>
      <c r="E116" s="146">
        <f t="shared" si="4"/>
        <v>36996</v>
      </c>
      <c r="F116" s="150">
        <f t="shared" si="5"/>
        <v>2.1406352703741079E-2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3654880</v>
      </c>
      <c r="D117" s="146">
        <v>3467005</v>
      </c>
      <c r="E117" s="146">
        <f t="shared" si="4"/>
        <v>-187875</v>
      </c>
      <c r="F117" s="150">
        <f t="shared" si="5"/>
        <v>-5.1403876461060281E-2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1317486</v>
      </c>
      <c r="D118" s="146">
        <v>1059936</v>
      </c>
      <c r="E118" s="146">
        <f t="shared" si="4"/>
        <v>-257550</v>
      </c>
      <c r="F118" s="150">
        <f t="shared" si="5"/>
        <v>-0.19548594823778015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15181643</v>
      </c>
      <c r="D119" s="146">
        <v>17833882</v>
      </c>
      <c r="E119" s="146">
        <f t="shared" si="4"/>
        <v>2652239</v>
      </c>
      <c r="F119" s="150">
        <f t="shared" si="5"/>
        <v>0.17470039309974553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1884526</v>
      </c>
      <c r="D120" s="146">
        <v>959253</v>
      </c>
      <c r="E120" s="146">
        <f t="shared" si="4"/>
        <v>-925273</v>
      </c>
      <c r="F120" s="150">
        <f t="shared" si="5"/>
        <v>-0.49098447036549242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125978742</v>
      </c>
      <c r="D121" s="147">
        <f>SUM(D103:D120)</f>
        <v>165146679</v>
      </c>
      <c r="E121" s="147">
        <f t="shared" si="4"/>
        <v>39167937</v>
      </c>
      <c r="F121" s="148">
        <f t="shared" si="5"/>
        <v>0.31090909766347724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1437638</v>
      </c>
      <c r="D124" s="146">
        <v>1613270</v>
      </c>
      <c r="E124" s="146">
        <f t="shared" ref="E124:E130" si="6">D124-C124</f>
        <v>175632</v>
      </c>
      <c r="F124" s="150">
        <f t="shared" ref="F124:F130" si="7">IF(C124=0,0,E124/C124)</f>
        <v>0.1221670545714568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2198783</v>
      </c>
      <c r="D125" s="146">
        <v>2378431</v>
      </c>
      <c r="E125" s="146">
        <f t="shared" si="6"/>
        <v>179648</v>
      </c>
      <c r="F125" s="150">
        <f t="shared" si="7"/>
        <v>8.1703378641730454E-2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1091586</v>
      </c>
      <c r="D126" s="146">
        <v>2395090</v>
      </c>
      <c r="E126" s="146">
        <f t="shared" si="6"/>
        <v>1303504</v>
      </c>
      <c r="F126" s="150">
        <f t="shared" si="7"/>
        <v>1.1941377042211974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2792570</v>
      </c>
      <c r="D127" s="146">
        <v>2577000</v>
      </c>
      <c r="E127" s="146">
        <f t="shared" si="6"/>
        <v>-215570</v>
      </c>
      <c r="F127" s="150">
        <f t="shared" si="7"/>
        <v>-7.7194125841071132E-2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2334476</v>
      </c>
      <c r="D128" s="146">
        <v>2603345</v>
      </c>
      <c r="E128" s="146">
        <f t="shared" si="6"/>
        <v>268869</v>
      </c>
      <c r="F128" s="150">
        <f t="shared" si="7"/>
        <v>0.11517316948214502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2284878</v>
      </c>
      <c r="D129" s="146">
        <v>2209943</v>
      </c>
      <c r="E129" s="146">
        <f t="shared" si="6"/>
        <v>-74935</v>
      </c>
      <c r="F129" s="150">
        <f t="shared" si="7"/>
        <v>-3.2796061759096107E-2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12139931</v>
      </c>
      <c r="D130" s="147">
        <f>SUM(D124:D129)</f>
        <v>13777079</v>
      </c>
      <c r="E130" s="147">
        <f t="shared" si="6"/>
        <v>1637148</v>
      </c>
      <c r="F130" s="148">
        <f t="shared" si="7"/>
        <v>0.13485645017257511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22396068</v>
      </c>
      <c r="D133" s="146">
        <v>19919481</v>
      </c>
      <c r="E133" s="146">
        <f t="shared" ref="E133:E167" si="8">D133-C133</f>
        <v>-2476587</v>
      </c>
      <c r="F133" s="150">
        <f t="shared" ref="F133:F167" si="9">IF(C133=0,0,E133/C133)</f>
        <v>-0.11058133061571343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1312881</v>
      </c>
      <c r="D134" s="146">
        <v>1241702</v>
      </c>
      <c r="E134" s="146">
        <f t="shared" si="8"/>
        <v>-71179</v>
      </c>
      <c r="F134" s="150">
        <f t="shared" si="9"/>
        <v>-5.4215880951891296E-2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1134420</v>
      </c>
      <c r="D135" s="146">
        <v>1091195</v>
      </c>
      <c r="E135" s="146">
        <f t="shared" si="8"/>
        <v>-43225</v>
      </c>
      <c r="F135" s="150">
        <f t="shared" si="9"/>
        <v>-3.8103171664815499E-2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5657564</v>
      </c>
      <c r="D136" s="146">
        <v>5619630</v>
      </c>
      <c r="E136" s="146">
        <f t="shared" si="8"/>
        <v>-37934</v>
      </c>
      <c r="F136" s="150">
        <f t="shared" si="9"/>
        <v>-6.7050059000658231E-3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6746002</v>
      </c>
      <c r="D137" s="146">
        <v>5608511</v>
      </c>
      <c r="E137" s="146">
        <f t="shared" si="8"/>
        <v>-1137491</v>
      </c>
      <c r="F137" s="150">
        <f t="shared" si="9"/>
        <v>-0.16861705644320887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1844700</v>
      </c>
      <c r="D138" s="146">
        <v>2055992</v>
      </c>
      <c r="E138" s="146">
        <f t="shared" si="8"/>
        <v>211292</v>
      </c>
      <c r="F138" s="150">
        <f t="shared" si="9"/>
        <v>0.11454003360980106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3845843</v>
      </c>
      <c r="D139" s="146">
        <v>4015445</v>
      </c>
      <c r="E139" s="146">
        <f t="shared" si="8"/>
        <v>169602</v>
      </c>
      <c r="F139" s="150">
        <f t="shared" si="9"/>
        <v>4.4100084168802525E-2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823847</v>
      </c>
      <c r="D140" s="146">
        <v>709783</v>
      </c>
      <c r="E140" s="146">
        <f t="shared" si="8"/>
        <v>-114064</v>
      </c>
      <c r="F140" s="150">
        <f t="shared" si="9"/>
        <v>-0.13845289234530198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1629919</v>
      </c>
      <c r="D141" s="146">
        <v>1584534</v>
      </c>
      <c r="E141" s="146">
        <f t="shared" si="8"/>
        <v>-45385</v>
      </c>
      <c r="F141" s="150">
        <f t="shared" si="9"/>
        <v>-2.7844941987914738E-2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17103318</v>
      </c>
      <c r="D142" s="146">
        <v>17193063</v>
      </c>
      <c r="E142" s="146">
        <f t="shared" si="8"/>
        <v>89745</v>
      </c>
      <c r="F142" s="150">
        <f t="shared" si="9"/>
        <v>5.2472274677930917E-3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1554465</v>
      </c>
      <c r="D143" s="146">
        <v>1283998</v>
      </c>
      <c r="E143" s="146">
        <f t="shared" si="8"/>
        <v>-270467</v>
      </c>
      <c r="F143" s="150">
        <f t="shared" si="9"/>
        <v>-0.1739936248162551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2362906</v>
      </c>
      <c r="D144" s="146">
        <v>2015761</v>
      </c>
      <c r="E144" s="146">
        <f t="shared" si="8"/>
        <v>-347145</v>
      </c>
      <c r="F144" s="150">
        <f t="shared" si="9"/>
        <v>-0.14691443502196025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1032624</v>
      </c>
      <c r="D145" s="146">
        <v>997957</v>
      </c>
      <c r="E145" s="146">
        <f t="shared" si="8"/>
        <v>-34667</v>
      </c>
      <c r="F145" s="150">
        <f t="shared" si="9"/>
        <v>-3.3571755062830229E-2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287956</v>
      </c>
      <c r="D146" s="146">
        <v>425332</v>
      </c>
      <c r="E146" s="146">
        <f t="shared" si="8"/>
        <v>137376</v>
      </c>
      <c r="F146" s="150">
        <f t="shared" si="9"/>
        <v>0.47707288613538179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1810692</v>
      </c>
      <c r="D147" s="146">
        <v>1717253</v>
      </c>
      <c r="E147" s="146">
        <f t="shared" si="8"/>
        <v>-93439</v>
      </c>
      <c r="F147" s="150">
        <f t="shared" si="9"/>
        <v>-5.1604027631424888E-2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659949</v>
      </c>
      <c r="D148" s="146">
        <v>161517</v>
      </c>
      <c r="E148" s="146">
        <f t="shared" si="8"/>
        <v>-498432</v>
      </c>
      <c r="F148" s="150">
        <f t="shared" si="9"/>
        <v>-0.7552583608733402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137274</v>
      </c>
      <c r="D149" s="146">
        <v>0</v>
      </c>
      <c r="E149" s="146">
        <f t="shared" si="8"/>
        <v>-137274</v>
      </c>
      <c r="F149" s="150">
        <f t="shared" si="9"/>
        <v>-1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2417779</v>
      </c>
      <c r="D150" s="146">
        <v>2181524</v>
      </c>
      <c r="E150" s="146">
        <f t="shared" si="8"/>
        <v>-236255</v>
      </c>
      <c r="F150" s="150">
        <f t="shared" si="9"/>
        <v>-9.7715713470916898E-2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441228</v>
      </c>
      <c r="D151" s="146">
        <v>453716</v>
      </c>
      <c r="E151" s="146">
        <f t="shared" si="8"/>
        <v>12488</v>
      </c>
      <c r="F151" s="150">
        <f t="shared" si="9"/>
        <v>2.8302827563073965E-2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1416697</v>
      </c>
      <c r="D152" s="146">
        <v>3395423</v>
      </c>
      <c r="E152" s="146">
        <f t="shared" si="8"/>
        <v>1978726</v>
      </c>
      <c r="F152" s="150">
        <f t="shared" si="9"/>
        <v>1.3967178585117355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374827</v>
      </c>
      <c r="D155" s="146">
        <v>376610</v>
      </c>
      <c r="E155" s="146">
        <f t="shared" si="8"/>
        <v>1783</v>
      </c>
      <c r="F155" s="150">
        <f t="shared" si="9"/>
        <v>4.7568611652842509E-3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10588781</v>
      </c>
      <c r="D156" s="146">
        <v>12808108</v>
      </c>
      <c r="E156" s="146">
        <f t="shared" si="8"/>
        <v>2219327</v>
      </c>
      <c r="F156" s="150">
        <f t="shared" si="9"/>
        <v>0.20959230340111859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1090460</v>
      </c>
      <c r="D157" s="146">
        <v>1246865</v>
      </c>
      <c r="E157" s="146">
        <f t="shared" si="8"/>
        <v>156405</v>
      </c>
      <c r="F157" s="150">
        <f t="shared" si="9"/>
        <v>0.14343029547163583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0</v>
      </c>
      <c r="D158" s="146">
        <v>0</v>
      </c>
      <c r="E158" s="146">
        <f t="shared" si="8"/>
        <v>0</v>
      </c>
      <c r="F158" s="150">
        <f t="shared" si="9"/>
        <v>0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477963</v>
      </c>
      <c r="D159" s="146">
        <v>482294</v>
      </c>
      <c r="E159" s="146">
        <f t="shared" si="8"/>
        <v>4331</v>
      </c>
      <c r="F159" s="150">
        <f t="shared" si="9"/>
        <v>9.0613708592506108E-3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1982763</v>
      </c>
      <c r="D160" s="146">
        <v>2111781</v>
      </c>
      <c r="E160" s="146">
        <f t="shared" si="8"/>
        <v>129018</v>
      </c>
      <c r="F160" s="150">
        <f t="shared" si="9"/>
        <v>6.5069804106693538E-2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0</v>
      </c>
      <c r="D161" s="146">
        <v>0</v>
      </c>
      <c r="E161" s="146">
        <f t="shared" si="8"/>
        <v>0</v>
      </c>
      <c r="F161" s="150">
        <f t="shared" si="9"/>
        <v>0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42183</v>
      </c>
      <c r="D162" s="146">
        <v>95466</v>
      </c>
      <c r="E162" s="146">
        <f t="shared" si="8"/>
        <v>53283</v>
      </c>
      <c r="F162" s="150">
        <f t="shared" si="9"/>
        <v>1.2631391792902353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1260127</v>
      </c>
      <c r="D163" s="146">
        <v>968786</v>
      </c>
      <c r="E163" s="146">
        <f t="shared" si="8"/>
        <v>-291341</v>
      </c>
      <c r="F163" s="150">
        <f t="shared" si="9"/>
        <v>-0.23119971240993964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3093208</v>
      </c>
      <c r="D164" s="146">
        <v>3199260</v>
      </c>
      <c r="E164" s="146">
        <f t="shared" si="8"/>
        <v>106052</v>
      </c>
      <c r="F164" s="150">
        <f t="shared" si="9"/>
        <v>3.4285440875621687E-2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409176</v>
      </c>
      <c r="D165" s="146">
        <v>0</v>
      </c>
      <c r="E165" s="146">
        <f t="shared" si="8"/>
        <v>-409176</v>
      </c>
      <c r="F165" s="150">
        <f t="shared" si="9"/>
        <v>-1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2250221</v>
      </c>
      <c r="D166" s="146">
        <v>2845949</v>
      </c>
      <c r="E166" s="146">
        <f t="shared" si="8"/>
        <v>595728</v>
      </c>
      <c r="F166" s="150">
        <f t="shared" si="9"/>
        <v>0.26474199645279284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96185841</v>
      </c>
      <c r="D167" s="147">
        <f>SUM(D133:D166)</f>
        <v>95806936</v>
      </c>
      <c r="E167" s="147">
        <f t="shared" si="8"/>
        <v>-378905</v>
      </c>
      <c r="F167" s="148">
        <f t="shared" si="9"/>
        <v>-3.9393012117032904E-3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16504421</v>
      </c>
      <c r="D170" s="146">
        <v>15929134</v>
      </c>
      <c r="E170" s="146">
        <f t="shared" ref="E170:E183" si="10">D170-C170</f>
        <v>-575287</v>
      </c>
      <c r="F170" s="150">
        <f t="shared" ref="F170:F183" si="11">IF(C170=0,0,E170/C170)</f>
        <v>-3.4856539347851101E-2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2675896</v>
      </c>
      <c r="D171" s="146">
        <v>2579401</v>
      </c>
      <c r="E171" s="146">
        <f t="shared" si="10"/>
        <v>-96495</v>
      </c>
      <c r="F171" s="150">
        <f t="shared" si="11"/>
        <v>-3.6060818507146764E-2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1112761</v>
      </c>
      <c r="D173" s="146">
        <v>1010021</v>
      </c>
      <c r="E173" s="146">
        <f t="shared" si="10"/>
        <v>-102740</v>
      </c>
      <c r="F173" s="150">
        <f t="shared" si="11"/>
        <v>-9.232890081517954E-2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1267281</v>
      </c>
      <c r="D174" s="146">
        <v>1234020</v>
      </c>
      <c r="E174" s="146">
        <f t="shared" si="10"/>
        <v>-33261</v>
      </c>
      <c r="F174" s="150">
        <f t="shared" si="11"/>
        <v>-2.6245954922388959E-2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3394206</v>
      </c>
      <c r="D175" s="146">
        <v>3317357</v>
      </c>
      <c r="E175" s="146">
        <f t="shared" si="10"/>
        <v>-76849</v>
      </c>
      <c r="F175" s="150">
        <f t="shared" si="11"/>
        <v>-2.2641230379063616E-2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1258231</v>
      </c>
      <c r="D176" s="146">
        <v>1195606</v>
      </c>
      <c r="E176" s="146">
        <f t="shared" si="10"/>
        <v>-62625</v>
      </c>
      <c r="F176" s="150">
        <f t="shared" si="11"/>
        <v>-4.9772259624822471E-2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2679030</v>
      </c>
      <c r="D177" s="146">
        <v>2488998</v>
      </c>
      <c r="E177" s="146">
        <f t="shared" si="10"/>
        <v>-190032</v>
      </c>
      <c r="F177" s="150">
        <f t="shared" si="11"/>
        <v>-7.0933136247074507E-2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0</v>
      </c>
      <c r="D178" s="146">
        <v>0</v>
      </c>
      <c r="E178" s="146">
        <f t="shared" si="10"/>
        <v>0</v>
      </c>
      <c r="F178" s="150">
        <f t="shared" si="11"/>
        <v>0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5711680</v>
      </c>
      <c r="D179" s="146">
        <v>5016092</v>
      </c>
      <c r="E179" s="146">
        <f t="shared" si="10"/>
        <v>-695588</v>
      </c>
      <c r="F179" s="150">
        <f t="shared" si="11"/>
        <v>-0.12178343324555997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793768</v>
      </c>
      <c r="D180" s="146">
        <v>761811</v>
      </c>
      <c r="E180" s="146">
        <f t="shared" si="10"/>
        <v>-31957</v>
      </c>
      <c r="F180" s="150">
        <f t="shared" si="11"/>
        <v>-4.0259874421745397E-2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4214836</v>
      </c>
      <c r="D181" s="146">
        <v>3637986</v>
      </c>
      <c r="E181" s="146">
        <f t="shared" si="10"/>
        <v>-576850</v>
      </c>
      <c r="F181" s="150">
        <f t="shared" si="11"/>
        <v>-0.13686179011472807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1991512</v>
      </c>
      <c r="D182" s="146">
        <v>657880</v>
      </c>
      <c r="E182" s="146">
        <f t="shared" si="10"/>
        <v>-1333632</v>
      </c>
      <c r="F182" s="150">
        <f t="shared" si="11"/>
        <v>-0.66965802867369117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41603622</v>
      </c>
      <c r="D183" s="147">
        <f>SUM(D170:D182)</f>
        <v>37828306</v>
      </c>
      <c r="E183" s="147">
        <f t="shared" si="10"/>
        <v>-3775316</v>
      </c>
      <c r="F183" s="148">
        <f t="shared" si="11"/>
        <v>-9.0744887548492775E-2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30016864</v>
      </c>
      <c r="D186" s="146">
        <v>0</v>
      </c>
      <c r="E186" s="146">
        <f>D186-C186</f>
        <v>-30016864</v>
      </c>
      <c r="F186" s="150">
        <f>IF(C186=0,0,E186/C186)</f>
        <v>-1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305925000</v>
      </c>
      <c r="D188" s="147">
        <f>+D186+D183+D167+D130+D121</f>
        <v>312559000</v>
      </c>
      <c r="E188" s="147">
        <f>D188-C188</f>
        <v>6634000</v>
      </c>
      <c r="F188" s="148">
        <f>IF(C188=0,0,E188/C188)</f>
        <v>2.1685053526191059E-2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FILING&amp;RGREENWICH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279086000</v>
      </c>
      <c r="D11" s="164">
        <v>297010000</v>
      </c>
      <c r="E11" s="51">
        <v>304346000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21807197</v>
      </c>
      <c r="D12" s="49">
        <v>18563000</v>
      </c>
      <c r="E12" s="49">
        <v>20142000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300893197</v>
      </c>
      <c r="D13" s="51">
        <f>+D11+D12</f>
        <v>315573000</v>
      </c>
      <c r="E13" s="51">
        <f>+E11+E12</f>
        <v>324488000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287530757</v>
      </c>
      <c r="D14" s="49">
        <v>305925000</v>
      </c>
      <c r="E14" s="49">
        <v>312559000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13362440</v>
      </c>
      <c r="D15" s="51">
        <f>+D13-D14</f>
        <v>9648000</v>
      </c>
      <c r="E15" s="51">
        <f>+E13-E14</f>
        <v>11929000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-369000</v>
      </c>
      <c r="D16" s="49">
        <v>-3626000</v>
      </c>
      <c r="E16" s="49">
        <v>4054000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12993440</v>
      </c>
      <c r="D17" s="51">
        <f>D15+D16</f>
        <v>6022000</v>
      </c>
      <c r="E17" s="51">
        <f>E15+E16</f>
        <v>15983000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4.4463774076734325E-2</v>
      </c>
      <c r="D20" s="169">
        <f>IF(+D27=0,0,+D24/+D27)</f>
        <v>3.0928330774137914E-2</v>
      </c>
      <c r="E20" s="169">
        <f>IF(+E27=0,0,+E24/+E27)</f>
        <v>3.6308904188809957E-2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-1.2278545411103785E-3</v>
      </c>
      <c r="D21" s="169">
        <f>IF(D27=0,0,+D26/D27)</f>
        <v>-1.1623769422369826E-2</v>
      </c>
      <c r="E21" s="169">
        <f>IF(E27=0,0,+E26/E27)</f>
        <v>1.2339366047567739E-2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4.3235919535623946E-2</v>
      </c>
      <c r="D22" s="169">
        <f>IF(D27=0,0,+D28/D27)</f>
        <v>1.9304561351768088E-2</v>
      </c>
      <c r="E22" s="169">
        <f>IF(E27=0,0,+E28/E27)</f>
        <v>4.8648270236377696E-2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13362440</v>
      </c>
      <c r="D24" s="51">
        <f>+D15</f>
        <v>9648000</v>
      </c>
      <c r="E24" s="51">
        <f>+E15</f>
        <v>11929000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300893197</v>
      </c>
      <c r="D25" s="51">
        <f>+D13</f>
        <v>315573000</v>
      </c>
      <c r="E25" s="51">
        <f>+E13</f>
        <v>324488000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-369000</v>
      </c>
      <c r="D26" s="51">
        <f>+D16</f>
        <v>-3626000</v>
      </c>
      <c r="E26" s="51">
        <f>+E16</f>
        <v>4054000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300524197</v>
      </c>
      <c r="D27" s="51">
        <f>+D25+D26</f>
        <v>311947000</v>
      </c>
      <c r="E27" s="51">
        <f>+E25+E26</f>
        <v>328542000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12993440</v>
      </c>
      <c r="D28" s="51">
        <f>+D17</f>
        <v>6022000</v>
      </c>
      <c r="E28" s="51">
        <f>+E17</f>
        <v>15983000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282678000</v>
      </c>
      <c r="D31" s="51">
        <v>266335000</v>
      </c>
      <c r="E31" s="51">
        <v>267939000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331518000</v>
      </c>
      <c r="D32" s="51">
        <v>311302000</v>
      </c>
      <c r="E32" s="51">
        <v>319727000</v>
      </c>
      <c r="F32" s="13"/>
    </row>
    <row r="33" spans="1:6" ht="24" customHeight="1" x14ac:dyDescent="0.2">
      <c r="A33" s="25">
        <v>3</v>
      </c>
      <c r="B33" s="48" t="s">
        <v>331</v>
      </c>
      <c r="C33" s="51">
        <v>3418000</v>
      </c>
      <c r="D33" s="51">
        <f>+D32-C32</f>
        <v>-20216000</v>
      </c>
      <c r="E33" s="51">
        <f>+E32-D32</f>
        <v>8425000</v>
      </c>
      <c r="F33" s="5"/>
    </row>
    <row r="34" spans="1:6" ht="24" customHeight="1" x14ac:dyDescent="0.2">
      <c r="A34" s="25">
        <v>4</v>
      </c>
      <c r="B34" s="48" t="s">
        <v>332</v>
      </c>
      <c r="C34" s="171">
        <v>1.0104</v>
      </c>
      <c r="D34" s="171">
        <f>IF(C32=0,0,+D33/C32)</f>
        <v>-6.0980097611592732E-2</v>
      </c>
      <c r="E34" s="171">
        <f>IF(D32=0,0,+E33/D32)</f>
        <v>2.7063751598126577E-2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0.31130005798504534</v>
      </c>
      <c r="D38" s="172">
        <f>IF((D40+D41)=0,0,+D39/(D40+D41))</f>
        <v>0.31687384040798827</v>
      </c>
      <c r="E38" s="172">
        <f>IF((E40+E41)=0,0,+E39/(E40+E41))</f>
        <v>0.3137064522467507</v>
      </c>
      <c r="F38" s="5"/>
    </row>
    <row r="39" spans="1:6" ht="24" customHeight="1" x14ac:dyDescent="0.2">
      <c r="A39" s="21">
        <v>2</v>
      </c>
      <c r="B39" s="48" t="s">
        <v>336</v>
      </c>
      <c r="C39" s="51">
        <v>287530757</v>
      </c>
      <c r="D39" s="51">
        <v>305925000</v>
      </c>
      <c r="E39" s="23">
        <v>312559000</v>
      </c>
      <c r="F39" s="5"/>
    </row>
    <row r="40" spans="1:6" ht="24" customHeight="1" x14ac:dyDescent="0.2">
      <c r="A40" s="21">
        <v>3</v>
      </c>
      <c r="B40" s="48" t="s">
        <v>337</v>
      </c>
      <c r="C40" s="51">
        <v>900732964</v>
      </c>
      <c r="D40" s="51">
        <v>944999461</v>
      </c>
      <c r="E40" s="23">
        <v>971611045</v>
      </c>
      <c r="F40" s="5"/>
    </row>
    <row r="41" spans="1:6" ht="24" customHeight="1" x14ac:dyDescent="0.2">
      <c r="A41" s="21">
        <v>4</v>
      </c>
      <c r="B41" s="48" t="s">
        <v>338</v>
      </c>
      <c r="C41" s="51">
        <v>22912084</v>
      </c>
      <c r="D41" s="51">
        <v>20447859</v>
      </c>
      <c r="E41" s="23">
        <v>24731229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1.2203751888119512</v>
      </c>
      <c r="D43" s="173">
        <f>IF(D38=0,0,IF((D46-D47)=0,0,((+D44-D45)/(D46-D47)/D38)))</f>
        <v>1.2660138859873504</v>
      </c>
      <c r="E43" s="173">
        <f>IF(E38=0,0,IF((E46-E47)=0,0,((+E44-E45)/(E46-E47)/E38)))</f>
        <v>1.3189233955952839</v>
      </c>
      <c r="F43" s="5"/>
    </row>
    <row r="44" spans="1:6" ht="24" customHeight="1" x14ac:dyDescent="0.2">
      <c r="A44" s="21">
        <v>6</v>
      </c>
      <c r="B44" s="48" t="s">
        <v>340</v>
      </c>
      <c r="C44" s="51">
        <v>186927133</v>
      </c>
      <c r="D44" s="51">
        <v>203271835</v>
      </c>
      <c r="E44" s="23">
        <v>221325514</v>
      </c>
      <c r="F44" s="5"/>
    </row>
    <row r="45" spans="1:6" ht="24" customHeight="1" x14ac:dyDescent="0.2">
      <c r="A45" s="21">
        <v>7</v>
      </c>
      <c r="B45" s="48" t="s">
        <v>341</v>
      </c>
      <c r="C45" s="51">
        <v>3589710</v>
      </c>
      <c r="D45" s="51">
        <v>4699011</v>
      </c>
      <c r="E45" s="23">
        <v>13277428</v>
      </c>
      <c r="F45" s="5"/>
    </row>
    <row r="46" spans="1:6" ht="24" customHeight="1" x14ac:dyDescent="0.2">
      <c r="A46" s="21">
        <v>8</v>
      </c>
      <c r="B46" s="48" t="s">
        <v>342</v>
      </c>
      <c r="C46" s="51">
        <v>516722413</v>
      </c>
      <c r="D46" s="51">
        <v>528332417</v>
      </c>
      <c r="E46" s="23">
        <v>546209508</v>
      </c>
      <c r="F46" s="5"/>
    </row>
    <row r="47" spans="1:6" ht="24" customHeight="1" x14ac:dyDescent="0.2">
      <c r="A47" s="21">
        <v>9</v>
      </c>
      <c r="B47" s="48" t="s">
        <v>343</v>
      </c>
      <c r="C47" s="51">
        <v>34132154</v>
      </c>
      <c r="D47" s="51">
        <v>33344092</v>
      </c>
      <c r="E47" s="174">
        <v>43380063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0.70617624670571044</v>
      </c>
      <c r="D49" s="175">
        <f>IF(D38=0,0,IF(D51=0,0,(D50/D51)/D38))</f>
        <v>0.67498538219852966</v>
      </c>
      <c r="E49" s="175">
        <f>IF(E38=0,0,IF(E51=0,0,(E50/E51)/E38))</f>
        <v>0.65717258789751687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74905519</v>
      </c>
      <c r="D50" s="176">
        <v>78069609</v>
      </c>
      <c r="E50" s="176">
        <v>76762153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340738738</v>
      </c>
      <c r="D51" s="176">
        <v>365007047</v>
      </c>
      <c r="E51" s="176">
        <v>372343911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0.5820866471448487</v>
      </c>
      <c r="D53" s="175">
        <f>IF(D38=0,0,IF(D55=0,0,(D54/D55)/D38))</f>
        <v>0.69468356937436782</v>
      </c>
      <c r="E53" s="175">
        <f>IF(E38=0,0,IF(E55=0,0,(E54/E55)/E38))</f>
        <v>0.39189035402892575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4340316</v>
      </c>
      <c r="D54" s="176">
        <v>6894134</v>
      </c>
      <c r="E54" s="176">
        <v>3885432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23952702</v>
      </c>
      <c r="D55" s="176">
        <v>31318886</v>
      </c>
      <c r="E55" s="176">
        <v>31604672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9507864.5882050004</v>
      </c>
      <c r="D57" s="53">
        <f>+D60*D38</f>
        <v>9076876.8252678979</v>
      </c>
      <c r="E57" s="53">
        <f>+E60*E38</f>
        <v>9443391.142835319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20038812</v>
      </c>
      <c r="D58" s="51">
        <v>19375204</v>
      </c>
      <c r="E58" s="52">
        <v>16060311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10503632</v>
      </c>
      <c r="D59" s="51">
        <v>9269877</v>
      </c>
      <c r="E59" s="52">
        <v>14042325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30542444</v>
      </c>
      <c r="D60" s="51">
        <v>28645081</v>
      </c>
      <c r="E60" s="52">
        <v>30102636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3.3067295782221312E-2</v>
      </c>
      <c r="D62" s="178">
        <f>IF(D63=0,0,+D57/D63)</f>
        <v>2.9670268285586002E-2</v>
      </c>
      <c r="E62" s="178">
        <f>IF(E63=0,0,+E57/E63)</f>
        <v>3.0213147414841098E-2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287530757</v>
      </c>
      <c r="D63" s="176">
        <v>305925000</v>
      </c>
      <c r="E63" s="176">
        <v>312559000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2.6894478002886619</v>
      </c>
      <c r="D67" s="179">
        <f>IF(D69=0,0,D68/D69)</f>
        <v>2.4005072362604123</v>
      </c>
      <c r="E67" s="179">
        <f>IF(E69=0,0,E68/E69)</f>
        <v>2.1011816558379879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100623000</v>
      </c>
      <c r="D68" s="180">
        <v>103169000</v>
      </c>
      <c r="E68" s="180">
        <v>110602000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37414000</v>
      </c>
      <c r="D69" s="180">
        <v>42978000</v>
      </c>
      <c r="E69" s="180">
        <v>52638000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75.77507802930792</v>
      </c>
      <c r="D71" s="181">
        <f>IF((D77/365)=0,0,+D74/(D77/365))</f>
        <v>68.33313908952185</v>
      </c>
      <c r="E71" s="181">
        <f>IF((E77/365)=0,0,+E74/(E77/365))</f>
        <v>56.242812689260589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32013000</v>
      </c>
      <c r="D72" s="182">
        <v>32149000</v>
      </c>
      <c r="E72" s="182">
        <v>35083000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23470000</v>
      </c>
      <c r="D73" s="184">
        <v>21585000</v>
      </c>
      <c r="E73" s="184">
        <v>10243000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55483000</v>
      </c>
      <c r="D74" s="180">
        <f>+D72+D73</f>
        <v>53734000</v>
      </c>
      <c r="E74" s="180">
        <f>+E72+E73</f>
        <v>45326000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287530757</v>
      </c>
      <c r="D75" s="180">
        <f>+D14</f>
        <v>305925000</v>
      </c>
      <c r="E75" s="180">
        <f>+E14</f>
        <v>312559000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20275407</v>
      </c>
      <c r="D76" s="180">
        <v>18905989</v>
      </c>
      <c r="E76" s="180">
        <v>18406037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267255350</v>
      </c>
      <c r="D77" s="180">
        <f>+D75-D76</f>
        <v>287019011</v>
      </c>
      <c r="E77" s="180">
        <f>+E75-E76</f>
        <v>294152963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42.183090516901601</v>
      </c>
      <c r="D79" s="179">
        <f>IF((D84/365)=0,0,+D83/(D84/365))</f>
        <v>39.57720278778492</v>
      </c>
      <c r="E79" s="179">
        <f>IF((E84/365)=0,0,+E83/(E84/365))</f>
        <v>43.290876173828472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32518000</v>
      </c>
      <c r="D80" s="189">
        <v>32433000</v>
      </c>
      <c r="E80" s="189">
        <v>36589000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264000</v>
      </c>
      <c r="D82" s="190">
        <v>228000</v>
      </c>
      <c r="E82" s="190">
        <v>492000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32254000</v>
      </c>
      <c r="D83" s="191">
        <f>+D80+D81-D82</f>
        <v>32205000</v>
      </c>
      <c r="E83" s="191">
        <f>+E80+E81-E82</f>
        <v>36097000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279086000</v>
      </c>
      <c r="D84" s="191">
        <f>+D11</f>
        <v>297010000</v>
      </c>
      <c r="E84" s="191">
        <f>+E11</f>
        <v>304346000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51.097611329389665</v>
      </c>
      <c r="D86" s="179">
        <f>IF((D90/365)=0,0,+D87/(D90/365))</f>
        <v>54.654811698170057</v>
      </c>
      <c r="E86" s="179">
        <f>IF((E90/365)=0,0,+E87/(E90/365))</f>
        <v>65.315915243729847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37414000</v>
      </c>
      <c r="D87" s="51">
        <f>+D69</f>
        <v>42978000</v>
      </c>
      <c r="E87" s="51">
        <f>+E69</f>
        <v>52638000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287530757</v>
      </c>
      <c r="D88" s="51">
        <f t="shared" si="0"/>
        <v>305925000</v>
      </c>
      <c r="E88" s="51">
        <f t="shared" si="0"/>
        <v>312559000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20275407</v>
      </c>
      <c r="D89" s="52">
        <f t="shared" si="0"/>
        <v>18905989</v>
      </c>
      <c r="E89" s="52">
        <f t="shared" si="0"/>
        <v>18406037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267255350</v>
      </c>
      <c r="D90" s="51">
        <f>+D88-D89</f>
        <v>287019011</v>
      </c>
      <c r="E90" s="51">
        <f>+E88-E89</f>
        <v>294152963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70.267829891138462</v>
      </c>
      <c r="D94" s="192">
        <f>IF(D96=0,0,(D95/D96)*100)</f>
        <v>65.828432709732937</v>
      </c>
      <c r="E94" s="192">
        <f>IF(E96=0,0,(E95/E96)*100)</f>
        <v>63.49610158518324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331518000</v>
      </c>
      <c r="D95" s="51">
        <f>+D32</f>
        <v>311302000</v>
      </c>
      <c r="E95" s="51">
        <f>+E32</f>
        <v>319727000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471792000</v>
      </c>
      <c r="D96" s="51">
        <v>472899000</v>
      </c>
      <c r="E96" s="51">
        <v>503538000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40.365506739950739</v>
      </c>
      <c r="D98" s="192">
        <f>IF(D104=0,0,(D101/D104)*100)</f>
        <v>29.113659881106713</v>
      </c>
      <c r="E98" s="192">
        <f>IF(E104=0,0,(E101/E104)*100)</f>
        <v>37.035999913842311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12993440</v>
      </c>
      <c r="D99" s="51">
        <f>+D28</f>
        <v>6022000</v>
      </c>
      <c r="E99" s="51">
        <f>+E28</f>
        <v>15983000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20275407</v>
      </c>
      <c r="D100" s="52">
        <f>+D76</f>
        <v>18905989</v>
      </c>
      <c r="E100" s="52">
        <f>+E76</f>
        <v>18406037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33268847</v>
      </c>
      <c r="D101" s="51">
        <f>+D99+D100</f>
        <v>24927989</v>
      </c>
      <c r="E101" s="51">
        <f>+E99+E100</f>
        <v>34389037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37414000</v>
      </c>
      <c r="D102" s="180">
        <f>+D69</f>
        <v>42978000</v>
      </c>
      <c r="E102" s="180">
        <f>+E69</f>
        <v>52638000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45005000</v>
      </c>
      <c r="D103" s="194">
        <v>42645000</v>
      </c>
      <c r="E103" s="194">
        <v>40215000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82419000</v>
      </c>
      <c r="D104" s="180">
        <f>+D102+D103</f>
        <v>85623000</v>
      </c>
      <c r="E104" s="180">
        <f>+E102+E103</f>
        <v>92853000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11.952789072646294</v>
      </c>
      <c r="D106" s="197">
        <f>IF(D109=0,0,(D107/D109)*100)</f>
        <v>12.048414028088951</v>
      </c>
      <c r="E106" s="197">
        <f>IF(E109=0,0,(E107/E109)*100)</f>
        <v>11.172633368709404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45005000</v>
      </c>
      <c r="D107" s="180">
        <f>+D103</f>
        <v>42645000</v>
      </c>
      <c r="E107" s="180">
        <f>+E103</f>
        <v>40215000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331518000</v>
      </c>
      <c r="D108" s="180">
        <f>+D32</f>
        <v>311302000</v>
      </c>
      <c r="E108" s="180">
        <f>+E32</f>
        <v>319727000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376523000</v>
      </c>
      <c r="D109" s="180">
        <f>+D107+D108</f>
        <v>353947000</v>
      </c>
      <c r="E109" s="180">
        <f>+E107+E108</f>
        <v>359942000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12.777590446003732</v>
      </c>
      <c r="D111" s="197">
        <f>IF((+D113+D115)=0,0,((+D112+D113+D114)/(+D113+D115)))</f>
        <v>9.4409701534776751</v>
      </c>
      <c r="E111" s="197">
        <f>IF((+E113+E115)=0,0,((+E112+E113+E114)/(+E113+E115)))</f>
        <v>12.785836847173615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12993440</v>
      </c>
      <c r="D112" s="180">
        <f>+D17</f>
        <v>6022000</v>
      </c>
      <c r="E112" s="180">
        <f>+E17</f>
        <v>15983000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448812</v>
      </c>
      <c r="D113" s="180">
        <v>425472</v>
      </c>
      <c r="E113" s="180">
        <v>357587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20275407</v>
      </c>
      <c r="D114" s="180">
        <v>18905989</v>
      </c>
      <c r="E114" s="180">
        <v>18406037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2190000</v>
      </c>
      <c r="D115" s="180">
        <v>2260000</v>
      </c>
      <c r="E115" s="180">
        <v>2360000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8.5583485451118193</v>
      </c>
      <c r="D119" s="197">
        <f>IF(+D121=0,0,(+D120)/(+D121))</f>
        <v>10.125997640218664</v>
      </c>
      <c r="E119" s="197">
        <f>IF(+E121=0,0,(+E120)/(+E121))</f>
        <v>9.6318398142957111</v>
      </c>
    </row>
    <row r="120" spans="1:8" ht="24" customHeight="1" x14ac:dyDescent="0.25">
      <c r="A120" s="17">
        <v>21</v>
      </c>
      <c r="B120" s="48" t="s">
        <v>381</v>
      </c>
      <c r="C120" s="180">
        <v>173524000</v>
      </c>
      <c r="D120" s="180">
        <v>191442000</v>
      </c>
      <c r="E120" s="180">
        <v>177284000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20275407</v>
      </c>
      <c r="D121" s="180">
        <v>18905989</v>
      </c>
      <c r="E121" s="180">
        <v>18406037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53059</v>
      </c>
      <c r="D124" s="198">
        <v>52638</v>
      </c>
      <c r="E124" s="198">
        <v>51919</v>
      </c>
    </row>
    <row r="125" spans="1:8" ht="24" customHeight="1" x14ac:dyDescent="0.2">
      <c r="A125" s="44">
        <v>2</v>
      </c>
      <c r="B125" s="48" t="s">
        <v>385</v>
      </c>
      <c r="C125" s="198">
        <v>13627</v>
      </c>
      <c r="D125" s="198">
        <v>13479</v>
      </c>
      <c r="E125" s="198">
        <v>13027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3.8936669846628016</v>
      </c>
      <c r="D126" s="199">
        <f>IF(D125=0,0,D124/D125)</f>
        <v>3.905185844647229</v>
      </c>
      <c r="E126" s="199">
        <f>IF(E125=0,0,E124/E125)</f>
        <v>3.9854916711445458</v>
      </c>
    </row>
    <row r="127" spans="1:8" ht="24" customHeight="1" x14ac:dyDescent="0.2">
      <c r="A127" s="44">
        <v>4</v>
      </c>
      <c r="B127" s="48" t="s">
        <v>387</v>
      </c>
      <c r="C127" s="198">
        <v>206</v>
      </c>
      <c r="D127" s="198">
        <v>206</v>
      </c>
      <c r="E127" s="198">
        <v>206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206</v>
      </c>
      <c r="E128" s="198">
        <v>206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206</v>
      </c>
      <c r="D129" s="198">
        <v>206</v>
      </c>
      <c r="E129" s="198">
        <v>206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0.7056</v>
      </c>
      <c r="D130" s="171">
        <v>0.7</v>
      </c>
      <c r="E130" s="171">
        <v>0.6905</v>
      </c>
    </row>
    <row r="131" spans="1:8" ht="24" customHeight="1" x14ac:dyDescent="0.2">
      <c r="A131" s="44">
        <v>7</v>
      </c>
      <c r="B131" s="48" t="s">
        <v>391</v>
      </c>
      <c r="C131" s="171">
        <v>0.7056</v>
      </c>
      <c r="D131" s="171">
        <v>0.7</v>
      </c>
      <c r="E131" s="171">
        <v>0.6905</v>
      </c>
    </row>
    <row r="132" spans="1:8" ht="24" customHeight="1" x14ac:dyDescent="0.2">
      <c r="A132" s="44">
        <v>8</v>
      </c>
      <c r="B132" s="48" t="s">
        <v>392</v>
      </c>
      <c r="C132" s="199">
        <v>1461.7</v>
      </c>
      <c r="D132" s="199">
        <v>1613</v>
      </c>
      <c r="E132" s="199">
        <v>1489.3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0.53577506129774555</v>
      </c>
      <c r="D135" s="203">
        <f>IF(D149=0,0,D143/D149)</f>
        <v>0.52379746807072514</v>
      </c>
      <c r="E135" s="203">
        <f>IF(E149=0,0,E143/E149)</f>
        <v>0.51752133488766583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0.37829051630001187</v>
      </c>
      <c r="D136" s="203">
        <f>IF(D149=0,0,D144/D149)</f>
        <v>0.38625106369240564</v>
      </c>
      <c r="E136" s="203">
        <f>IF(E149=0,0,E144/E149)</f>
        <v>0.38322321768172157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2.6592456318718673E-2</v>
      </c>
      <c r="D137" s="203">
        <f>IF(D149=0,0,D145/D149)</f>
        <v>3.3141697209920419E-2</v>
      </c>
      <c r="E137" s="203">
        <f>IF(E149=0,0,E145/E149)</f>
        <v>3.2528111081734361E-2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2.0857789989797686E-2</v>
      </c>
      <c r="D138" s="203">
        <f>IF(D149=0,0,D146/D149)</f>
        <v>2.1061659631994224E-2</v>
      </c>
      <c r="E138" s="203">
        <f>IF(E149=0,0,E146/E149)</f>
        <v>2.151430771353572E-2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3.7893754713300358E-2</v>
      </c>
      <c r="D139" s="203">
        <f>IF(D149=0,0,D147/D149)</f>
        <v>3.5284773564542807E-2</v>
      </c>
      <c r="E139" s="203">
        <f>IF(E149=0,0,E147/E149)</f>
        <v>4.4647560588403974E-2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5.9042138042590838E-4</v>
      </c>
      <c r="D140" s="203">
        <f>IF(D149=0,0,D148/D149)</f>
        <v>4.6333783041173609E-4</v>
      </c>
      <c r="E140" s="203">
        <f>IF(E149=0,0,E148/E149)</f>
        <v>5.6546804693847423E-4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1</v>
      </c>
      <c r="E141" s="203">
        <f>SUM(E135:E140)</f>
        <v>0.99999999999999989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482590259</v>
      </c>
      <c r="D143" s="205">
        <f>+D46-D147</f>
        <v>494988325</v>
      </c>
      <c r="E143" s="205">
        <f>+E46-E147</f>
        <v>502829445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340738738</v>
      </c>
      <c r="D144" s="205">
        <f>+D51</f>
        <v>365007047</v>
      </c>
      <c r="E144" s="205">
        <f>+E51</f>
        <v>372343911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23952702</v>
      </c>
      <c r="D145" s="205">
        <f>+D55</f>
        <v>31318886</v>
      </c>
      <c r="E145" s="205">
        <f>+E55</f>
        <v>31604672</v>
      </c>
    </row>
    <row r="146" spans="1:7" ht="20.100000000000001" customHeight="1" x14ac:dyDescent="0.2">
      <c r="A146" s="202">
        <v>11</v>
      </c>
      <c r="B146" s="201" t="s">
        <v>404</v>
      </c>
      <c r="C146" s="204">
        <v>18787299</v>
      </c>
      <c r="D146" s="205">
        <v>19903257</v>
      </c>
      <c r="E146" s="205">
        <v>20903539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34132154</v>
      </c>
      <c r="D147" s="205">
        <f>+D47</f>
        <v>33344092</v>
      </c>
      <c r="E147" s="205">
        <f>+E47</f>
        <v>43380063</v>
      </c>
    </row>
    <row r="148" spans="1:7" ht="20.100000000000001" customHeight="1" x14ac:dyDescent="0.2">
      <c r="A148" s="202">
        <v>13</v>
      </c>
      <c r="B148" s="201" t="s">
        <v>406</v>
      </c>
      <c r="C148" s="206">
        <v>531812</v>
      </c>
      <c r="D148" s="205">
        <v>437854</v>
      </c>
      <c r="E148" s="205">
        <v>549415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900732964</v>
      </c>
      <c r="D149" s="205">
        <f>SUM(D143:D148)</f>
        <v>944999461</v>
      </c>
      <c r="E149" s="205">
        <f>SUM(E143:E148)</f>
        <v>971611045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0.67801919768779995</v>
      </c>
      <c r="D152" s="203">
        <f>IF(D166=0,0,D160/D166)</f>
        <v>0.68167156742086998</v>
      </c>
      <c r="E152" s="203">
        <f>IF(E166=0,0,E160/E166)</f>
        <v>0.68088444800581072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0.2770158926842135</v>
      </c>
      <c r="D153" s="203">
        <f>IF(D166=0,0,D161/D166)</f>
        <v>0.26800159086705871</v>
      </c>
      <c r="E153" s="203">
        <f>IF(E166=0,0,E161/E166)</f>
        <v>0.25122151891915306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1.6051374148700243E-2</v>
      </c>
      <c r="D154" s="203">
        <f>IF(D166=0,0,D162/D166)</f>
        <v>2.3666557362298037E-2</v>
      </c>
      <c r="E154" s="203">
        <f>IF(E166=0,0,E162/E166)</f>
        <v>1.2715955592036126E-2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1.5499494858612519E-2</v>
      </c>
      <c r="D155" s="203">
        <f>IF(D166=0,0,D163/D166)</f>
        <v>1.0021977750971153E-2</v>
      </c>
      <c r="E155" s="203">
        <f>IF(E166=0,0,E163/E166)</f>
        <v>1.061323220067897E-2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1.3275480010057045E-2</v>
      </c>
      <c r="D156" s="203">
        <f>IF(D166=0,0,D164/D166)</f>
        <v>1.6131019991425966E-2</v>
      </c>
      <c r="E156" s="203">
        <f>IF(E166=0,0,E164/E166)</f>
        <v>4.3453388149492012E-2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1.3856061061668138E-4</v>
      </c>
      <c r="D157" s="203">
        <f>IF(D166=0,0,D165/D166)</f>
        <v>5.0728660737610115E-4</v>
      </c>
      <c r="E157" s="203">
        <f>IF(E166=0,0,E165/E166)</f>
        <v>1.1114571328291354E-3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1.0000000000000002</v>
      </c>
      <c r="D158" s="203">
        <f>SUM(D152:D157)</f>
        <v>1</v>
      </c>
      <c r="E158" s="203">
        <f>SUM(E152:E157)</f>
        <v>1.0000000000000002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183337423</v>
      </c>
      <c r="D160" s="208">
        <f>+D44-D164</f>
        <v>198572824</v>
      </c>
      <c r="E160" s="208">
        <f>+E44-E164</f>
        <v>208048086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74905519</v>
      </c>
      <c r="D161" s="208">
        <f>+D50</f>
        <v>78069609</v>
      </c>
      <c r="E161" s="208">
        <f>+E50</f>
        <v>76762153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4340316</v>
      </c>
      <c r="D162" s="208">
        <f>+D54</f>
        <v>6894134</v>
      </c>
      <c r="E162" s="208">
        <f>+E54</f>
        <v>3885432</v>
      </c>
    </row>
    <row r="163" spans="1:6" ht="20.100000000000001" customHeight="1" x14ac:dyDescent="0.2">
      <c r="A163" s="202">
        <v>11</v>
      </c>
      <c r="B163" s="201" t="s">
        <v>420</v>
      </c>
      <c r="C163" s="207">
        <v>4191087</v>
      </c>
      <c r="D163" s="208">
        <v>2919430</v>
      </c>
      <c r="E163" s="208">
        <v>3242933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3589710</v>
      </c>
      <c r="D164" s="208">
        <f>+D45</f>
        <v>4699011</v>
      </c>
      <c r="E164" s="208">
        <f>+E45</f>
        <v>13277428</v>
      </c>
    </row>
    <row r="165" spans="1:6" ht="20.100000000000001" customHeight="1" x14ac:dyDescent="0.2">
      <c r="A165" s="202">
        <v>13</v>
      </c>
      <c r="B165" s="201" t="s">
        <v>422</v>
      </c>
      <c r="C165" s="209">
        <v>37467</v>
      </c>
      <c r="D165" s="208">
        <v>147774</v>
      </c>
      <c r="E165" s="208">
        <v>339612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270401522</v>
      </c>
      <c r="D166" s="208">
        <f>SUM(D160:D165)</f>
        <v>291302782</v>
      </c>
      <c r="E166" s="208">
        <f>SUM(E160:E165)</f>
        <v>305555644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7582</v>
      </c>
      <c r="D169" s="198">
        <v>7441</v>
      </c>
      <c r="E169" s="198">
        <v>7317</v>
      </c>
    </row>
    <row r="170" spans="1:6" ht="20.100000000000001" customHeight="1" x14ac:dyDescent="0.2">
      <c r="A170" s="202">
        <v>2</v>
      </c>
      <c r="B170" s="201" t="s">
        <v>426</v>
      </c>
      <c r="C170" s="198">
        <v>5269</v>
      </c>
      <c r="D170" s="198">
        <v>5255</v>
      </c>
      <c r="E170" s="198">
        <v>4984</v>
      </c>
    </row>
    <row r="171" spans="1:6" ht="20.100000000000001" customHeight="1" x14ac:dyDescent="0.2">
      <c r="A171" s="202">
        <v>3</v>
      </c>
      <c r="B171" s="201" t="s">
        <v>427</v>
      </c>
      <c r="C171" s="198">
        <v>770</v>
      </c>
      <c r="D171" s="198">
        <v>779</v>
      </c>
      <c r="E171" s="198">
        <v>722</v>
      </c>
    </row>
    <row r="172" spans="1:6" ht="20.100000000000001" customHeight="1" x14ac:dyDescent="0.2">
      <c r="A172" s="202">
        <v>4</v>
      </c>
      <c r="B172" s="201" t="s">
        <v>428</v>
      </c>
      <c r="C172" s="198">
        <v>517</v>
      </c>
      <c r="D172" s="198">
        <v>445</v>
      </c>
      <c r="E172" s="198">
        <v>425</v>
      </c>
    </row>
    <row r="173" spans="1:6" ht="20.100000000000001" customHeight="1" x14ac:dyDescent="0.2">
      <c r="A173" s="202">
        <v>5</v>
      </c>
      <c r="B173" s="201" t="s">
        <v>429</v>
      </c>
      <c r="C173" s="198">
        <v>253</v>
      </c>
      <c r="D173" s="198">
        <v>334</v>
      </c>
      <c r="E173" s="198">
        <v>297</v>
      </c>
    </row>
    <row r="174" spans="1:6" ht="20.100000000000001" customHeight="1" x14ac:dyDescent="0.2">
      <c r="A174" s="202">
        <v>6</v>
      </c>
      <c r="B174" s="201" t="s">
        <v>430</v>
      </c>
      <c r="C174" s="198">
        <v>6</v>
      </c>
      <c r="D174" s="198">
        <v>4</v>
      </c>
      <c r="E174" s="198">
        <v>4</v>
      </c>
    </row>
    <row r="175" spans="1:6" ht="20.100000000000001" customHeight="1" x14ac:dyDescent="0.2">
      <c r="A175" s="202">
        <v>7</v>
      </c>
      <c r="B175" s="201" t="s">
        <v>431</v>
      </c>
      <c r="C175" s="198">
        <v>333</v>
      </c>
      <c r="D175" s="198">
        <v>290</v>
      </c>
      <c r="E175" s="198">
        <v>370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13627</v>
      </c>
      <c r="D176" s="198">
        <f>+D169+D170+D171+D174</f>
        <v>13479</v>
      </c>
      <c r="E176" s="198">
        <f>+E169+E170+E171+E174</f>
        <v>13027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0.87150000000000005</v>
      </c>
      <c r="D179" s="210">
        <v>0.94159999999999999</v>
      </c>
      <c r="E179" s="210">
        <v>0.8478</v>
      </c>
    </row>
    <row r="180" spans="1:6" ht="20.100000000000001" customHeight="1" x14ac:dyDescent="0.2">
      <c r="A180" s="202">
        <v>2</v>
      </c>
      <c r="B180" s="201" t="s">
        <v>426</v>
      </c>
      <c r="C180" s="210">
        <v>1.4205000000000001</v>
      </c>
      <c r="D180" s="210">
        <v>1.4139999999999999</v>
      </c>
      <c r="E180" s="210">
        <v>1.347</v>
      </c>
    </row>
    <row r="181" spans="1:6" ht="20.100000000000001" customHeight="1" x14ac:dyDescent="0.2">
      <c r="A181" s="202">
        <v>3</v>
      </c>
      <c r="B181" s="201" t="s">
        <v>427</v>
      </c>
      <c r="C181" s="210">
        <v>0.92362100000000003</v>
      </c>
      <c r="D181" s="210">
        <v>0.97698399999999996</v>
      </c>
      <c r="E181" s="210">
        <v>1.0041249999999999</v>
      </c>
    </row>
    <row r="182" spans="1:6" ht="20.100000000000001" customHeight="1" x14ac:dyDescent="0.2">
      <c r="A182" s="202">
        <v>4</v>
      </c>
      <c r="B182" s="201" t="s">
        <v>428</v>
      </c>
      <c r="C182" s="210">
        <v>0.87909999999999999</v>
      </c>
      <c r="D182" s="210">
        <v>0.97989999999999999</v>
      </c>
      <c r="E182" s="210">
        <v>0.92859999999999998</v>
      </c>
    </row>
    <row r="183" spans="1:6" ht="20.100000000000001" customHeight="1" x14ac:dyDescent="0.2">
      <c r="A183" s="202">
        <v>5</v>
      </c>
      <c r="B183" s="201" t="s">
        <v>429</v>
      </c>
      <c r="C183" s="210">
        <v>1.0145999999999999</v>
      </c>
      <c r="D183" s="210">
        <v>0.97309999999999997</v>
      </c>
      <c r="E183" s="210">
        <v>1.1122000000000001</v>
      </c>
    </row>
    <row r="184" spans="1:6" ht="20.100000000000001" customHeight="1" x14ac:dyDescent="0.2">
      <c r="A184" s="202">
        <v>6</v>
      </c>
      <c r="B184" s="201" t="s">
        <v>430</v>
      </c>
      <c r="C184" s="210">
        <v>0.99019999999999997</v>
      </c>
      <c r="D184" s="210">
        <v>0.58199999999999996</v>
      </c>
      <c r="E184" s="210">
        <v>1.1954</v>
      </c>
    </row>
    <row r="185" spans="1:6" ht="20.100000000000001" customHeight="1" x14ac:dyDescent="0.2">
      <c r="A185" s="202">
        <v>7</v>
      </c>
      <c r="B185" s="201" t="s">
        <v>431</v>
      </c>
      <c r="C185" s="210">
        <v>0.99360000000000004</v>
      </c>
      <c r="D185" s="210">
        <v>0.99399999999999999</v>
      </c>
      <c r="E185" s="210">
        <v>0.90229999999999999</v>
      </c>
    </row>
    <row r="186" spans="1:6" ht="20.100000000000001" customHeight="1" x14ac:dyDescent="0.2">
      <c r="A186" s="202">
        <v>8</v>
      </c>
      <c r="B186" s="201" t="s">
        <v>435</v>
      </c>
      <c r="C186" s="210">
        <v>1.086773</v>
      </c>
      <c r="D186" s="210">
        <v>1.12771</v>
      </c>
      <c r="E186" s="210">
        <v>1.0475589999999999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7764</v>
      </c>
      <c r="D189" s="198">
        <v>7715</v>
      </c>
      <c r="E189" s="198">
        <v>7663</v>
      </c>
    </row>
    <row r="190" spans="1:6" ht="20.100000000000001" customHeight="1" x14ac:dyDescent="0.2">
      <c r="A190" s="202">
        <v>2</v>
      </c>
      <c r="B190" s="201" t="s">
        <v>439</v>
      </c>
      <c r="C190" s="198">
        <v>34887</v>
      </c>
      <c r="D190" s="198">
        <v>35170</v>
      </c>
      <c r="E190" s="198">
        <v>35924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42651</v>
      </c>
      <c r="D191" s="198">
        <f>+D190+D189</f>
        <v>42885</v>
      </c>
      <c r="E191" s="198">
        <f>+E190+E189</f>
        <v>43587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FILING&amp;RGREENWICH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136918</v>
      </c>
      <c r="D14" s="237">
        <v>59068</v>
      </c>
      <c r="E14" s="237">
        <f t="shared" ref="E14:E24" si="0">D14-C14</f>
        <v>-77850</v>
      </c>
      <c r="F14" s="238">
        <f t="shared" ref="F14:F24" si="1">IF(C14=0,0,E14/C14)</f>
        <v>-0.56858849822521507</v>
      </c>
    </row>
    <row r="15" spans="1:7" ht="20.25" customHeight="1" x14ac:dyDescent="0.3">
      <c r="A15" s="235">
        <v>2</v>
      </c>
      <c r="B15" s="236" t="s">
        <v>447</v>
      </c>
      <c r="C15" s="237">
        <v>70457</v>
      </c>
      <c r="D15" s="237">
        <v>13525</v>
      </c>
      <c r="E15" s="237">
        <f t="shared" si="0"/>
        <v>-56932</v>
      </c>
      <c r="F15" s="238">
        <f t="shared" si="1"/>
        <v>-0.80803894573995483</v>
      </c>
    </row>
    <row r="16" spans="1:7" ht="20.25" customHeight="1" x14ac:dyDescent="0.3">
      <c r="A16" s="235">
        <v>3</v>
      </c>
      <c r="B16" s="236" t="s">
        <v>448</v>
      </c>
      <c r="C16" s="237">
        <v>285950</v>
      </c>
      <c r="D16" s="237">
        <v>88310</v>
      </c>
      <c r="E16" s="237">
        <f t="shared" si="0"/>
        <v>-197640</v>
      </c>
      <c r="F16" s="238">
        <f t="shared" si="1"/>
        <v>-0.69116978492743486</v>
      </c>
    </row>
    <row r="17" spans="1:6" ht="20.25" customHeight="1" x14ac:dyDescent="0.3">
      <c r="A17" s="235">
        <v>4</v>
      </c>
      <c r="B17" s="236" t="s">
        <v>449</v>
      </c>
      <c r="C17" s="237">
        <v>55633</v>
      </c>
      <c r="D17" s="237">
        <v>25566</v>
      </c>
      <c r="E17" s="237">
        <f t="shared" si="0"/>
        <v>-30067</v>
      </c>
      <c r="F17" s="238">
        <f t="shared" si="1"/>
        <v>-0.54045260906296622</v>
      </c>
    </row>
    <row r="18" spans="1:6" ht="20.25" customHeight="1" x14ac:dyDescent="0.3">
      <c r="A18" s="235">
        <v>5</v>
      </c>
      <c r="B18" s="236" t="s">
        <v>385</v>
      </c>
      <c r="C18" s="239">
        <v>4</v>
      </c>
      <c r="D18" s="239">
        <v>2</v>
      </c>
      <c r="E18" s="239">
        <f t="shared" si="0"/>
        <v>-2</v>
      </c>
      <c r="F18" s="238">
        <f t="shared" si="1"/>
        <v>-0.5</v>
      </c>
    </row>
    <row r="19" spans="1:6" ht="20.25" customHeight="1" x14ac:dyDescent="0.3">
      <c r="A19" s="235">
        <v>6</v>
      </c>
      <c r="B19" s="236" t="s">
        <v>384</v>
      </c>
      <c r="C19" s="239">
        <v>13</v>
      </c>
      <c r="D19" s="239">
        <v>5</v>
      </c>
      <c r="E19" s="239">
        <f t="shared" si="0"/>
        <v>-8</v>
      </c>
      <c r="F19" s="238">
        <f t="shared" si="1"/>
        <v>-0.61538461538461542</v>
      </c>
    </row>
    <row r="20" spans="1:6" ht="20.25" customHeight="1" x14ac:dyDescent="0.3">
      <c r="A20" s="235">
        <v>7</v>
      </c>
      <c r="B20" s="236" t="s">
        <v>450</v>
      </c>
      <c r="C20" s="239">
        <v>182</v>
      </c>
      <c r="D20" s="239">
        <v>76</v>
      </c>
      <c r="E20" s="239">
        <f t="shared" si="0"/>
        <v>-106</v>
      </c>
      <c r="F20" s="238">
        <f t="shared" si="1"/>
        <v>-0.58241758241758246</v>
      </c>
    </row>
    <row r="21" spans="1:6" ht="20.25" customHeight="1" x14ac:dyDescent="0.3">
      <c r="A21" s="235">
        <v>8</v>
      </c>
      <c r="B21" s="236" t="s">
        <v>451</v>
      </c>
      <c r="C21" s="239">
        <v>13</v>
      </c>
      <c r="D21" s="239">
        <v>4</v>
      </c>
      <c r="E21" s="239">
        <f t="shared" si="0"/>
        <v>-9</v>
      </c>
      <c r="F21" s="238">
        <f t="shared" si="1"/>
        <v>-0.69230769230769229</v>
      </c>
    </row>
    <row r="22" spans="1:6" ht="20.25" customHeight="1" x14ac:dyDescent="0.3">
      <c r="A22" s="235">
        <v>9</v>
      </c>
      <c r="B22" s="236" t="s">
        <v>452</v>
      </c>
      <c r="C22" s="239">
        <v>1</v>
      </c>
      <c r="D22" s="239">
        <v>0</v>
      </c>
      <c r="E22" s="239">
        <f t="shared" si="0"/>
        <v>-1</v>
      </c>
      <c r="F22" s="238">
        <f t="shared" si="1"/>
        <v>-1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422868</v>
      </c>
      <c r="D23" s="243">
        <f>+D14+D16</f>
        <v>147378</v>
      </c>
      <c r="E23" s="243">
        <f t="shared" si="0"/>
        <v>-275490</v>
      </c>
      <c r="F23" s="244">
        <f t="shared" si="1"/>
        <v>-0.65147989443514287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126090</v>
      </c>
      <c r="D24" s="243">
        <f>+D15+D17</f>
        <v>39091</v>
      </c>
      <c r="E24" s="243">
        <f t="shared" si="0"/>
        <v>-86999</v>
      </c>
      <c r="F24" s="244">
        <f t="shared" si="1"/>
        <v>-0.6899754143865493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275085</v>
      </c>
      <c r="D40" s="237">
        <v>224869</v>
      </c>
      <c r="E40" s="237">
        <f t="shared" ref="E40:E50" si="4">D40-C40</f>
        <v>-50216</v>
      </c>
      <c r="F40" s="238">
        <f t="shared" ref="F40:F50" si="5">IF(C40=0,0,E40/C40)</f>
        <v>-0.18254721267971719</v>
      </c>
    </row>
    <row r="41" spans="1:6" ht="20.25" customHeight="1" x14ac:dyDescent="0.3">
      <c r="A41" s="235">
        <v>2</v>
      </c>
      <c r="B41" s="236" t="s">
        <v>447</v>
      </c>
      <c r="C41" s="237">
        <v>68898</v>
      </c>
      <c r="D41" s="237">
        <v>29727</v>
      </c>
      <c r="E41" s="237">
        <f t="shared" si="4"/>
        <v>-39171</v>
      </c>
      <c r="F41" s="238">
        <f t="shared" si="5"/>
        <v>-0.56853609683880524</v>
      </c>
    </row>
    <row r="42" spans="1:6" ht="20.25" customHeight="1" x14ac:dyDescent="0.3">
      <c r="A42" s="235">
        <v>3</v>
      </c>
      <c r="B42" s="236" t="s">
        <v>448</v>
      </c>
      <c r="C42" s="237">
        <v>320943</v>
      </c>
      <c r="D42" s="237">
        <v>614114</v>
      </c>
      <c r="E42" s="237">
        <f t="shared" si="4"/>
        <v>293171</v>
      </c>
      <c r="F42" s="238">
        <f t="shared" si="5"/>
        <v>0.91346750045958314</v>
      </c>
    </row>
    <row r="43" spans="1:6" ht="20.25" customHeight="1" x14ac:dyDescent="0.3">
      <c r="A43" s="235">
        <v>4</v>
      </c>
      <c r="B43" s="236" t="s">
        <v>449</v>
      </c>
      <c r="C43" s="237">
        <v>137641</v>
      </c>
      <c r="D43" s="237">
        <v>225734</v>
      </c>
      <c r="E43" s="237">
        <f t="shared" si="4"/>
        <v>88093</v>
      </c>
      <c r="F43" s="238">
        <f t="shared" si="5"/>
        <v>0.64002005216468927</v>
      </c>
    </row>
    <row r="44" spans="1:6" ht="20.25" customHeight="1" x14ac:dyDescent="0.3">
      <c r="A44" s="235">
        <v>5</v>
      </c>
      <c r="B44" s="236" t="s">
        <v>385</v>
      </c>
      <c r="C44" s="239">
        <v>6</v>
      </c>
      <c r="D44" s="239">
        <v>7</v>
      </c>
      <c r="E44" s="239">
        <f t="shared" si="4"/>
        <v>1</v>
      </c>
      <c r="F44" s="238">
        <f t="shared" si="5"/>
        <v>0.16666666666666666</v>
      </c>
    </row>
    <row r="45" spans="1:6" ht="20.25" customHeight="1" x14ac:dyDescent="0.3">
      <c r="A45" s="235">
        <v>6</v>
      </c>
      <c r="B45" s="236" t="s">
        <v>384</v>
      </c>
      <c r="C45" s="239">
        <v>22</v>
      </c>
      <c r="D45" s="239">
        <v>27</v>
      </c>
      <c r="E45" s="239">
        <f t="shared" si="4"/>
        <v>5</v>
      </c>
      <c r="F45" s="238">
        <f t="shared" si="5"/>
        <v>0.22727272727272727</v>
      </c>
    </row>
    <row r="46" spans="1:6" ht="20.25" customHeight="1" x14ac:dyDescent="0.3">
      <c r="A46" s="235">
        <v>7</v>
      </c>
      <c r="B46" s="236" t="s">
        <v>450</v>
      </c>
      <c r="C46" s="239">
        <v>403</v>
      </c>
      <c r="D46" s="239">
        <v>522</v>
      </c>
      <c r="E46" s="239">
        <f t="shared" si="4"/>
        <v>119</v>
      </c>
      <c r="F46" s="238">
        <f t="shared" si="5"/>
        <v>0.29528535980148884</v>
      </c>
    </row>
    <row r="47" spans="1:6" ht="20.25" customHeight="1" x14ac:dyDescent="0.3">
      <c r="A47" s="235">
        <v>8</v>
      </c>
      <c r="B47" s="236" t="s">
        <v>451</v>
      </c>
      <c r="C47" s="239">
        <v>9</v>
      </c>
      <c r="D47" s="239">
        <v>7</v>
      </c>
      <c r="E47" s="239">
        <f t="shared" si="4"/>
        <v>-2</v>
      </c>
      <c r="F47" s="238">
        <f t="shared" si="5"/>
        <v>-0.22222222222222221</v>
      </c>
    </row>
    <row r="48" spans="1:6" ht="20.25" customHeight="1" x14ac:dyDescent="0.3">
      <c r="A48" s="235">
        <v>9</v>
      </c>
      <c r="B48" s="236" t="s">
        <v>452</v>
      </c>
      <c r="C48" s="239">
        <v>5</v>
      </c>
      <c r="D48" s="239">
        <v>6</v>
      </c>
      <c r="E48" s="239">
        <f t="shared" si="4"/>
        <v>1</v>
      </c>
      <c r="F48" s="238">
        <f t="shared" si="5"/>
        <v>0.2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596028</v>
      </c>
      <c r="D49" s="243">
        <f>+D40+D42</f>
        <v>838983</v>
      </c>
      <c r="E49" s="243">
        <f t="shared" si="4"/>
        <v>242955</v>
      </c>
      <c r="F49" s="244">
        <f t="shared" si="5"/>
        <v>0.40762346735388272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206539</v>
      </c>
      <c r="D50" s="243">
        <f>+D41+D43</f>
        <v>255461</v>
      </c>
      <c r="E50" s="243">
        <f t="shared" si="4"/>
        <v>48922</v>
      </c>
      <c r="F50" s="244">
        <f t="shared" si="5"/>
        <v>0.23686567670028422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427054</v>
      </c>
      <c r="D53" s="237">
        <v>0</v>
      </c>
      <c r="E53" s="237">
        <f t="shared" ref="E53:E63" si="6">D53-C53</f>
        <v>-427054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0</v>
      </c>
      <c r="D54" s="237">
        <v>0</v>
      </c>
      <c r="E54" s="237">
        <f t="shared" si="6"/>
        <v>0</v>
      </c>
      <c r="F54" s="238">
        <f t="shared" si="7"/>
        <v>0</v>
      </c>
    </row>
    <row r="55" spans="1:6" ht="20.25" customHeight="1" x14ac:dyDescent="0.3">
      <c r="A55" s="235">
        <v>3</v>
      </c>
      <c r="B55" s="236" t="s">
        <v>448</v>
      </c>
      <c r="C55" s="237">
        <v>967203</v>
      </c>
      <c r="D55" s="237">
        <v>0</v>
      </c>
      <c r="E55" s="237">
        <f t="shared" si="6"/>
        <v>-967203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0</v>
      </c>
      <c r="D56" s="237">
        <v>0</v>
      </c>
      <c r="E56" s="237">
        <f t="shared" si="6"/>
        <v>0</v>
      </c>
      <c r="F56" s="238">
        <f t="shared" si="7"/>
        <v>0</v>
      </c>
    </row>
    <row r="57" spans="1:6" ht="20.25" customHeight="1" x14ac:dyDescent="0.3">
      <c r="A57" s="235">
        <v>5</v>
      </c>
      <c r="B57" s="236" t="s">
        <v>385</v>
      </c>
      <c r="C57" s="239">
        <v>15</v>
      </c>
      <c r="D57" s="239">
        <v>0</v>
      </c>
      <c r="E57" s="239">
        <f t="shared" si="6"/>
        <v>-15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54</v>
      </c>
      <c r="D58" s="239">
        <v>0</v>
      </c>
      <c r="E58" s="239">
        <f t="shared" si="6"/>
        <v>-54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816</v>
      </c>
      <c r="D59" s="239">
        <v>0</v>
      </c>
      <c r="E59" s="239">
        <f t="shared" si="6"/>
        <v>-816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32</v>
      </c>
      <c r="D60" s="239">
        <v>0</v>
      </c>
      <c r="E60" s="239">
        <f t="shared" si="6"/>
        <v>-32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17</v>
      </c>
      <c r="D61" s="239">
        <v>0</v>
      </c>
      <c r="E61" s="239">
        <f t="shared" si="6"/>
        <v>-17</v>
      </c>
      <c r="F61" s="238">
        <f t="shared" si="7"/>
        <v>-1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1394257</v>
      </c>
      <c r="D62" s="243">
        <f>+D53+D55</f>
        <v>0</v>
      </c>
      <c r="E62" s="243">
        <f t="shared" si="6"/>
        <v>-1394257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0</v>
      </c>
      <c r="D63" s="243">
        <f>+D54+D56</f>
        <v>0</v>
      </c>
      <c r="E63" s="243">
        <f t="shared" si="6"/>
        <v>0</v>
      </c>
      <c r="F63" s="244">
        <f t="shared" si="7"/>
        <v>0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10528500</v>
      </c>
      <c r="D66" s="237">
        <v>9406773</v>
      </c>
      <c r="E66" s="237">
        <f t="shared" ref="E66:E76" si="8">D66-C66</f>
        <v>-1121727</v>
      </c>
      <c r="F66" s="238">
        <f t="shared" ref="F66:F76" si="9">IF(C66=0,0,E66/C66)</f>
        <v>-0.10654195754380966</v>
      </c>
    </row>
    <row r="67" spans="1:6" ht="20.25" customHeight="1" x14ac:dyDescent="0.3">
      <c r="A67" s="235">
        <v>2</v>
      </c>
      <c r="B67" s="236" t="s">
        <v>447</v>
      </c>
      <c r="C67" s="237">
        <v>2149052</v>
      </c>
      <c r="D67" s="237">
        <v>2225060</v>
      </c>
      <c r="E67" s="237">
        <f t="shared" si="8"/>
        <v>76008</v>
      </c>
      <c r="F67" s="238">
        <f t="shared" si="9"/>
        <v>3.5368153027474439E-2</v>
      </c>
    </row>
    <row r="68" spans="1:6" ht="20.25" customHeight="1" x14ac:dyDescent="0.3">
      <c r="A68" s="235">
        <v>3</v>
      </c>
      <c r="B68" s="236" t="s">
        <v>448</v>
      </c>
      <c r="C68" s="237">
        <v>4176027</v>
      </c>
      <c r="D68" s="237">
        <v>3935872</v>
      </c>
      <c r="E68" s="237">
        <f t="shared" si="8"/>
        <v>-240155</v>
      </c>
      <c r="F68" s="238">
        <f t="shared" si="9"/>
        <v>-5.75080094070273E-2</v>
      </c>
    </row>
    <row r="69" spans="1:6" ht="20.25" customHeight="1" x14ac:dyDescent="0.3">
      <c r="A69" s="235">
        <v>4</v>
      </c>
      <c r="B69" s="236" t="s">
        <v>449</v>
      </c>
      <c r="C69" s="237">
        <v>1269666</v>
      </c>
      <c r="D69" s="237">
        <v>1537875</v>
      </c>
      <c r="E69" s="237">
        <f t="shared" si="8"/>
        <v>268209</v>
      </c>
      <c r="F69" s="238">
        <f t="shared" si="9"/>
        <v>0.21124374441782326</v>
      </c>
    </row>
    <row r="70" spans="1:6" ht="20.25" customHeight="1" x14ac:dyDescent="0.3">
      <c r="A70" s="235">
        <v>5</v>
      </c>
      <c r="B70" s="236" t="s">
        <v>385</v>
      </c>
      <c r="C70" s="239">
        <v>265</v>
      </c>
      <c r="D70" s="239">
        <v>235</v>
      </c>
      <c r="E70" s="239">
        <f t="shared" si="8"/>
        <v>-30</v>
      </c>
      <c r="F70" s="238">
        <f t="shared" si="9"/>
        <v>-0.11320754716981132</v>
      </c>
    </row>
    <row r="71" spans="1:6" ht="20.25" customHeight="1" x14ac:dyDescent="0.3">
      <c r="A71" s="235">
        <v>6</v>
      </c>
      <c r="B71" s="236" t="s">
        <v>384</v>
      </c>
      <c r="C71" s="239">
        <v>1336</v>
      </c>
      <c r="D71" s="239">
        <v>1362</v>
      </c>
      <c r="E71" s="239">
        <f t="shared" si="8"/>
        <v>26</v>
      </c>
      <c r="F71" s="238">
        <f t="shared" si="9"/>
        <v>1.9461077844311378E-2</v>
      </c>
    </row>
    <row r="72" spans="1:6" ht="20.25" customHeight="1" x14ac:dyDescent="0.3">
      <c r="A72" s="235">
        <v>7</v>
      </c>
      <c r="B72" s="236" t="s">
        <v>450</v>
      </c>
      <c r="C72" s="239">
        <v>1346</v>
      </c>
      <c r="D72" s="239">
        <v>1275</v>
      </c>
      <c r="E72" s="239">
        <f t="shared" si="8"/>
        <v>-71</v>
      </c>
      <c r="F72" s="238">
        <f t="shared" si="9"/>
        <v>-5.274888558692422E-2</v>
      </c>
    </row>
    <row r="73" spans="1:6" ht="20.25" customHeight="1" x14ac:dyDescent="0.3">
      <c r="A73" s="235">
        <v>8</v>
      </c>
      <c r="B73" s="236" t="s">
        <v>451</v>
      </c>
      <c r="C73" s="239">
        <v>268</v>
      </c>
      <c r="D73" s="239">
        <v>283</v>
      </c>
      <c r="E73" s="239">
        <f t="shared" si="8"/>
        <v>15</v>
      </c>
      <c r="F73" s="238">
        <f t="shared" si="9"/>
        <v>5.5970149253731345E-2</v>
      </c>
    </row>
    <row r="74" spans="1:6" ht="20.25" customHeight="1" x14ac:dyDescent="0.3">
      <c r="A74" s="235">
        <v>9</v>
      </c>
      <c r="B74" s="236" t="s">
        <v>452</v>
      </c>
      <c r="C74" s="239">
        <v>263</v>
      </c>
      <c r="D74" s="239">
        <v>213</v>
      </c>
      <c r="E74" s="239">
        <f t="shared" si="8"/>
        <v>-50</v>
      </c>
      <c r="F74" s="238">
        <f t="shared" si="9"/>
        <v>-0.19011406844106463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14704527</v>
      </c>
      <c r="D75" s="243">
        <f>+D66+D68</f>
        <v>13342645</v>
      </c>
      <c r="E75" s="243">
        <f t="shared" si="8"/>
        <v>-1361882</v>
      </c>
      <c r="F75" s="244">
        <f t="shared" si="9"/>
        <v>-9.2616511908203511E-2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3418718</v>
      </c>
      <c r="D76" s="243">
        <f>+D67+D69</f>
        <v>3762935</v>
      </c>
      <c r="E76" s="243">
        <f t="shared" si="8"/>
        <v>344217</v>
      </c>
      <c r="F76" s="244">
        <f t="shared" si="9"/>
        <v>0.10068598813941367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1434156</v>
      </c>
      <c r="D79" s="237">
        <v>720530</v>
      </c>
      <c r="E79" s="237">
        <f t="shared" ref="E79:E89" si="10">D79-C79</f>
        <v>-713626</v>
      </c>
      <c r="F79" s="238">
        <f t="shared" ref="F79:F89" si="11">IF(C79=0,0,E79/C79)</f>
        <v>-0.49759300940762374</v>
      </c>
    </row>
    <row r="80" spans="1:6" ht="20.25" customHeight="1" x14ac:dyDescent="0.3">
      <c r="A80" s="235">
        <v>2</v>
      </c>
      <c r="B80" s="236" t="s">
        <v>447</v>
      </c>
      <c r="C80" s="237">
        <v>384065</v>
      </c>
      <c r="D80" s="237">
        <v>136255</v>
      </c>
      <c r="E80" s="237">
        <f t="shared" si="10"/>
        <v>-247810</v>
      </c>
      <c r="F80" s="238">
        <f t="shared" si="11"/>
        <v>-0.64522932316144399</v>
      </c>
    </row>
    <row r="81" spans="1:6" ht="20.25" customHeight="1" x14ac:dyDescent="0.3">
      <c r="A81" s="235">
        <v>3</v>
      </c>
      <c r="B81" s="236" t="s">
        <v>448</v>
      </c>
      <c r="C81" s="237">
        <v>1128053</v>
      </c>
      <c r="D81" s="237">
        <v>151826</v>
      </c>
      <c r="E81" s="237">
        <f t="shared" si="10"/>
        <v>-976227</v>
      </c>
      <c r="F81" s="238">
        <f t="shared" si="11"/>
        <v>-0.86540880614651972</v>
      </c>
    </row>
    <row r="82" spans="1:6" ht="20.25" customHeight="1" x14ac:dyDescent="0.3">
      <c r="A82" s="235">
        <v>4</v>
      </c>
      <c r="B82" s="236" t="s">
        <v>449</v>
      </c>
      <c r="C82" s="237">
        <v>537518</v>
      </c>
      <c r="D82" s="237">
        <v>35768</v>
      </c>
      <c r="E82" s="237">
        <f t="shared" si="10"/>
        <v>-501750</v>
      </c>
      <c r="F82" s="238">
        <f t="shared" si="11"/>
        <v>-0.93345711213391924</v>
      </c>
    </row>
    <row r="83" spans="1:6" ht="20.25" customHeight="1" x14ac:dyDescent="0.3">
      <c r="A83" s="235">
        <v>5</v>
      </c>
      <c r="B83" s="236" t="s">
        <v>385</v>
      </c>
      <c r="C83" s="239">
        <v>48</v>
      </c>
      <c r="D83" s="239">
        <v>14</v>
      </c>
      <c r="E83" s="239">
        <f t="shared" si="10"/>
        <v>-34</v>
      </c>
      <c r="F83" s="238">
        <f t="shared" si="11"/>
        <v>-0.70833333333333337</v>
      </c>
    </row>
    <row r="84" spans="1:6" ht="20.25" customHeight="1" x14ac:dyDescent="0.3">
      <c r="A84" s="235">
        <v>6</v>
      </c>
      <c r="B84" s="236" t="s">
        <v>384</v>
      </c>
      <c r="C84" s="239">
        <v>191</v>
      </c>
      <c r="D84" s="239">
        <v>119</v>
      </c>
      <c r="E84" s="239">
        <f t="shared" si="10"/>
        <v>-72</v>
      </c>
      <c r="F84" s="238">
        <f t="shared" si="11"/>
        <v>-0.37696335078534032</v>
      </c>
    </row>
    <row r="85" spans="1:6" ht="20.25" customHeight="1" x14ac:dyDescent="0.3">
      <c r="A85" s="235">
        <v>7</v>
      </c>
      <c r="B85" s="236" t="s">
        <v>450</v>
      </c>
      <c r="C85" s="239">
        <v>212</v>
      </c>
      <c r="D85" s="239">
        <v>60</v>
      </c>
      <c r="E85" s="239">
        <f t="shared" si="10"/>
        <v>-152</v>
      </c>
      <c r="F85" s="238">
        <f t="shared" si="11"/>
        <v>-0.71698113207547165</v>
      </c>
    </row>
    <row r="86" spans="1:6" ht="20.25" customHeight="1" x14ac:dyDescent="0.3">
      <c r="A86" s="235">
        <v>8</v>
      </c>
      <c r="B86" s="236" t="s">
        <v>451</v>
      </c>
      <c r="C86" s="239">
        <v>51</v>
      </c>
      <c r="D86" s="239">
        <v>12</v>
      </c>
      <c r="E86" s="239">
        <f t="shared" si="10"/>
        <v>-39</v>
      </c>
      <c r="F86" s="238">
        <f t="shared" si="11"/>
        <v>-0.76470588235294112</v>
      </c>
    </row>
    <row r="87" spans="1:6" ht="20.25" customHeight="1" x14ac:dyDescent="0.3">
      <c r="A87" s="235">
        <v>9</v>
      </c>
      <c r="B87" s="236" t="s">
        <v>452</v>
      </c>
      <c r="C87" s="239">
        <v>49</v>
      </c>
      <c r="D87" s="239">
        <v>13</v>
      </c>
      <c r="E87" s="239">
        <f t="shared" si="10"/>
        <v>-36</v>
      </c>
      <c r="F87" s="238">
        <f t="shared" si="11"/>
        <v>-0.73469387755102045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2562209</v>
      </c>
      <c r="D88" s="243">
        <f>+D79+D81</f>
        <v>872356</v>
      </c>
      <c r="E88" s="243">
        <f t="shared" si="10"/>
        <v>-1689853</v>
      </c>
      <c r="F88" s="244">
        <f t="shared" si="11"/>
        <v>-0.6595297261074331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921583</v>
      </c>
      <c r="D89" s="243">
        <f>+D80+D82</f>
        <v>172023</v>
      </c>
      <c r="E89" s="243">
        <f t="shared" si="10"/>
        <v>-749560</v>
      </c>
      <c r="F89" s="244">
        <f t="shared" si="11"/>
        <v>-0.81333965578792145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3964430</v>
      </c>
      <c r="D92" s="237">
        <v>7604896</v>
      </c>
      <c r="E92" s="237">
        <f t="shared" ref="E92:E102" si="12">D92-C92</f>
        <v>3640466</v>
      </c>
      <c r="F92" s="238">
        <f t="shared" ref="F92:F102" si="13">IF(C92=0,0,E92/C92)</f>
        <v>0.91828232558022216</v>
      </c>
    </row>
    <row r="93" spans="1:6" ht="20.25" customHeight="1" x14ac:dyDescent="0.3">
      <c r="A93" s="235">
        <v>2</v>
      </c>
      <c r="B93" s="236" t="s">
        <v>447</v>
      </c>
      <c r="C93" s="237">
        <v>1256199</v>
      </c>
      <c r="D93" s="237">
        <v>1662161</v>
      </c>
      <c r="E93" s="237">
        <f t="shared" si="12"/>
        <v>405962</v>
      </c>
      <c r="F93" s="238">
        <f t="shared" si="13"/>
        <v>0.32316695045928234</v>
      </c>
    </row>
    <row r="94" spans="1:6" ht="20.25" customHeight="1" x14ac:dyDescent="0.3">
      <c r="A94" s="235">
        <v>3</v>
      </c>
      <c r="B94" s="236" t="s">
        <v>448</v>
      </c>
      <c r="C94" s="237">
        <v>3286326</v>
      </c>
      <c r="D94" s="237">
        <v>5600499</v>
      </c>
      <c r="E94" s="237">
        <f t="shared" si="12"/>
        <v>2314173</v>
      </c>
      <c r="F94" s="238">
        <f t="shared" si="13"/>
        <v>0.70418242134225273</v>
      </c>
    </row>
    <row r="95" spans="1:6" ht="20.25" customHeight="1" x14ac:dyDescent="0.3">
      <c r="A95" s="235">
        <v>4</v>
      </c>
      <c r="B95" s="236" t="s">
        <v>449</v>
      </c>
      <c r="C95" s="237">
        <v>1564602</v>
      </c>
      <c r="D95" s="237">
        <v>1404011</v>
      </c>
      <c r="E95" s="237">
        <f t="shared" si="12"/>
        <v>-160591</v>
      </c>
      <c r="F95" s="238">
        <f t="shared" si="13"/>
        <v>-0.10264016024522531</v>
      </c>
    </row>
    <row r="96" spans="1:6" ht="20.25" customHeight="1" x14ac:dyDescent="0.3">
      <c r="A96" s="235">
        <v>5</v>
      </c>
      <c r="B96" s="236" t="s">
        <v>385</v>
      </c>
      <c r="C96" s="239">
        <v>66</v>
      </c>
      <c r="D96" s="239">
        <v>154</v>
      </c>
      <c r="E96" s="239">
        <f t="shared" si="12"/>
        <v>88</v>
      </c>
      <c r="F96" s="238">
        <f t="shared" si="13"/>
        <v>1.3333333333333333</v>
      </c>
    </row>
    <row r="97" spans="1:6" ht="20.25" customHeight="1" x14ac:dyDescent="0.3">
      <c r="A97" s="235">
        <v>6</v>
      </c>
      <c r="B97" s="236" t="s">
        <v>384</v>
      </c>
      <c r="C97" s="239">
        <v>428</v>
      </c>
      <c r="D97" s="239">
        <v>1080</v>
      </c>
      <c r="E97" s="239">
        <f t="shared" si="12"/>
        <v>652</v>
      </c>
      <c r="F97" s="238">
        <f t="shared" si="13"/>
        <v>1.5233644859813085</v>
      </c>
    </row>
    <row r="98" spans="1:6" ht="20.25" customHeight="1" x14ac:dyDescent="0.3">
      <c r="A98" s="235">
        <v>7</v>
      </c>
      <c r="B98" s="236" t="s">
        <v>450</v>
      </c>
      <c r="C98" s="239">
        <v>2980</v>
      </c>
      <c r="D98" s="239">
        <v>4278</v>
      </c>
      <c r="E98" s="239">
        <f t="shared" si="12"/>
        <v>1298</v>
      </c>
      <c r="F98" s="238">
        <f t="shared" si="13"/>
        <v>0.43557046979865771</v>
      </c>
    </row>
    <row r="99" spans="1:6" ht="20.25" customHeight="1" x14ac:dyDescent="0.3">
      <c r="A99" s="235">
        <v>8</v>
      </c>
      <c r="B99" s="236" t="s">
        <v>451</v>
      </c>
      <c r="C99" s="239">
        <v>112</v>
      </c>
      <c r="D99" s="239">
        <v>213</v>
      </c>
      <c r="E99" s="239">
        <f t="shared" si="12"/>
        <v>101</v>
      </c>
      <c r="F99" s="238">
        <f t="shared" si="13"/>
        <v>0.9017857142857143</v>
      </c>
    </row>
    <row r="100" spans="1:6" ht="20.25" customHeight="1" x14ac:dyDescent="0.3">
      <c r="A100" s="235">
        <v>9</v>
      </c>
      <c r="B100" s="236" t="s">
        <v>452</v>
      </c>
      <c r="C100" s="239">
        <v>60</v>
      </c>
      <c r="D100" s="239">
        <v>137</v>
      </c>
      <c r="E100" s="239">
        <f t="shared" si="12"/>
        <v>77</v>
      </c>
      <c r="F100" s="238">
        <f t="shared" si="13"/>
        <v>1.2833333333333334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7250756</v>
      </c>
      <c r="D101" s="243">
        <f>+D92+D94</f>
        <v>13205395</v>
      </c>
      <c r="E101" s="243">
        <f t="shared" si="12"/>
        <v>5954639</v>
      </c>
      <c r="F101" s="244">
        <f t="shared" si="13"/>
        <v>0.821243881327685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2820801</v>
      </c>
      <c r="D102" s="243">
        <f>+D93+D95</f>
        <v>3066172</v>
      </c>
      <c r="E102" s="243">
        <f t="shared" si="12"/>
        <v>245371</v>
      </c>
      <c r="F102" s="244">
        <f t="shared" si="13"/>
        <v>8.6986285101288599E-2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0</v>
      </c>
      <c r="D105" s="237">
        <v>0</v>
      </c>
      <c r="E105" s="237">
        <f t="shared" ref="E105:E115" si="14">D105-C105</f>
        <v>0</v>
      </c>
      <c r="F105" s="238">
        <f t="shared" ref="F105:F115" si="15">IF(C105=0,0,E105/C105)</f>
        <v>0</v>
      </c>
    </row>
    <row r="106" spans="1:6" ht="20.25" customHeight="1" x14ac:dyDescent="0.3">
      <c r="A106" s="235">
        <v>2</v>
      </c>
      <c r="B106" s="236" t="s">
        <v>447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 x14ac:dyDescent="0.3">
      <c r="A107" s="235">
        <v>3</v>
      </c>
      <c r="B107" s="236" t="s">
        <v>448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 x14ac:dyDescent="0.3">
      <c r="A108" s="235">
        <v>4</v>
      </c>
      <c r="B108" s="236" t="s">
        <v>449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 x14ac:dyDescent="0.3">
      <c r="A109" s="235">
        <v>5</v>
      </c>
      <c r="B109" s="236" t="s">
        <v>385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 x14ac:dyDescent="0.3">
      <c r="A110" s="235">
        <v>6</v>
      </c>
      <c r="B110" s="236" t="s">
        <v>384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 x14ac:dyDescent="0.3">
      <c r="A111" s="235">
        <v>7</v>
      </c>
      <c r="B111" s="236" t="s">
        <v>450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 x14ac:dyDescent="0.3">
      <c r="A112" s="235">
        <v>8</v>
      </c>
      <c r="B112" s="236" t="s">
        <v>451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 x14ac:dyDescent="0.3">
      <c r="A113" s="235">
        <v>9</v>
      </c>
      <c r="B113" s="236" t="s">
        <v>452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2654543</v>
      </c>
      <c r="D118" s="237">
        <v>2895953</v>
      </c>
      <c r="E118" s="237">
        <f t="shared" ref="E118:E128" si="16">D118-C118</f>
        <v>241410</v>
      </c>
      <c r="F118" s="238">
        <f t="shared" ref="F118:F128" si="17">IF(C118=0,0,E118/C118)</f>
        <v>9.0942207378068463E-2</v>
      </c>
    </row>
    <row r="119" spans="1:6" ht="20.25" customHeight="1" x14ac:dyDescent="0.3">
      <c r="A119" s="235">
        <v>2</v>
      </c>
      <c r="B119" s="236" t="s">
        <v>447</v>
      </c>
      <c r="C119" s="237">
        <v>562983</v>
      </c>
      <c r="D119" s="237">
        <v>644867</v>
      </c>
      <c r="E119" s="237">
        <f t="shared" si="16"/>
        <v>81884</v>
      </c>
      <c r="F119" s="238">
        <f t="shared" si="17"/>
        <v>0.14544666535223977</v>
      </c>
    </row>
    <row r="120" spans="1:6" ht="20.25" customHeight="1" x14ac:dyDescent="0.3">
      <c r="A120" s="235">
        <v>3</v>
      </c>
      <c r="B120" s="236" t="s">
        <v>448</v>
      </c>
      <c r="C120" s="237">
        <v>1325631</v>
      </c>
      <c r="D120" s="237">
        <v>1445281</v>
      </c>
      <c r="E120" s="237">
        <f t="shared" si="16"/>
        <v>119650</v>
      </c>
      <c r="F120" s="238">
        <f t="shared" si="17"/>
        <v>9.025890311859032E-2</v>
      </c>
    </row>
    <row r="121" spans="1:6" ht="20.25" customHeight="1" x14ac:dyDescent="0.3">
      <c r="A121" s="235">
        <v>4</v>
      </c>
      <c r="B121" s="236" t="s">
        <v>449</v>
      </c>
      <c r="C121" s="237">
        <v>291803</v>
      </c>
      <c r="D121" s="237">
        <v>390725</v>
      </c>
      <c r="E121" s="237">
        <f t="shared" si="16"/>
        <v>98922</v>
      </c>
      <c r="F121" s="238">
        <f t="shared" si="17"/>
        <v>0.33900268331716948</v>
      </c>
    </row>
    <row r="122" spans="1:6" ht="20.25" customHeight="1" x14ac:dyDescent="0.3">
      <c r="A122" s="235">
        <v>5</v>
      </c>
      <c r="B122" s="236" t="s">
        <v>385</v>
      </c>
      <c r="C122" s="239">
        <v>82</v>
      </c>
      <c r="D122" s="239">
        <v>73</v>
      </c>
      <c r="E122" s="239">
        <f t="shared" si="16"/>
        <v>-9</v>
      </c>
      <c r="F122" s="238">
        <f t="shared" si="17"/>
        <v>-0.10975609756097561</v>
      </c>
    </row>
    <row r="123" spans="1:6" ht="20.25" customHeight="1" x14ac:dyDescent="0.3">
      <c r="A123" s="235">
        <v>6</v>
      </c>
      <c r="B123" s="236" t="s">
        <v>384</v>
      </c>
      <c r="C123" s="239">
        <v>417</v>
      </c>
      <c r="D123" s="239">
        <v>433</v>
      </c>
      <c r="E123" s="239">
        <f t="shared" si="16"/>
        <v>16</v>
      </c>
      <c r="F123" s="238">
        <f t="shared" si="17"/>
        <v>3.8369304556354913E-2</v>
      </c>
    </row>
    <row r="124" spans="1:6" ht="20.25" customHeight="1" x14ac:dyDescent="0.3">
      <c r="A124" s="235">
        <v>7</v>
      </c>
      <c r="B124" s="236" t="s">
        <v>450</v>
      </c>
      <c r="C124" s="239">
        <v>706</v>
      </c>
      <c r="D124" s="239">
        <v>907</v>
      </c>
      <c r="E124" s="239">
        <f t="shared" si="16"/>
        <v>201</v>
      </c>
      <c r="F124" s="238">
        <f t="shared" si="17"/>
        <v>0.2847025495750708</v>
      </c>
    </row>
    <row r="125" spans="1:6" ht="20.25" customHeight="1" x14ac:dyDescent="0.3">
      <c r="A125" s="235">
        <v>8</v>
      </c>
      <c r="B125" s="236" t="s">
        <v>451</v>
      </c>
      <c r="C125" s="239">
        <v>82</v>
      </c>
      <c r="D125" s="239">
        <v>84</v>
      </c>
      <c r="E125" s="239">
        <f t="shared" si="16"/>
        <v>2</v>
      </c>
      <c r="F125" s="238">
        <f t="shared" si="17"/>
        <v>2.4390243902439025E-2</v>
      </c>
    </row>
    <row r="126" spans="1:6" ht="20.25" customHeight="1" x14ac:dyDescent="0.3">
      <c r="A126" s="235">
        <v>9</v>
      </c>
      <c r="B126" s="236" t="s">
        <v>452</v>
      </c>
      <c r="C126" s="239">
        <v>87</v>
      </c>
      <c r="D126" s="239">
        <v>71</v>
      </c>
      <c r="E126" s="239">
        <f t="shared" si="16"/>
        <v>-16</v>
      </c>
      <c r="F126" s="238">
        <f t="shared" si="17"/>
        <v>-0.18390804597701149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3980174</v>
      </c>
      <c r="D127" s="243">
        <f>+D118+D120</f>
        <v>4341234</v>
      </c>
      <c r="E127" s="243">
        <f t="shared" si="16"/>
        <v>361060</v>
      </c>
      <c r="F127" s="244">
        <f t="shared" si="17"/>
        <v>9.071462704896821E-2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854786</v>
      </c>
      <c r="D128" s="243">
        <f>+D119+D121</f>
        <v>1035592</v>
      </c>
      <c r="E128" s="243">
        <f t="shared" si="16"/>
        <v>180806</v>
      </c>
      <c r="F128" s="244">
        <f t="shared" si="17"/>
        <v>0.21152194818352196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0</v>
      </c>
      <c r="D131" s="237">
        <v>262875</v>
      </c>
      <c r="E131" s="237">
        <f t="shared" ref="E131:E141" si="18">D131-C131</f>
        <v>262875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447</v>
      </c>
      <c r="C132" s="237">
        <v>0</v>
      </c>
      <c r="D132" s="237">
        <v>52115</v>
      </c>
      <c r="E132" s="237">
        <f t="shared" si="18"/>
        <v>52115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448</v>
      </c>
      <c r="C133" s="237">
        <v>0</v>
      </c>
      <c r="D133" s="237">
        <v>78265</v>
      </c>
      <c r="E133" s="237">
        <f t="shared" si="18"/>
        <v>78265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449</v>
      </c>
      <c r="C134" s="237">
        <v>0</v>
      </c>
      <c r="D134" s="237">
        <v>28732</v>
      </c>
      <c r="E134" s="237">
        <f t="shared" si="18"/>
        <v>28732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385</v>
      </c>
      <c r="C135" s="239">
        <v>0</v>
      </c>
      <c r="D135" s="239">
        <v>4</v>
      </c>
      <c r="E135" s="239">
        <f t="shared" si="18"/>
        <v>4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384</v>
      </c>
      <c r="C136" s="239">
        <v>0</v>
      </c>
      <c r="D136" s="239">
        <v>36</v>
      </c>
      <c r="E136" s="239">
        <f t="shared" si="18"/>
        <v>36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450</v>
      </c>
      <c r="C137" s="239">
        <v>0</v>
      </c>
      <c r="D137" s="239">
        <v>28</v>
      </c>
      <c r="E137" s="239">
        <f t="shared" si="18"/>
        <v>28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451</v>
      </c>
      <c r="C138" s="239">
        <v>0</v>
      </c>
      <c r="D138" s="239">
        <v>13</v>
      </c>
      <c r="E138" s="239">
        <f t="shared" si="18"/>
        <v>13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452</v>
      </c>
      <c r="C139" s="239">
        <v>0</v>
      </c>
      <c r="D139" s="239">
        <v>4</v>
      </c>
      <c r="E139" s="239">
        <f t="shared" si="18"/>
        <v>4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0</v>
      </c>
      <c r="D140" s="243">
        <f>+D131+D133</f>
        <v>341140</v>
      </c>
      <c r="E140" s="243">
        <f t="shared" si="18"/>
        <v>341140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0</v>
      </c>
      <c r="D141" s="243">
        <f>+D132+D134</f>
        <v>80847</v>
      </c>
      <c r="E141" s="243">
        <f t="shared" si="18"/>
        <v>80847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447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448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449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385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384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450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451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452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19420686</v>
      </c>
      <c r="D198" s="243">
        <f t="shared" si="28"/>
        <v>21174964</v>
      </c>
      <c r="E198" s="243">
        <f t="shared" ref="E198:E208" si="29">D198-C198</f>
        <v>1754278</v>
      </c>
      <c r="F198" s="251">
        <f t="shared" ref="F198:F208" si="30">IF(C198=0,0,E198/C198)</f>
        <v>9.0330382768147324E-2</v>
      </c>
    </row>
    <row r="199" spans="1:9" ht="20.25" customHeight="1" x14ac:dyDescent="0.3">
      <c r="A199" s="249"/>
      <c r="B199" s="250" t="s">
        <v>473</v>
      </c>
      <c r="C199" s="243">
        <f t="shared" si="28"/>
        <v>4491654</v>
      </c>
      <c r="D199" s="243">
        <f t="shared" si="28"/>
        <v>4763710</v>
      </c>
      <c r="E199" s="243">
        <f t="shared" si="29"/>
        <v>272056</v>
      </c>
      <c r="F199" s="251">
        <f t="shared" si="30"/>
        <v>6.0569224610800387E-2</v>
      </c>
    </row>
    <row r="200" spans="1:9" ht="20.25" customHeight="1" x14ac:dyDescent="0.3">
      <c r="A200" s="249"/>
      <c r="B200" s="250" t="s">
        <v>474</v>
      </c>
      <c r="C200" s="243">
        <f t="shared" si="28"/>
        <v>11490133</v>
      </c>
      <c r="D200" s="243">
        <f t="shared" si="28"/>
        <v>11914167</v>
      </c>
      <c r="E200" s="243">
        <f t="shared" si="29"/>
        <v>424034</v>
      </c>
      <c r="F200" s="251">
        <f t="shared" si="30"/>
        <v>3.6904185530315443E-2</v>
      </c>
    </row>
    <row r="201" spans="1:9" ht="20.25" customHeight="1" x14ac:dyDescent="0.3">
      <c r="A201" s="249"/>
      <c r="B201" s="250" t="s">
        <v>475</v>
      </c>
      <c r="C201" s="243">
        <f t="shared" si="28"/>
        <v>3856863</v>
      </c>
      <c r="D201" s="243">
        <f t="shared" si="28"/>
        <v>3648411</v>
      </c>
      <c r="E201" s="243">
        <f t="shared" si="29"/>
        <v>-208452</v>
      </c>
      <c r="F201" s="251">
        <f t="shared" si="30"/>
        <v>-5.4047032523581992E-2</v>
      </c>
    </row>
    <row r="202" spans="1:9" ht="20.25" customHeight="1" x14ac:dyDescent="0.3">
      <c r="A202" s="249"/>
      <c r="B202" s="250" t="s">
        <v>476</v>
      </c>
      <c r="C202" s="252">
        <f t="shared" si="28"/>
        <v>486</v>
      </c>
      <c r="D202" s="252">
        <f t="shared" si="28"/>
        <v>489</v>
      </c>
      <c r="E202" s="252">
        <f t="shared" si="29"/>
        <v>3</v>
      </c>
      <c r="F202" s="251">
        <f t="shared" si="30"/>
        <v>6.1728395061728392E-3</v>
      </c>
    </row>
    <row r="203" spans="1:9" ht="20.25" customHeight="1" x14ac:dyDescent="0.3">
      <c r="A203" s="249"/>
      <c r="B203" s="250" t="s">
        <v>477</v>
      </c>
      <c r="C203" s="252">
        <f t="shared" si="28"/>
        <v>2461</v>
      </c>
      <c r="D203" s="252">
        <f t="shared" si="28"/>
        <v>3062</v>
      </c>
      <c r="E203" s="252">
        <f t="shared" si="29"/>
        <v>601</v>
      </c>
      <c r="F203" s="251">
        <f t="shared" si="30"/>
        <v>0.24420967086550183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6645</v>
      </c>
      <c r="D204" s="252">
        <f t="shared" si="28"/>
        <v>7146</v>
      </c>
      <c r="E204" s="252">
        <f t="shared" si="29"/>
        <v>501</v>
      </c>
      <c r="F204" s="251">
        <f t="shared" si="30"/>
        <v>7.5395033860045146E-2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567</v>
      </c>
      <c r="D205" s="252">
        <f t="shared" si="28"/>
        <v>616</v>
      </c>
      <c r="E205" s="252">
        <f t="shared" si="29"/>
        <v>49</v>
      </c>
      <c r="F205" s="251">
        <f t="shared" si="30"/>
        <v>8.6419753086419748E-2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482</v>
      </c>
      <c r="D206" s="252">
        <f t="shared" si="28"/>
        <v>444</v>
      </c>
      <c r="E206" s="252">
        <f t="shared" si="29"/>
        <v>-38</v>
      </c>
      <c r="F206" s="251">
        <f t="shared" si="30"/>
        <v>-7.8838174273858919E-2</v>
      </c>
    </row>
    <row r="207" spans="1:9" ht="20.25" customHeight="1" x14ac:dyDescent="0.3">
      <c r="A207" s="249"/>
      <c r="B207" s="242" t="s">
        <v>481</v>
      </c>
      <c r="C207" s="243">
        <f>+C198+C200</f>
        <v>30910819</v>
      </c>
      <c r="D207" s="243">
        <f>+D198+D200</f>
        <v>33089131</v>
      </c>
      <c r="E207" s="243">
        <f t="shared" si="29"/>
        <v>2178312</v>
      </c>
      <c r="F207" s="251">
        <f t="shared" si="30"/>
        <v>7.0470860057121096E-2</v>
      </c>
    </row>
    <row r="208" spans="1:9" ht="20.25" customHeight="1" x14ac:dyDescent="0.3">
      <c r="A208" s="249"/>
      <c r="B208" s="242" t="s">
        <v>482</v>
      </c>
      <c r="C208" s="243">
        <f>+C199+C201</f>
        <v>8348517</v>
      </c>
      <c r="D208" s="243">
        <f>+D199+D201</f>
        <v>8412121</v>
      </c>
      <c r="E208" s="243">
        <f t="shared" si="29"/>
        <v>63604</v>
      </c>
      <c r="F208" s="251">
        <f t="shared" si="30"/>
        <v>7.6185986085912025E-3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FILING&amp;RGREENWICH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1525607</v>
      </c>
      <c r="D26" s="237">
        <v>561856</v>
      </c>
      <c r="E26" s="237">
        <f t="shared" ref="E26:E36" si="2">D26-C26</f>
        <v>-963751</v>
      </c>
      <c r="F26" s="238">
        <f t="shared" ref="F26:F36" si="3">IF(C26=0,0,E26/C26)</f>
        <v>-0.63171642500329372</v>
      </c>
    </row>
    <row r="27" spans="1:6" ht="20.25" customHeight="1" x14ac:dyDescent="0.3">
      <c r="A27" s="235">
        <v>2</v>
      </c>
      <c r="B27" s="236" t="s">
        <v>447</v>
      </c>
      <c r="C27" s="237">
        <v>406998</v>
      </c>
      <c r="D27" s="237">
        <v>61981</v>
      </c>
      <c r="E27" s="237">
        <f t="shared" si="2"/>
        <v>-345017</v>
      </c>
      <c r="F27" s="238">
        <f t="shared" si="3"/>
        <v>-0.8477117823674809</v>
      </c>
    </row>
    <row r="28" spans="1:6" ht="20.25" customHeight="1" x14ac:dyDescent="0.3">
      <c r="A28" s="235">
        <v>3</v>
      </c>
      <c r="B28" s="236" t="s">
        <v>448</v>
      </c>
      <c r="C28" s="237">
        <v>7130998</v>
      </c>
      <c r="D28" s="237">
        <v>1903639</v>
      </c>
      <c r="E28" s="237">
        <f t="shared" si="2"/>
        <v>-5227359</v>
      </c>
      <c r="F28" s="238">
        <f t="shared" si="3"/>
        <v>-0.73304732381077653</v>
      </c>
    </row>
    <row r="29" spans="1:6" ht="20.25" customHeight="1" x14ac:dyDescent="0.3">
      <c r="A29" s="235">
        <v>4</v>
      </c>
      <c r="B29" s="236" t="s">
        <v>449</v>
      </c>
      <c r="C29" s="237">
        <v>1050641</v>
      </c>
      <c r="D29" s="237">
        <v>182590</v>
      </c>
      <c r="E29" s="237">
        <f t="shared" si="2"/>
        <v>-868051</v>
      </c>
      <c r="F29" s="238">
        <f t="shared" si="3"/>
        <v>-0.8262108560393131</v>
      </c>
    </row>
    <row r="30" spans="1:6" ht="20.25" customHeight="1" x14ac:dyDescent="0.3">
      <c r="A30" s="235">
        <v>5</v>
      </c>
      <c r="B30" s="236" t="s">
        <v>385</v>
      </c>
      <c r="C30" s="239">
        <v>78</v>
      </c>
      <c r="D30" s="239">
        <v>14</v>
      </c>
      <c r="E30" s="239">
        <f t="shared" si="2"/>
        <v>-64</v>
      </c>
      <c r="F30" s="238">
        <f t="shared" si="3"/>
        <v>-0.82051282051282048</v>
      </c>
    </row>
    <row r="31" spans="1:6" ht="20.25" customHeight="1" x14ac:dyDescent="0.3">
      <c r="A31" s="235">
        <v>6</v>
      </c>
      <c r="B31" s="236" t="s">
        <v>384</v>
      </c>
      <c r="C31" s="239">
        <v>244</v>
      </c>
      <c r="D31" s="239">
        <v>52</v>
      </c>
      <c r="E31" s="239">
        <f t="shared" si="2"/>
        <v>-192</v>
      </c>
      <c r="F31" s="238">
        <f t="shared" si="3"/>
        <v>-0.78688524590163933</v>
      </c>
    </row>
    <row r="32" spans="1:6" ht="20.25" customHeight="1" x14ac:dyDescent="0.3">
      <c r="A32" s="235">
        <v>7</v>
      </c>
      <c r="B32" s="236" t="s">
        <v>450</v>
      </c>
      <c r="C32" s="239">
        <v>7124</v>
      </c>
      <c r="D32" s="239">
        <v>1957</v>
      </c>
      <c r="E32" s="239">
        <f t="shared" si="2"/>
        <v>-5167</v>
      </c>
      <c r="F32" s="238">
        <f t="shared" si="3"/>
        <v>-0.72529477821448629</v>
      </c>
    </row>
    <row r="33" spans="1:6" ht="20.25" customHeight="1" x14ac:dyDescent="0.3">
      <c r="A33" s="235">
        <v>8</v>
      </c>
      <c r="B33" s="236" t="s">
        <v>451</v>
      </c>
      <c r="C33" s="239">
        <v>1489</v>
      </c>
      <c r="D33" s="239">
        <v>576</v>
      </c>
      <c r="E33" s="239">
        <f t="shared" si="2"/>
        <v>-913</v>
      </c>
      <c r="F33" s="238">
        <f t="shared" si="3"/>
        <v>-0.61316319677636</v>
      </c>
    </row>
    <row r="34" spans="1:6" ht="20.25" customHeight="1" x14ac:dyDescent="0.3">
      <c r="A34" s="235">
        <v>9</v>
      </c>
      <c r="B34" s="236" t="s">
        <v>452</v>
      </c>
      <c r="C34" s="239">
        <v>27</v>
      </c>
      <c r="D34" s="239">
        <v>0</v>
      </c>
      <c r="E34" s="239">
        <f t="shared" si="2"/>
        <v>-27</v>
      </c>
      <c r="F34" s="238">
        <f t="shared" si="3"/>
        <v>-1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8656605</v>
      </c>
      <c r="D35" s="243">
        <f>+D26+D28</f>
        <v>2465495</v>
      </c>
      <c r="E35" s="243">
        <f t="shared" si="2"/>
        <v>-6191110</v>
      </c>
      <c r="F35" s="244">
        <f t="shared" si="3"/>
        <v>-0.7151891532534983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1457639</v>
      </c>
      <c r="D36" s="243">
        <f>+D27+D29</f>
        <v>244571</v>
      </c>
      <c r="E36" s="243">
        <f t="shared" si="2"/>
        <v>-1213068</v>
      </c>
      <c r="F36" s="244">
        <f t="shared" si="3"/>
        <v>-0.83221428625331784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124847</v>
      </c>
      <c r="D50" s="237">
        <v>62707</v>
      </c>
      <c r="E50" s="237">
        <f t="shared" ref="E50:E60" si="6">D50-C50</f>
        <v>-62140</v>
      </c>
      <c r="F50" s="238">
        <f t="shared" ref="F50:F60" si="7">IF(C50=0,0,E50/C50)</f>
        <v>-0.49772922056597274</v>
      </c>
    </row>
    <row r="51" spans="1:6" ht="20.25" customHeight="1" x14ac:dyDescent="0.3">
      <c r="A51" s="235">
        <v>2</v>
      </c>
      <c r="B51" s="236" t="s">
        <v>447</v>
      </c>
      <c r="C51" s="237">
        <v>43141</v>
      </c>
      <c r="D51" s="237">
        <v>12077</v>
      </c>
      <c r="E51" s="237">
        <f t="shared" si="6"/>
        <v>-31064</v>
      </c>
      <c r="F51" s="238">
        <f t="shared" si="7"/>
        <v>-0.72005748591826801</v>
      </c>
    </row>
    <row r="52" spans="1:6" ht="20.25" customHeight="1" x14ac:dyDescent="0.3">
      <c r="A52" s="235">
        <v>3</v>
      </c>
      <c r="B52" s="236" t="s">
        <v>448</v>
      </c>
      <c r="C52" s="237">
        <v>444894</v>
      </c>
      <c r="D52" s="237">
        <v>239270</v>
      </c>
      <c r="E52" s="237">
        <f t="shared" si="6"/>
        <v>-205624</v>
      </c>
      <c r="F52" s="238">
        <f t="shared" si="7"/>
        <v>-0.462186498356912</v>
      </c>
    </row>
    <row r="53" spans="1:6" ht="20.25" customHeight="1" x14ac:dyDescent="0.3">
      <c r="A53" s="235">
        <v>4</v>
      </c>
      <c r="B53" s="236" t="s">
        <v>449</v>
      </c>
      <c r="C53" s="237">
        <v>65142</v>
      </c>
      <c r="D53" s="237">
        <v>6343</v>
      </c>
      <c r="E53" s="237">
        <f t="shared" si="6"/>
        <v>-58799</v>
      </c>
      <c r="F53" s="238">
        <f t="shared" si="7"/>
        <v>-0.90262810475576438</v>
      </c>
    </row>
    <row r="54" spans="1:6" ht="20.25" customHeight="1" x14ac:dyDescent="0.3">
      <c r="A54" s="235">
        <v>5</v>
      </c>
      <c r="B54" s="236" t="s">
        <v>385</v>
      </c>
      <c r="C54" s="239">
        <v>14</v>
      </c>
      <c r="D54" s="239">
        <v>4</v>
      </c>
      <c r="E54" s="239">
        <f t="shared" si="6"/>
        <v>-10</v>
      </c>
      <c r="F54" s="238">
        <f t="shared" si="7"/>
        <v>-0.7142857142857143</v>
      </c>
    </row>
    <row r="55" spans="1:6" ht="20.25" customHeight="1" x14ac:dyDescent="0.3">
      <c r="A55" s="235">
        <v>6</v>
      </c>
      <c r="B55" s="236" t="s">
        <v>384</v>
      </c>
      <c r="C55" s="239">
        <v>47</v>
      </c>
      <c r="D55" s="239">
        <v>4</v>
      </c>
      <c r="E55" s="239">
        <f t="shared" si="6"/>
        <v>-43</v>
      </c>
      <c r="F55" s="238">
        <f t="shared" si="7"/>
        <v>-0.91489361702127658</v>
      </c>
    </row>
    <row r="56" spans="1:6" ht="20.25" customHeight="1" x14ac:dyDescent="0.3">
      <c r="A56" s="235">
        <v>7</v>
      </c>
      <c r="B56" s="236" t="s">
        <v>450</v>
      </c>
      <c r="C56" s="239">
        <v>1207</v>
      </c>
      <c r="D56" s="239">
        <v>126</v>
      </c>
      <c r="E56" s="239">
        <f t="shared" si="6"/>
        <v>-1081</v>
      </c>
      <c r="F56" s="238">
        <f t="shared" si="7"/>
        <v>-0.89560894780447386</v>
      </c>
    </row>
    <row r="57" spans="1:6" ht="20.25" customHeight="1" x14ac:dyDescent="0.3">
      <c r="A57" s="235">
        <v>8</v>
      </c>
      <c r="B57" s="236" t="s">
        <v>451</v>
      </c>
      <c r="C57" s="239">
        <v>2</v>
      </c>
      <c r="D57" s="239">
        <v>19</v>
      </c>
      <c r="E57" s="239">
        <f t="shared" si="6"/>
        <v>17</v>
      </c>
      <c r="F57" s="238">
        <f t="shared" si="7"/>
        <v>8.5</v>
      </c>
    </row>
    <row r="58" spans="1:6" ht="20.25" customHeight="1" x14ac:dyDescent="0.3">
      <c r="A58" s="235">
        <v>9</v>
      </c>
      <c r="B58" s="236" t="s">
        <v>452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569741</v>
      </c>
      <c r="D59" s="243">
        <f>+D50+D52</f>
        <v>301977</v>
      </c>
      <c r="E59" s="243">
        <f t="shared" si="6"/>
        <v>-267764</v>
      </c>
      <c r="F59" s="244">
        <f t="shared" si="7"/>
        <v>-0.46997495353151697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108283</v>
      </c>
      <c r="D60" s="243">
        <f>+D51+D53</f>
        <v>18420</v>
      </c>
      <c r="E60" s="243">
        <f t="shared" si="6"/>
        <v>-89863</v>
      </c>
      <c r="F60" s="244">
        <f t="shared" si="7"/>
        <v>-0.82989019513681739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433417</v>
      </c>
      <c r="D86" s="237">
        <v>82352</v>
      </c>
      <c r="E86" s="237">
        <f t="shared" ref="E86:E96" si="12">D86-C86</f>
        <v>-351065</v>
      </c>
      <c r="F86" s="238">
        <f t="shared" ref="F86:F96" si="13">IF(C86=0,0,E86/C86)</f>
        <v>-0.80999360892627659</v>
      </c>
    </row>
    <row r="87" spans="1:6" ht="20.25" customHeight="1" x14ac:dyDescent="0.3">
      <c r="A87" s="235">
        <v>2</v>
      </c>
      <c r="B87" s="236" t="s">
        <v>447</v>
      </c>
      <c r="C87" s="237">
        <v>100230</v>
      </c>
      <c r="D87" s="237">
        <v>11354</v>
      </c>
      <c r="E87" s="237">
        <f t="shared" si="12"/>
        <v>-88876</v>
      </c>
      <c r="F87" s="238">
        <f t="shared" si="13"/>
        <v>-0.88672054275167111</v>
      </c>
    </row>
    <row r="88" spans="1:6" ht="20.25" customHeight="1" x14ac:dyDescent="0.3">
      <c r="A88" s="235">
        <v>3</v>
      </c>
      <c r="B88" s="236" t="s">
        <v>448</v>
      </c>
      <c r="C88" s="237">
        <v>2088593</v>
      </c>
      <c r="D88" s="237">
        <v>393528</v>
      </c>
      <c r="E88" s="237">
        <f t="shared" si="12"/>
        <v>-1695065</v>
      </c>
      <c r="F88" s="238">
        <f t="shared" si="13"/>
        <v>-0.81158224699594417</v>
      </c>
    </row>
    <row r="89" spans="1:6" ht="20.25" customHeight="1" x14ac:dyDescent="0.3">
      <c r="A89" s="235">
        <v>4</v>
      </c>
      <c r="B89" s="236" t="s">
        <v>449</v>
      </c>
      <c r="C89" s="237">
        <v>446136</v>
      </c>
      <c r="D89" s="237">
        <v>41282</v>
      </c>
      <c r="E89" s="237">
        <f t="shared" si="12"/>
        <v>-404854</v>
      </c>
      <c r="F89" s="238">
        <f t="shared" si="13"/>
        <v>-0.90746767801746553</v>
      </c>
    </row>
    <row r="90" spans="1:6" ht="20.25" customHeight="1" x14ac:dyDescent="0.3">
      <c r="A90" s="235">
        <v>5</v>
      </c>
      <c r="B90" s="236" t="s">
        <v>385</v>
      </c>
      <c r="C90" s="239">
        <v>26</v>
      </c>
      <c r="D90" s="239">
        <v>4</v>
      </c>
      <c r="E90" s="239">
        <f t="shared" si="12"/>
        <v>-22</v>
      </c>
      <c r="F90" s="238">
        <f t="shared" si="13"/>
        <v>-0.84615384615384615</v>
      </c>
    </row>
    <row r="91" spans="1:6" ht="20.25" customHeight="1" x14ac:dyDescent="0.3">
      <c r="A91" s="235">
        <v>6</v>
      </c>
      <c r="B91" s="236" t="s">
        <v>384</v>
      </c>
      <c r="C91" s="239">
        <v>88</v>
      </c>
      <c r="D91" s="239">
        <v>14</v>
      </c>
      <c r="E91" s="239">
        <f t="shared" si="12"/>
        <v>-74</v>
      </c>
      <c r="F91" s="238">
        <f t="shared" si="13"/>
        <v>-0.84090909090909094</v>
      </c>
    </row>
    <row r="92" spans="1:6" ht="20.25" customHeight="1" x14ac:dyDescent="0.3">
      <c r="A92" s="235">
        <v>7</v>
      </c>
      <c r="B92" s="236" t="s">
        <v>450</v>
      </c>
      <c r="C92" s="239">
        <v>1405</v>
      </c>
      <c r="D92" s="239">
        <v>374</v>
      </c>
      <c r="E92" s="239">
        <f t="shared" si="12"/>
        <v>-1031</v>
      </c>
      <c r="F92" s="238">
        <f t="shared" si="13"/>
        <v>-0.73380782918149468</v>
      </c>
    </row>
    <row r="93" spans="1:6" ht="20.25" customHeight="1" x14ac:dyDescent="0.3">
      <c r="A93" s="235">
        <v>8</v>
      </c>
      <c r="B93" s="236" t="s">
        <v>451</v>
      </c>
      <c r="C93" s="239">
        <v>361</v>
      </c>
      <c r="D93" s="239">
        <v>90</v>
      </c>
      <c r="E93" s="239">
        <f t="shared" si="12"/>
        <v>-271</v>
      </c>
      <c r="F93" s="238">
        <f t="shared" si="13"/>
        <v>-0.75069252077562332</v>
      </c>
    </row>
    <row r="94" spans="1:6" ht="20.25" customHeight="1" x14ac:dyDescent="0.3">
      <c r="A94" s="235">
        <v>9</v>
      </c>
      <c r="B94" s="236" t="s">
        <v>452</v>
      </c>
      <c r="C94" s="239">
        <v>6</v>
      </c>
      <c r="D94" s="239">
        <v>3</v>
      </c>
      <c r="E94" s="239">
        <f t="shared" si="12"/>
        <v>-3</v>
      </c>
      <c r="F94" s="238">
        <f t="shared" si="13"/>
        <v>-0.5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2522010</v>
      </c>
      <c r="D95" s="243">
        <f>+D86+D88</f>
        <v>475880</v>
      </c>
      <c r="E95" s="243">
        <f t="shared" si="12"/>
        <v>-2046130</v>
      </c>
      <c r="F95" s="244">
        <f t="shared" si="13"/>
        <v>-0.81130923350819384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546366</v>
      </c>
      <c r="D96" s="243">
        <f>+D87+D89</f>
        <v>52636</v>
      </c>
      <c r="E96" s="243">
        <f t="shared" si="12"/>
        <v>-493730</v>
      </c>
      <c r="F96" s="244">
        <f t="shared" si="13"/>
        <v>-0.90366164805277049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943638</v>
      </c>
      <c r="D98" s="237">
        <v>99861</v>
      </c>
      <c r="E98" s="237">
        <f t="shared" ref="E98:E108" si="14">D98-C98</f>
        <v>-843777</v>
      </c>
      <c r="F98" s="238">
        <f t="shared" ref="F98:F108" si="15">IF(C98=0,0,E98/C98)</f>
        <v>-0.89417446096914288</v>
      </c>
    </row>
    <row r="99" spans="1:7" ht="20.25" customHeight="1" x14ac:dyDescent="0.3">
      <c r="A99" s="235">
        <v>2</v>
      </c>
      <c r="B99" s="236" t="s">
        <v>447</v>
      </c>
      <c r="C99" s="237">
        <v>285266</v>
      </c>
      <c r="D99" s="237">
        <v>17567</v>
      </c>
      <c r="E99" s="237">
        <f t="shared" si="14"/>
        <v>-267699</v>
      </c>
      <c r="F99" s="238">
        <f t="shared" si="15"/>
        <v>-0.93841887922149858</v>
      </c>
    </row>
    <row r="100" spans="1:7" ht="20.25" customHeight="1" x14ac:dyDescent="0.3">
      <c r="A100" s="235">
        <v>3</v>
      </c>
      <c r="B100" s="236" t="s">
        <v>448</v>
      </c>
      <c r="C100" s="237">
        <v>2116142</v>
      </c>
      <c r="D100" s="237">
        <v>479218</v>
      </c>
      <c r="E100" s="237">
        <f t="shared" si="14"/>
        <v>-1636924</v>
      </c>
      <c r="F100" s="238">
        <f t="shared" si="15"/>
        <v>-0.77354166213798503</v>
      </c>
    </row>
    <row r="101" spans="1:7" ht="20.25" customHeight="1" x14ac:dyDescent="0.3">
      <c r="A101" s="235">
        <v>4</v>
      </c>
      <c r="B101" s="236" t="s">
        <v>449</v>
      </c>
      <c r="C101" s="237">
        <v>396027</v>
      </c>
      <c r="D101" s="237">
        <v>51854</v>
      </c>
      <c r="E101" s="237">
        <f t="shared" si="14"/>
        <v>-344173</v>
      </c>
      <c r="F101" s="238">
        <f t="shared" si="15"/>
        <v>-0.86906448297717076</v>
      </c>
    </row>
    <row r="102" spans="1:7" ht="20.25" customHeight="1" x14ac:dyDescent="0.3">
      <c r="A102" s="235">
        <v>5</v>
      </c>
      <c r="B102" s="236" t="s">
        <v>385</v>
      </c>
      <c r="C102" s="239">
        <v>38</v>
      </c>
      <c r="D102" s="239">
        <v>5</v>
      </c>
      <c r="E102" s="239">
        <f t="shared" si="14"/>
        <v>-33</v>
      </c>
      <c r="F102" s="238">
        <f t="shared" si="15"/>
        <v>-0.86842105263157898</v>
      </c>
    </row>
    <row r="103" spans="1:7" ht="20.25" customHeight="1" x14ac:dyDescent="0.3">
      <c r="A103" s="235">
        <v>6</v>
      </c>
      <c r="B103" s="236" t="s">
        <v>384</v>
      </c>
      <c r="C103" s="239">
        <v>119</v>
      </c>
      <c r="D103" s="239">
        <v>15</v>
      </c>
      <c r="E103" s="239">
        <f t="shared" si="14"/>
        <v>-104</v>
      </c>
      <c r="F103" s="238">
        <f t="shared" si="15"/>
        <v>-0.87394957983193278</v>
      </c>
    </row>
    <row r="104" spans="1:7" ht="20.25" customHeight="1" x14ac:dyDescent="0.3">
      <c r="A104" s="235">
        <v>7</v>
      </c>
      <c r="B104" s="236" t="s">
        <v>450</v>
      </c>
      <c r="C104" s="239">
        <v>1681</v>
      </c>
      <c r="D104" s="239">
        <v>422</v>
      </c>
      <c r="E104" s="239">
        <f t="shared" si="14"/>
        <v>-1259</v>
      </c>
      <c r="F104" s="238">
        <f t="shared" si="15"/>
        <v>-0.74895895300416415</v>
      </c>
    </row>
    <row r="105" spans="1:7" ht="20.25" customHeight="1" x14ac:dyDescent="0.3">
      <c r="A105" s="235">
        <v>8</v>
      </c>
      <c r="B105" s="236" t="s">
        <v>451</v>
      </c>
      <c r="C105" s="239">
        <v>455</v>
      </c>
      <c r="D105" s="239">
        <v>109</v>
      </c>
      <c r="E105" s="239">
        <f t="shared" si="14"/>
        <v>-346</v>
      </c>
      <c r="F105" s="238">
        <f t="shared" si="15"/>
        <v>-0.7604395604395604</v>
      </c>
    </row>
    <row r="106" spans="1:7" ht="20.25" customHeight="1" x14ac:dyDescent="0.3">
      <c r="A106" s="235">
        <v>9</v>
      </c>
      <c r="B106" s="236" t="s">
        <v>452</v>
      </c>
      <c r="C106" s="239">
        <v>17</v>
      </c>
      <c r="D106" s="239">
        <v>2</v>
      </c>
      <c r="E106" s="239">
        <f t="shared" si="14"/>
        <v>-15</v>
      </c>
      <c r="F106" s="238">
        <f t="shared" si="15"/>
        <v>-0.88235294117647056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3059780</v>
      </c>
      <c r="D107" s="243">
        <f>+D98+D100</f>
        <v>579079</v>
      </c>
      <c r="E107" s="243">
        <f t="shared" si="14"/>
        <v>-2480701</v>
      </c>
      <c r="F107" s="244">
        <f t="shared" si="15"/>
        <v>-0.81074489015550133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681293</v>
      </c>
      <c r="D108" s="243">
        <f>+D99+D101</f>
        <v>69421</v>
      </c>
      <c r="E108" s="243">
        <f t="shared" si="14"/>
        <v>-611872</v>
      </c>
      <c r="F108" s="244">
        <f t="shared" si="15"/>
        <v>-0.89810404627671203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3027509</v>
      </c>
      <c r="D112" s="243">
        <f t="shared" si="16"/>
        <v>806776</v>
      </c>
      <c r="E112" s="243">
        <f t="shared" ref="E112:E122" si="17">D112-C112</f>
        <v>-2220733</v>
      </c>
      <c r="F112" s="244">
        <f t="shared" ref="F112:F122" si="18">IF(C112=0,0,E112/C112)</f>
        <v>-0.73351821580051457</v>
      </c>
    </row>
    <row r="113" spans="1:6" ht="20.25" customHeight="1" x14ac:dyDescent="0.3">
      <c r="A113" s="249"/>
      <c r="B113" s="250" t="s">
        <v>473</v>
      </c>
      <c r="C113" s="243">
        <f t="shared" si="16"/>
        <v>835635</v>
      </c>
      <c r="D113" s="243">
        <f t="shared" si="16"/>
        <v>102979</v>
      </c>
      <c r="E113" s="243">
        <f t="shared" si="17"/>
        <v>-732656</v>
      </c>
      <c r="F113" s="244">
        <f t="shared" si="18"/>
        <v>-0.87676557348603157</v>
      </c>
    </row>
    <row r="114" spans="1:6" ht="20.25" customHeight="1" x14ac:dyDescent="0.3">
      <c r="A114" s="249"/>
      <c r="B114" s="250" t="s">
        <v>474</v>
      </c>
      <c r="C114" s="243">
        <f t="shared" si="16"/>
        <v>11780627</v>
      </c>
      <c r="D114" s="243">
        <f t="shared" si="16"/>
        <v>3015655</v>
      </c>
      <c r="E114" s="243">
        <f t="shared" si="17"/>
        <v>-8764972</v>
      </c>
      <c r="F114" s="244">
        <f t="shared" si="18"/>
        <v>-0.74401574720938024</v>
      </c>
    </row>
    <row r="115" spans="1:6" ht="20.25" customHeight="1" x14ac:dyDescent="0.3">
      <c r="A115" s="249"/>
      <c r="B115" s="250" t="s">
        <v>475</v>
      </c>
      <c r="C115" s="243">
        <f t="shared" si="16"/>
        <v>1957946</v>
      </c>
      <c r="D115" s="243">
        <f t="shared" si="16"/>
        <v>282069</v>
      </c>
      <c r="E115" s="243">
        <f t="shared" si="17"/>
        <v>-1675877</v>
      </c>
      <c r="F115" s="244">
        <f t="shared" si="18"/>
        <v>-0.85593627199115807</v>
      </c>
    </row>
    <row r="116" spans="1:6" ht="20.25" customHeight="1" x14ac:dyDescent="0.3">
      <c r="A116" s="249"/>
      <c r="B116" s="250" t="s">
        <v>476</v>
      </c>
      <c r="C116" s="252">
        <f t="shared" si="16"/>
        <v>156</v>
      </c>
      <c r="D116" s="252">
        <f t="shared" si="16"/>
        <v>27</v>
      </c>
      <c r="E116" s="252">
        <f t="shared" si="17"/>
        <v>-129</v>
      </c>
      <c r="F116" s="244">
        <f t="shared" si="18"/>
        <v>-0.82692307692307687</v>
      </c>
    </row>
    <row r="117" spans="1:6" ht="20.25" customHeight="1" x14ac:dyDescent="0.3">
      <c r="A117" s="249"/>
      <c r="B117" s="250" t="s">
        <v>477</v>
      </c>
      <c r="C117" s="252">
        <f t="shared" si="16"/>
        <v>498</v>
      </c>
      <c r="D117" s="252">
        <f t="shared" si="16"/>
        <v>85</v>
      </c>
      <c r="E117" s="252">
        <f t="shared" si="17"/>
        <v>-413</v>
      </c>
      <c r="F117" s="244">
        <f t="shared" si="18"/>
        <v>-0.82931726907630521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11417</v>
      </c>
      <c r="D118" s="252">
        <f t="shared" si="16"/>
        <v>2879</v>
      </c>
      <c r="E118" s="252">
        <f t="shared" si="17"/>
        <v>-8538</v>
      </c>
      <c r="F118" s="244">
        <f t="shared" si="18"/>
        <v>-0.74783218008233332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2307</v>
      </c>
      <c r="D119" s="252">
        <f t="shared" si="16"/>
        <v>794</v>
      </c>
      <c r="E119" s="252">
        <f t="shared" si="17"/>
        <v>-1513</v>
      </c>
      <c r="F119" s="244">
        <f t="shared" si="18"/>
        <v>-0.65583008235804074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50</v>
      </c>
      <c r="D120" s="252">
        <f t="shared" si="16"/>
        <v>5</v>
      </c>
      <c r="E120" s="252">
        <f t="shared" si="17"/>
        <v>-45</v>
      </c>
      <c r="F120" s="244">
        <f t="shared" si="18"/>
        <v>-0.9</v>
      </c>
    </row>
    <row r="121" spans="1:6" ht="39.950000000000003" customHeight="1" x14ac:dyDescent="0.3">
      <c r="A121" s="249"/>
      <c r="B121" s="242" t="s">
        <v>453</v>
      </c>
      <c r="C121" s="243">
        <f>+C112+C114</f>
        <v>14808136</v>
      </c>
      <c r="D121" s="243">
        <f>+D112+D114</f>
        <v>3822431</v>
      </c>
      <c r="E121" s="243">
        <f t="shared" si="17"/>
        <v>-10985705</v>
      </c>
      <c r="F121" s="244">
        <f t="shared" si="18"/>
        <v>-0.74186953712472659</v>
      </c>
    </row>
    <row r="122" spans="1:6" ht="39.950000000000003" customHeight="1" x14ac:dyDescent="0.3">
      <c r="A122" s="249"/>
      <c r="B122" s="242" t="s">
        <v>482</v>
      </c>
      <c r="C122" s="243">
        <f>+C113+C115</f>
        <v>2793581</v>
      </c>
      <c r="D122" s="243">
        <f>+D113+D115</f>
        <v>385048</v>
      </c>
      <c r="E122" s="243">
        <f t="shared" si="17"/>
        <v>-2408533</v>
      </c>
      <c r="F122" s="244">
        <f t="shared" si="18"/>
        <v>-0.86216687470311404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FILING&amp;RGREENWICH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35827000</v>
      </c>
      <c r="D13" s="23">
        <v>37343000</v>
      </c>
      <c r="E13" s="23">
        <f t="shared" ref="E13:E22" si="0">D13-C13</f>
        <v>1516000</v>
      </c>
      <c r="F13" s="24">
        <f t="shared" ref="F13:F22" si="1">IF(C13=0,0,E13/C13)</f>
        <v>4.2314455578195215E-2</v>
      </c>
    </row>
    <row r="14" spans="1:8" ht="24" customHeight="1" x14ac:dyDescent="0.2">
      <c r="A14" s="21">
        <v>2</v>
      </c>
      <c r="B14" s="22" t="s">
        <v>17</v>
      </c>
      <c r="C14" s="23">
        <v>21585000</v>
      </c>
      <c r="D14" s="23">
        <v>10243000</v>
      </c>
      <c r="E14" s="23">
        <f t="shared" si="0"/>
        <v>-11342000</v>
      </c>
      <c r="F14" s="24">
        <f t="shared" si="1"/>
        <v>-0.52545749362983551</v>
      </c>
    </row>
    <row r="15" spans="1:8" ht="35.1" customHeight="1" x14ac:dyDescent="0.2">
      <c r="A15" s="21">
        <v>3</v>
      </c>
      <c r="B15" s="22" t="s">
        <v>18</v>
      </c>
      <c r="C15" s="23">
        <v>34512000</v>
      </c>
      <c r="D15" s="23">
        <v>39760000</v>
      </c>
      <c r="E15" s="23">
        <f t="shared" si="0"/>
        <v>5248000</v>
      </c>
      <c r="F15" s="24">
        <f t="shared" si="1"/>
        <v>0.15206305053314789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1366000</v>
      </c>
      <c r="D19" s="23">
        <v>2188590</v>
      </c>
      <c r="E19" s="23">
        <f t="shared" si="0"/>
        <v>822590</v>
      </c>
      <c r="F19" s="24">
        <f t="shared" si="1"/>
        <v>0.60218887262079068</v>
      </c>
    </row>
    <row r="20" spans="1:11" ht="24" customHeight="1" x14ac:dyDescent="0.2">
      <c r="A20" s="21">
        <v>8</v>
      </c>
      <c r="B20" s="22" t="s">
        <v>23</v>
      </c>
      <c r="C20" s="23">
        <v>4091000</v>
      </c>
      <c r="D20" s="23">
        <v>6473410</v>
      </c>
      <c r="E20" s="23">
        <f t="shared" si="0"/>
        <v>2382410</v>
      </c>
      <c r="F20" s="24">
        <f t="shared" si="1"/>
        <v>0.58235394769005133</v>
      </c>
    </row>
    <row r="21" spans="1:11" ht="24" customHeight="1" x14ac:dyDescent="0.2">
      <c r="A21" s="21">
        <v>9</v>
      </c>
      <c r="B21" s="22" t="s">
        <v>24</v>
      </c>
      <c r="C21" s="23">
        <v>1027000</v>
      </c>
      <c r="D21" s="23">
        <v>6878000</v>
      </c>
      <c r="E21" s="23">
        <f t="shared" si="0"/>
        <v>5851000</v>
      </c>
      <c r="F21" s="24">
        <f t="shared" si="1"/>
        <v>5.6971762414800393</v>
      </c>
    </row>
    <row r="22" spans="1:11" ht="24" customHeight="1" x14ac:dyDescent="0.25">
      <c r="A22" s="25"/>
      <c r="B22" s="26" t="s">
        <v>25</v>
      </c>
      <c r="C22" s="27">
        <f>SUM(C13:C21)</f>
        <v>98408000</v>
      </c>
      <c r="D22" s="27">
        <f>SUM(D13:D21)</f>
        <v>102886000</v>
      </c>
      <c r="E22" s="27">
        <f t="shared" si="0"/>
        <v>4478000</v>
      </c>
      <c r="F22" s="28">
        <f t="shared" si="1"/>
        <v>4.550443053410292E-2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799000</v>
      </c>
      <c r="D25" s="23">
        <v>797000</v>
      </c>
      <c r="E25" s="23">
        <f>D25-C25</f>
        <v>-2000</v>
      </c>
      <c r="F25" s="24">
        <f>IF(C25=0,0,E25/C25)</f>
        <v>-2.5031289111389237E-3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62583000</v>
      </c>
      <c r="D26" s="23">
        <v>88631000</v>
      </c>
      <c r="E26" s="23">
        <f>D26-C26</f>
        <v>26048000</v>
      </c>
      <c r="F26" s="24">
        <f>IF(C26=0,0,E26/C26)</f>
        <v>0.41621526612658388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6000</v>
      </c>
      <c r="D27" s="23">
        <v>5000</v>
      </c>
      <c r="E27" s="23">
        <f>D27-C27</f>
        <v>-1000</v>
      </c>
      <c r="F27" s="24">
        <f>IF(C27=0,0,E27/C27)</f>
        <v>-0.16666666666666666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63388000</v>
      </c>
      <c r="D29" s="27">
        <f>SUM(D25:D28)</f>
        <v>89433000</v>
      </c>
      <c r="E29" s="27">
        <f>D29-C29</f>
        <v>26045000</v>
      </c>
      <c r="F29" s="28">
        <f>IF(C29=0,0,E29/C29)</f>
        <v>0.41088218590269454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48889000</v>
      </c>
      <c r="D32" s="23">
        <v>53112000</v>
      </c>
      <c r="E32" s="23">
        <f>D32-C32</f>
        <v>4223000</v>
      </c>
      <c r="F32" s="24">
        <f>IF(C32=0,0,E32/C32)</f>
        <v>8.637934913784287E-2</v>
      </c>
    </row>
    <row r="33" spans="1:8" ht="24" customHeight="1" x14ac:dyDescent="0.2">
      <c r="A33" s="21">
        <v>7</v>
      </c>
      <c r="B33" s="22" t="s">
        <v>35</v>
      </c>
      <c r="C33" s="23">
        <v>22104000</v>
      </c>
      <c r="D33" s="23">
        <v>24823000</v>
      </c>
      <c r="E33" s="23">
        <f>D33-C33</f>
        <v>2719000</v>
      </c>
      <c r="F33" s="24">
        <f>IF(C33=0,0,E33/C33)</f>
        <v>0.12300941006152732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482664000</v>
      </c>
      <c r="D36" s="23">
        <v>462887000</v>
      </c>
      <c r="E36" s="23">
        <f>D36-C36</f>
        <v>-19777000</v>
      </c>
      <c r="F36" s="24">
        <f>IF(C36=0,0,E36/C36)</f>
        <v>-4.0974673893225927E-2</v>
      </c>
    </row>
    <row r="37" spans="1:8" ht="24" customHeight="1" x14ac:dyDescent="0.2">
      <c r="A37" s="21">
        <v>2</v>
      </c>
      <c r="B37" s="22" t="s">
        <v>39</v>
      </c>
      <c r="C37" s="23">
        <v>207619000</v>
      </c>
      <c r="D37" s="23">
        <v>194746000</v>
      </c>
      <c r="E37" s="23">
        <f>D37-C37</f>
        <v>-12873000</v>
      </c>
      <c r="F37" s="23">
        <f>IF(C37=0,0,E37/C37)</f>
        <v>-6.2002995872246759E-2</v>
      </c>
    </row>
    <row r="38" spans="1:8" ht="24" customHeight="1" x14ac:dyDescent="0.25">
      <c r="A38" s="25"/>
      <c r="B38" s="26" t="s">
        <v>40</v>
      </c>
      <c r="C38" s="27">
        <f>C36-C37</f>
        <v>275045000</v>
      </c>
      <c r="D38" s="27">
        <f>D36-D37</f>
        <v>268141000</v>
      </c>
      <c r="E38" s="27">
        <f>D38-C38</f>
        <v>-6904000</v>
      </c>
      <c r="F38" s="28">
        <f>IF(C38=0,0,E38/C38)</f>
        <v>-2.5101347052300532E-2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169000</v>
      </c>
      <c r="D40" s="23">
        <v>1354000</v>
      </c>
      <c r="E40" s="23">
        <f>D40-C40</f>
        <v>1185000</v>
      </c>
      <c r="F40" s="24">
        <f>IF(C40=0,0,E40/C40)</f>
        <v>7.0118343195266268</v>
      </c>
    </row>
    <row r="41" spans="1:8" ht="24" customHeight="1" x14ac:dyDescent="0.25">
      <c r="A41" s="25"/>
      <c r="B41" s="26" t="s">
        <v>42</v>
      </c>
      <c r="C41" s="27">
        <f>+C38+C40</f>
        <v>275214000</v>
      </c>
      <c r="D41" s="27">
        <f>+D38+D40</f>
        <v>269495000</v>
      </c>
      <c r="E41" s="27">
        <f>D41-C41</f>
        <v>-5719000</v>
      </c>
      <c r="F41" s="28">
        <f>IF(C41=0,0,E41/C41)</f>
        <v>-2.0780192868095373E-2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508003000</v>
      </c>
      <c r="D43" s="27">
        <f>D22+D29+D31+D32+D33+D41</f>
        <v>539749000</v>
      </c>
      <c r="E43" s="27">
        <f>D43-C43</f>
        <v>31746000</v>
      </c>
      <c r="F43" s="28">
        <f>IF(C43=0,0,E43/C43)</f>
        <v>6.2491756938443277E-2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17723000</v>
      </c>
      <c r="D49" s="23">
        <v>18722000</v>
      </c>
      <c r="E49" s="23">
        <f t="shared" ref="E49:E56" si="2">D49-C49</f>
        <v>999000</v>
      </c>
      <c r="F49" s="24">
        <f t="shared" ref="F49:F56" si="3">IF(C49=0,0,E49/C49)</f>
        <v>5.6367432150313153E-2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11818000</v>
      </c>
      <c r="D50" s="23">
        <v>11214000</v>
      </c>
      <c r="E50" s="23">
        <f t="shared" si="2"/>
        <v>-604000</v>
      </c>
      <c r="F50" s="24">
        <f t="shared" si="3"/>
        <v>-5.110847859197834E-2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228000</v>
      </c>
      <c r="D51" s="23">
        <v>492000</v>
      </c>
      <c r="E51" s="23">
        <f t="shared" si="2"/>
        <v>264000</v>
      </c>
      <c r="F51" s="24">
        <f t="shared" si="3"/>
        <v>1.1578947368421053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2360000</v>
      </c>
      <c r="D53" s="23">
        <v>2430000</v>
      </c>
      <c r="E53" s="23">
        <f t="shared" si="2"/>
        <v>70000</v>
      </c>
      <c r="F53" s="24">
        <f t="shared" si="3"/>
        <v>2.9661016949152543E-2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14136000</v>
      </c>
      <c r="D55" s="23">
        <v>22725000</v>
      </c>
      <c r="E55" s="23">
        <f t="shared" si="2"/>
        <v>8589000</v>
      </c>
      <c r="F55" s="24">
        <f t="shared" si="3"/>
        <v>0.607597623089983</v>
      </c>
    </row>
    <row r="56" spans="1:6" ht="24" customHeight="1" x14ac:dyDescent="0.25">
      <c r="A56" s="25"/>
      <c r="B56" s="26" t="s">
        <v>54</v>
      </c>
      <c r="C56" s="27">
        <f>SUM(C49:C55)</f>
        <v>46265000</v>
      </c>
      <c r="D56" s="27">
        <f>SUM(D49:D55)</f>
        <v>55583000</v>
      </c>
      <c r="E56" s="27">
        <f t="shared" si="2"/>
        <v>9318000</v>
      </c>
      <c r="F56" s="28">
        <f t="shared" si="3"/>
        <v>0.20140494974602832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42645000</v>
      </c>
      <c r="D59" s="23">
        <v>40215000</v>
      </c>
      <c r="E59" s="23">
        <f>D59-C59</f>
        <v>-2430000</v>
      </c>
      <c r="F59" s="24">
        <f>IF(C59=0,0,E59/C59)</f>
        <v>-5.6982061202954626E-2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42645000</v>
      </c>
      <c r="D61" s="27">
        <f>SUM(D59:D60)</f>
        <v>40215000</v>
      </c>
      <c r="E61" s="27">
        <f>D61-C61</f>
        <v>-2430000</v>
      </c>
      <c r="F61" s="28">
        <f>IF(C61=0,0,E61/C61)</f>
        <v>-5.6982061202954626E-2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46068000</v>
      </c>
      <c r="D63" s="23">
        <v>54164000</v>
      </c>
      <c r="E63" s="23">
        <f>D63-C63</f>
        <v>8096000</v>
      </c>
      <c r="F63" s="24">
        <f>IF(C63=0,0,E63/C63)</f>
        <v>0.17574021012416427</v>
      </c>
    </row>
    <row r="64" spans="1:6" ht="24" customHeight="1" x14ac:dyDescent="0.2">
      <c r="A64" s="21">
        <v>4</v>
      </c>
      <c r="B64" s="22" t="s">
        <v>60</v>
      </c>
      <c r="C64" s="23">
        <v>29906000</v>
      </c>
      <c r="D64" s="23">
        <v>36910000</v>
      </c>
      <c r="E64" s="23">
        <f>D64-C64</f>
        <v>7004000</v>
      </c>
      <c r="F64" s="24">
        <f>IF(C64=0,0,E64/C64)</f>
        <v>0.23420049488396977</v>
      </c>
    </row>
    <row r="65" spans="1:6" ht="24" customHeight="1" x14ac:dyDescent="0.25">
      <c r="A65" s="25"/>
      <c r="B65" s="26" t="s">
        <v>61</v>
      </c>
      <c r="C65" s="27">
        <f>SUM(C61:C64)</f>
        <v>118619000</v>
      </c>
      <c r="D65" s="27">
        <f>SUM(D61:D64)</f>
        <v>131289000</v>
      </c>
      <c r="E65" s="27">
        <f>D65-C65</f>
        <v>12670000</v>
      </c>
      <c r="F65" s="28">
        <f>IF(C65=0,0,E65/C65)</f>
        <v>0.10681256796971818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1136000</v>
      </c>
      <c r="D67" s="23">
        <v>1760000</v>
      </c>
      <c r="E67" s="23">
        <f>D67-C67</f>
        <v>624000</v>
      </c>
      <c r="F67" s="46">
        <f>IF(C67=0,0,E67/C67)</f>
        <v>0.54929577464788737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297016000</v>
      </c>
      <c r="D70" s="23">
        <v>299329000</v>
      </c>
      <c r="E70" s="23">
        <f>D70-C70</f>
        <v>2313000</v>
      </c>
      <c r="F70" s="24">
        <f>IF(C70=0,0,E70/C70)</f>
        <v>7.787459261453928E-3</v>
      </c>
    </row>
    <row r="71" spans="1:6" ht="24" customHeight="1" x14ac:dyDescent="0.2">
      <c r="A71" s="21">
        <v>2</v>
      </c>
      <c r="B71" s="22" t="s">
        <v>65</v>
      </c>
      <c r="C71" s="23">
        <v>24575000</v>
      </c>
      <c r="D71" s="23">
        <v>29999000</v>
      </c>
      <c r="E71" s="23">
        <f>D71-C71</f>
        <v>5424000</v>
      </c>
      <c r="F71" s="24">
        <f>IF(C71=0,0,E71/C71)</f>
        <v>0.22071210579857578</v>
      </c>
    </row>
    <row r="72" spans="1:6" ht="24" customHeight="1" x14ac:dyDescent="0.2">
      <c r="A72" s="21">
        <v>3</v>
      </c>
      <c r="B72" s="22" t="s">
        <v>66</v>
      </c>
      <c r="C72" s="23">
        <v>20392000</v>
      </c>
      <c r="D72" s="23">
        <v>21789000</v>
      </c>
      <c r="E72" s="23">
        <f>D72-C72</f>
        <v>1397000</v>
      </c>
      <c r="F72" s="24">
        <f>IF(C72=0,0,E72/C72)</f>
        <v>6.8507257748136527E-2</v>
      </c>
    </row>
    <row r="73" spans="1:6" ht="24" customHeight="1" x14ac:dyDescent="0.25">
      <c r="A73" s="21"/>
      <c r="B73" s="26" t="s">
        <v>67</v>
      </c>
      <c r="C73" s="27">
        <f>SUM(C70:C72)</f>
        <v>341983000</v>
      </c>
      <c r="D73" s="27">
        <f>SUM(D70:D72)</f>
        <v>351117000</v>
      </c>
      <c r="E73" s="27">
        <f>D73-C73</f>
        <v>9134000</v>
      </c>
      <c r="F73" s="28">
        <f>IF(C73=0,0,E73/C73)</f>
        <v>2.670892997605144E-2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508003000</v>
      </c>
      <c r="D75" s="27">
        <f>D56+D65+D67+D73</f>
        <v>539749000</v>
      </c>
      <c r="E75" s="27">
        <f>D75-C75</f>
        <v>31746000</v>
      </c>
      <c r="F75" s="28">
        <f>IF(C75=0,0,E75/C75)</f>
        <v>6.2491756938443277E-2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FILING&amp;RGREENWICH HEALTH CARE SERVICES,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974153000</v>
      </c>
      <c r="D12" s="51">
        <v>987697000</v>
      </c>
      <c r="E12" s="51">
        <f t="shared" ref="E12:E19" si="0">D12-C12</f>
        <v>13544000</v>
      </c>
      <c r="F12" s="70">
        <f t="shared" ref="F12:F19" si="1">IF(C12=0,0,E12/C12)</f>
        <v>1.3903360149791665E-2</v>
      </c>
    </row>
    <row r="13" spans="1:8" ht="23.1" customHeight="1" x14ac:dyDescent="0.2">
      <c r="A13" s="25">
        <v>2</v>
      </c>
      <c r="B13" s="48" t="s">
        <v>72</v>
      </c>
      <c r="C13" s="51">
        <v>620871067</v>
      </c>
      <c r="D13" s="51">
        <v>616637000</v>
      </c>
      <c r="E13" s="51">
        <f t="shared" si="0"/>
        <v>-4234067</v>
      </c>
      <c r="F13" s="70">
        <f t="shared" si="1"/>
        <v>-6.8195592048743347E-3</v>
      </c>
    </row>
    <row r="14" spans="1:8" ht="23.1" customHeight="1" x14ac:dyDescent="0.2">
      <c r="A14" s="25">
        <v>3</v>
      </c>
      <c r="B14" s="48" t="s">
        <v>73</v>
      </c>
      <c r="C14" s="51">
        <v>22297544</v>
      </c>
      <c r="D14" s="51">
        <v>21876000</v>
      </c>
      <c r="E14" s="51">
        <f t="shared" si="0"/>
        <v>-421544</v>
      </c>
      <c r="F14" s="70">
        <f t="shared" si="1"/>
        <v>-1.8905400523035184E-2</v>
      </c>
    </row>
    <row r="15" spans="1:8" ht="23.1" customHeight="1" x14ac:dyDescent="0.2">
      <c r="A15" s="25">
        <v>4</v>
      </c>
      <c r="B15" s="48" t="s">
        <v>74</v>
      </c>
      <c r="C15" s="51">
        <v>20577389</v>
      </c>
      <c r="D15" s="51">
        <v>21802000</v>
      </c>
      <c r="E15" s="51">
        <f t="shared" si="0"/>
        <v>1224611</v>
      </c>
      <c r="F15" s="70">
        <f t="shared" si="1"/>
        <v>5.9512458067444804E-2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310407000</v>
      </c>
      <c r="D16" s="27">
        <f>D12-D13-D14-D15</f>
        <v>327382000</v>
      </c>
      <c r="E16" s="27">
        <f t="shared" si="0"/>
        <v>16975000</v>
      </c>
      <c r="F16" s="28">
        <f t="shared" si="1"/>
        <v>5.4686266740118616E-2</v>
      </c>
    </row>
    <row r="17" spans="1:7" ht="23.1" customHeight="1" x14ac:dyDescent="0.2">
      <c r="A17" s="25">
        <v>5</v>
      </c>
      <c r="B17" s="48" t="s">
        <v>76</v>
      </c>
      <c r="C17" s="51">
        <v>8585000</v>
      </c>
      <c r="D17" s="51">
        <v>9489000</v>
      </c>
      <c r="E17" s="51">
        <f t="shared" si="0"/>
        <v>904000</v>
      </c>
      <c r="F17" s="70">
        <f t="shared" si="1"/>
        <v>0.10529994175888177</v>
      </c>
      <c r="G17" s="64"/>
    </row>
    <row r="18" spans="1:7" ht="33" customHeight="1" x14ac:dyDescent="0.2">
      <c r="A18" s="25">
        <v>6</v>
      </c>
      <c r="B18" s="45" t="s">
        <v>77</v>
      </c>
      <c r="C18" s="51">
        <v>4366000</v>
      </c>
      <c r="D18" s="51">
        <v>3760000</v>
      </c>
      <c r="E18" s="51">
        <f t="shared" si="0"/>
        <v>-606000</v>
      </c>
      <c r="F18" s="70">
        <f t="shared" si="1"/>
        <v>-0.13879981676591846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323358000</v>
      </c>
      <c r="D19" s="27">
        <f>SUM(D16:D18)</f>
        <v>340631000</v>
      </c>
      <c r="E19" s="27">
        <f t="shared" si="0"/>
        <v>17273000</v>
      </c>
      <c r="F19" s="28">
        <f t="shared" si="1"/>
        <v>5.341757432938106E-2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125958821</v>
      </c>
      <c r="D22" s="51">
        <v>114812128</v>
      </c>
      <c r="E22" s="51">
        <f t="shared" ref="E22:E31" si="2">D22-C22</f>
        <v>-11146693</v>
      </c>
      <c r="F22" s="70">
        <f t="shared" ref="F22:F31" si="3">IF(C22=0,0,E22/C22)</f>
        <v>-8.8494739086197066E-2</v>
      </c>
    </row>
    <row r="23" spans="1:7" ht="23.1" customHeight="1" x14ac:dyDescent="0.2">
      <c r="A23" s="25">
        <v>2</v>
      </c>
      <c r="B23" s="48" t="s">
        <v>81</v>
      </c>
      <c r="C23" s="51">
        <v>38350504</v>
      </c>
      <c r="D23" s="51">
        <v>38423067</v>
      </c>
      <c r="E23" s="51">
        <f t="shared" si="2"/>
        <v>72563</v>
      </c>
      <c r="F23" s="70">
        <f t="shared" si="3"/>
        <v>1.8921002967783682E-3</v>
      </c>
    </row>
    <row r="24" spans="1:7" ht="23.1" customHeight="1" x14ac:dyDescent="0.2">
      <c r="A24" s="25">
        <v>3</v>
      </c>
      <c r="B24" s="48" t="s">
        <v>82</v>
      </c>
      <c r="C24" s="51">
        <v>4204096</v>
      </c>
      <c r="D24" s="51">
        <v>8372980</v>
      </c>
      <c r="E24" s="51">
        <f t="shared" si="2"/>
        <v>4168884</v>
      </c>
      <c r="F24" s="70">
        <f t="shared" si="3"/>
        <v>0.99162435872063814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41117895</v>
      </c>
      <c r="D25" s="51">
        <v>38635786</v>
      </c>
      <c r="E25" s="51">
        <f t="shared" si="2"/>
        <v>-2482109</v>
      </c>
      <c r="F25" s="70">
        <f t="shared" si="3"/>
        <v>-6.0365663174148383E-2</v>
      </c>
    </row>
    <row r="26" spans="1:7" ht="23.1" customHeight="1" x14ac:dyDescent="0.2">
      <c r="A26" s="25">
        <v>5</v>
      </c>
      <c r="B26" s="48" t="s">
        <v>84</v>
      </c>
      <c r="C26" s="51">
        <v>20454000</v>
      </c>
      <c r="D26" s="51">
        <v>19710000</v>
      </c>
      <c r="E26" s="51">
        <f t="shared" si="2"/>
        <v>-744000</v>
      </c>
      <c r="F26" s="70">
        <f t="shared" si="3"/>
        <v>-3.6374303314755059E-2</v>
      </c>
    </row>
    <row r="27" spans="1:7" ht="23.1" customHeight="1" x14ac:dyDescent="0.2">
      <c r="A27" s="25">
        <v>6</v>
      </c>
      <c r="B27" s="48" t="s">
        <v>85</v>
      </c>
      <c r="C27" s="51">
        <v>9444000</v>
      </c>
      <c r="D27" s="51">
        <v>14027000</v>
      </c>
      <c r="E27" s="51">
        <f t="shared" si="2"/>
        <v>4583000</v>
      </c>
      <c r="F27" s="70">
        <f t="shared" si="3"/>
        <v>0.48528166031342651</v>
      </c>
    </row>
    <row r="28" spans="1:7" ht="23.1" customHeight="1" x14ac:dyDescent="0.2">
      <c r="A28" s="25">
        <v>7</v>
      </c>
      <c r="B28" s="48" t="s">
        <v>86</v>
      </c>
      <c r="C28" s="51">
        <v>425000</v>
      </c>
      <c r="D28" s="51">
        <v>364000</v>
      </c>
      <c r="E28" s="51">
        <f t="shared" si="2"/>
        <v>-61000</v>
      </c>
      <c r="F28" s="70">
        <f t="shared" si="3"/>
        <v>-0.14352941176470588</v>
      </c>
    </row>
    <row r="29" spans="1:7" ht="23.1" customHeight="1" x14ac:dyDescent="0.2">
      <c r="A29" s="25">
        <v>8</v>
      </c>
      <c r="B29" s="48" t="s">
        <v>87</v>
      </c>
      <c r="C29" s="51">
        <v>200972</v>
      </c>
      <c r="D29" s="51">
        <v>-1785660</v>
      </c>
      <c r="E29" s="51">
        <f t="shared" si="2"/>
        <v>-1986632</v>
      </c>
      <c r="F29" s="70">
        <f t="shared" si="3"/>
        <v>-9.8851183249407875</v>
      </c>
    </row>
    <row r="30" spans="1:7" ht="23.1" customHeight="1" x14ac:dyDescent="0.2">
      <c r="A30" s="25">
        <v>9</v>
      </c>
      <c r="B30" s="48" t="s">
        <v>88</v>
      </c>
      <c r="C30" s="51">
        <v>74761712</v>
      </c>
      <c r="D30" s="51">
        <v>95376699</v>
      </c>
      <c r="E30" s="51">
        <f t="shared" si="2"/>
        <v>20614987</v>
      </c>
      <c r="F30" s="70">
        <f t="shared" si="3"/>
        <v>0.27574257529041069</v>
      </c>
    </row>
    <row r="31" spans="1:7" ht="23.1" customHeight="1" x14ac:dyDescent="0.25">
      <c r="A31" s="29"/>
      <c r="B31" s="71" t="s">
        <v>89</v>
      </c>
      <c r="C31" s="27">
        <f>SUM(C22:C30)</f>
        <v>314917000</v>
      </c>
      <c r="D31" s="27">
        <f>SUM(D22:D30)</f>
        <v>327936000</v>
      </c>
      <c r="E31" s="27">
        <f t="shared" si="2"/>
        <v>13019000</v>
      </c>
      <c r="F31" s="28">
        <f t="shared" si="3"/>
        <v>4.1341051769196328E-2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8441000</v>
      </c>
      <c r="D33" s="27">
        <f>+D19-D31</f>
        <v>12695000</v>
      </c>
      <c r="E33" s="27">
        <f>D33-C33</f>
        <v>4254000</v>
      </c>
      <c r="F33" s="28">
        <f>IF(C33=0,0,E33/C33)</f>
        <v>0.50396872408482407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752000</v>
      </c>
      <c r="D36" s="51">
        <v>235000</v>
      </c>
      <c r="E36" s="51">
        <f>D36-C36</f>
        <v>-517000</v>
      </c>
      <c r="F36" s="70">
        <f>IF(C36=0,0,E36/C36)</f>
        <v>-0.6875</v>
      </c>
    </row>
    <row r="37" spans="1:6" ht="23.1" customHeight="1" x14ac:dyDescent="0.2">
      <c r="A37" s="44">
        <v>2</v>
      </c>
      <c r="B37" s="48" t="s">
        <v>93</v>
      </c>
      <c r="C37" s="51">
        <v>4117000</v>
      </c>
      <c r="D37" s="51">
        <v>1880000</v>
      </c>
      <c r="E37" s="51">
        <f>D37-C37</f>
        <v>-2237000</v>
      </c>
      <c r="F37" s="70">
        <f>IF(C37=0,0,E37/C37)</f>
        <v>-0.54335681321350493</v>
      </c>
    </row>
    <row r="38" spans="1:6" ht="23.1" customHeight="1" x14ac:dyDescent="0.2">
      <c r="A38" s="44">
        <v>3</v>
      </c>
      <c r="B38" s="48" t="s">
        <v>94</v>
      </c>
      <c r="C38" s="51">
        <v>-7114000</v>
      </c>
      <c r="D38" s="51">
        <v>-10909000</v>
      </c>
      <c r="E38" s="51">
        <f>D38-C38</f>
        <v>-3795000</v>
      </c>
      <c r="F38" s="70">
        <f>IF(C38=0,0,E38/C38)</f>
        <v>0.53345515884172057</v>
      </c>
    </row>
    <row r="39" spans="1:6" ht="23.1" customHeight="1" x14ac:dyDescent="0.25">
      <c r="A39" s="20"/>
      <c r="B39" s="71" t="s">
        <v>95</v>
      </c>
      <c r="C39" s="27">
        <f>SUM(C36:C38)</f>
        <v>-2245000</v>
      </c>
      <c r="D39" s="27">
        <f>SUM(D36:D38)</f>
        <v>-8794000</v>
      </c>
      <c r="E39" s="27">
        <f>D39-C39</f>
        <v>-6549000</v>
      </c>
      <c r="F39" s="28">
        <f>IF(C39=0,0,E39/C39)</f>
        <v>2.9171492204899776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6196000</v>
      </c>
      <c r="D41" s="27">
        <f>D33+D39</f>
        <v>3901000</v>
      </c>
      <c r="E41" s="27">
        <f>D41-C41</f>
        <v>-2295000</v>
      </c>
      <c r="F41" s="28">
        <f>IF(C41=0,0,E41/C41)</f>
        <v>-0.37040025823111683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-2162000</v>
      </c>
      <c r="D44" s="51">
        <v>7889000</v>
      </c>
      <c r="E44" s="51">
        <f>D44-C44</f>
        <v>10051000</v>
      </c>
      <c r="F44" s="70">
        <f>IF(C44=0,0,E44/C44)</f>
        <v>-4.6489361702127656</v>
      </c>
    </row>
    <row r="45" spans="1:6" ht="23.1" customHeight="1" x14ac:dyDescent="0.2">
      <c r="A45" s="44"/>
      <c r="B45" s="48" t="s">
        <v>99</v>
      </c>
      <c r="C45" s="51">
        <v>-1847000</v>
      </c>
      <c r="D45" s="51">
        <v>-1713000</v>
      </c>
      <c r="E45" s="51">
        <f>D45-C45</f>
        <v>134000</v>
      </c>
      <c r="F45" s="70">
        <f>IF(C45=0,0,E45/C45)</f>
        <v>-7.2550081212777479E-2</v>
      </c>
    </row>
    <row r="46" spans="1:6" ht="23.1" customHeight="1" x14ac:dyDescent="0.25">
      <c r="A46" s="20"/>
      <c r="B46" s="74" t="s">
        <v>100</v>
      </c>
      <c r="C46" s="27">
        <f>SUM(C44:C45)</f>
        <v>-4009000</v>
      </c>
      <c r="D46" s="27">
        <f>SUM(D44:D45)</f>
        <v>6176000</v>
      </c>
      <c r="E46" s="27">
        <f>D46-C46</f>
        <v>10185000</v>
      </c>
      <c r="F46" s="28">
        <f>IF(C46=0,0,E46/C46)</f>
        <v>-2.5405337989523571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2187000</v>
      </c>
      <c r="D48" s="27">
        <f>D41+D46</f>
        <v>10077000</v>
      </c>
      <c r="E48" s="27">
        <f>D48-C48</f>
        <v>7890000</v>
      </c>
      <c r="F48" s="28">
        <f>IF(C48=0,0,E48/C48)</f>
        <v>3.6076817558299039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FILING&amp;R&amp;8GREENWICH HEALTH CARE SERVICES,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2013-09-11T11:51:10Z</cp:lastPrinted>
  <dcterms:created xsi:type="dcterms:W3CDTF">2006-08-03T13:49:12Z</dcterms:created>
  <dcterms:modified xsi:type="dcterms:W3CDTF">2013-09-12T14:56:28Z</dcterms:modified>
</cp:coreProperties>
</file>