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9" i="14" s="1"/>
  <c r="D230" i="14"/>
  <c r="D229" i="14"/>
  <c r="D226" i="14"/>
  <c r="D227" i="14"/>
  <c r="D223" i="14"/>
  <c r="D204" i="14"/>
  <c r="D269" i="14" s="1"/>
  <c r="D203" i="14"/>
  <c r="D283" i="14" s="1"/>
  <c r="D200" i="14"/>
  <c r="D198" i="14"/>
  <c r="D290" i="14"/>
  <c r="D191" i="14"/>
  <c r="D264" i="14" s="1"/>
  <c r="D280" i="14"/>
  <c r="D189" i="14"/>
  <c r="D278" i="14"/>
  <c r="D188" i="14"/>
  <c r="D180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92" i="14" s="1"/>
  <c r="D193" i="14" s="1"/>
  <c r="D19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 s="1"/>
  <c r="C86" i="19"/>
  <c r="C88" i="19" s="1"/>
  <c r="E83" i="19"/>
  <c r="D83" i="19"/>
  <c r="C83" i="19"/>
  <c r="C102" i="19" s="1"/>
  <c r="E76" i="19"/>
  <c r="D76" i="19"/>
  <c r="C76" i="19"/>
  <c r="E75" i="19"/>
  <c r="E101" i="19" s="1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C46" i="19" s="1"/>
  <c r="D21" i="18"/>
  <c r="C21" i="18"/>
  <c r="D19" i="18"/>
  <c r="C19" i="18"/>
  <c r="E17" i="18"/>
  <c r="F17" i="18" s="1"/>
  <c r="E15" i="18"/>
  <c r="F15" i="18" s="1"/>
  <c r="D45" i="17"/>
  <c r="C45" i="17"/>
  <c r="D44" i="17"/>
  <c r="C44" i="17"/>
  <c r="D43" i="17"/>
  <c r="D46" i="17" s="1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E27" i="17"/>
  <c r="F27" i="17" s="1"/>
  <c r="D25" i="17"/>
  <c r="D39" i="17"/>
  <c r="C25" i="17"/>
  <c r="C39" i="17" s="1"/>
  <c r="E24" i="17"/>
  <c r="F24" i="17" s="1"/>
  <c r="F23" i="17"/>
  <c r="E23" i="17"/>
  <c r="E22" i="17"/>
  <c r="F22" i="17" s="1"/>
  <c r="E25" i="17"/>
  <c r="F25" i="17" s="1"/>
  <c r="D19" i="17"/>
  <c r="D20" i="17" s="1"/>
  <c r="C19" i="17"/>
  <c r="C20" i="17" s="1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C37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C293" i="15"/>
  <c r="D292" i="15"/>
  <c r="E292" i="15" s="1"/>
  <c r="C292" i="15"/>
  <c r="D291" i="15"/>
  <c r="C291" i="15"/>
  <c r="E291" i="15" s="1"/>
  <c r="D290" i="15"/>
  <c r="E290" i="15" s="1"/>
  <c r="C290" i="15"/>
  <c r="D288" i="15"/>
  <c r="C288" i="15"/>
  <c r="E288" i="15" s="1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D278" i="15"/>
  <c r="E278" i="15" s="1"/>
  <c r="C278" i="15"/>
  <c r="D277" i="15"/>
  <c r="C277" i="15"/>
  <c r="E277" i="15" s="1"/>
  <c r="D276" i="15"/>
  <c r="E276" i="15" s="1"/>
  <c r="C276" i="15"/>
  <c r="E270" i="15"/>
  <c r="D265" i="15"/>
  <c r="E265" i="15" s="1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 s="1"/>
  <c r="D228" i="15"/>
  <c r="C228" i="15"/>
  <c r="E228" i="15" s="1"/>
  <c r="D227" i="15"/>
  <c r="E227" i="15" s="1"/>
  <c r="C227" i="15"/>
  <c r="D221" i="15"/>
  <c r="D245" i="15" s="1"/>
  <c r="C221" i="15"/>
  <c r="C245" i="15" s="1"/>
  <c r="D220" i="15"/>
  <c r="C220" i="15"/>
  <c r="C244" i="15" s="1"/>
  <c r="D219" i="15"/>
  <c r="E219" i="15" s="1"/>
  <c r="C219" i="15"/>
  <c r="C243" i="15"/>
  <c r="D218" i="15"/>
  <c r="C218" i="15"/>
  <c r="C242" i="15" s="1"/>
  <c r="D216" i="15"/>
  <c r="D222" i="15" s="1"/>
  <c r="C216" i="15"/>
  <c r="C240" i="15" s="1"/>
  <c r="D215" i="15"/>
  <c r="C215" i="15"/>
  <c r="C239" i="15" s="1"/>
  <c r="E209" i="15"/>
  <c r="E208" i="15"/>
  <c r="E207" i="15"/>
  <c r="E206" i="15"/>
  <c r="D205" i="15"/>
  <c r="D229" i="15" s="1"/>
  <c r="C205" i="15"/>
  <c r="C229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189" i="15" s="1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 s="1"/>
  <c r="C174" i="15"/>
  <c r="D173" i="15"/>
  <c r="C173" i="15"/>
  <c r="E173" i="15" s="1"/>
  <c r="D167" i="15"/>
  <c r="E167" i="15"/>
  <c r="C167" i="15"/>
  <c r="D166" i="15"/>
  <c r="C166" i="15"/>
  <c r="D165" i="15"/>
  <c r="E165" i="15" s="1"/>
  <c r="C165" i="15"/>
  <c r="D164" i="15"/>
  <c r="C164" i="15"/>
  <c r="E164" i="15" s="1"/>
  <c r="D162" i="15"/>
  <c r="C162" i="15"/>
  <c r="D161" i="15"/>
  <c r="C161" i="15"/>
  <c r="E155" i="15"/>
  <c r="E154" i="15"/>
  <c r="E153" i="15"/>
  <c r="E152" i="15"/>
  <c r="D151" i="15"/>
  <c r="D156" i="15" s="1"/>
  <c r="C151" i="15"/>
  <c r="E151" i="15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E75" i="15" s="1"/>
  <c r="D74" i="15"/>
  <c r="C74" i="15"/>
  <c r="D73" i="15"/>
  <c r="C73" i="15"/>
  <c r="E73" i="15" s="1"/>
  <c r="D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E38" i="15" s="1"/>
  <c r="C38" i="15"/>
  <c r="D37" i="15"/>
  <c r="C37" i="15"/>
  <c r="E37" i="15" s="1"/>
  <c r="D36" i="15"/>
  <c r="C36" i="15"/>
  <c r="E36" i="15" s="1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E20" i="15"/>
  <c r="E19" i="15"/>
  <c r="E18" i="15"/>
  <c r="E17" i="15"/>
  <c r="E16" i="15"/>
  <c r="E15" i="15"/>
  <c r="E14" i="15"/>
  <c r="E335" i="14"/>
  <c r="F335" i="14" s="1"/>
  <c r="E334" i="14"/>
  <c r="F334" i="14" s="1"/>
  <c r="E333" i="14"/>
  <c r="F333" i="14" s="1"/>
  <c r="F332" i="14"/>
  <c r="E332" i="14"/>
  <c r="F331" i="14"/>
  <c r="E331" i="14"/>
  <c r="F330" i="14"/>
  <c r="E330" i="14"/>
  <c r="F329" i="14"/>
  <c r="E329" i="14"/>
  <c r="F316" i="14"/>
  <c r="E316" i="14"/>
  <c r="C311" i="14"/>
  <c r="E311" i="14" s="1"/>
  <c r="E308" i="14"/>
  <c r="F308" i="14" s="1"/>
  <c r="C307" i="14"/>
  <c r="E307" i="14" s="1"/>
  <c r="C299" i="14"/>
  <c r="E299" i="14" s="1"/>
  <c r="F299" i="14" s="1"/>
  <c r="C298" i="14"/>
  <c r="E298" i="14" s="1"/>
  <c r="E297" i="14"/>
  <c r="C297" i="14"/>
  <c r="C296" i="14"/>
  <c r="E296" i="14" s="1"/>
  <c r="C295" i="14"/>
  <c r="E295" i="14" s="1"/>
  <c r="C294" i="14"/>
  <c r="E294" i="14" s="1"/>
  <c r="C250" i="14"/>
  <c r="E250" i="14" s="1"/>
  <c r="F250" i="14" s="1"/>
  <c r="E249" i="14"/>
  <c r="F249" i="14" s="1"/>
  <c r="E248" i="14"/>
  <c r="F248" i="14" s="1"/>
  <c r="E245" i="14"/>
  <c r="F245" i="14" s="1"/>
  <c r="E244" i="14"/>
  <c r="F244" i="14" s="1"/>
  <c r="E243" i="14"/>
  <c r="F243" i="14" s="1"/>
  <c r="C238" i="14"/>
  <c r="E238" i="14" s="1"/>
  <c r="F238" i="14" s="1"/>
  <c r="C237" i="14"/>
  <c r="E237" i="14" s="1"/>
  <c r="F237" i="14" s="1"/>
  <c r="E234" i="14"/>
  <c r="F234" i="14" s="1"/>
  <c r="E233" i="14"/>
  <c r="F233" i="14"/>
  <c r="C230" i="14"/>
  <c r="E230" i="14" s="1"/>
  <c r="C229" i="14"/>
  <c r="E228" i="14"/>
  <c r="F228" i="14" s="1"/>
  <c r="C226" i="14"/>
  <c r="E225" i="14"/>
  <c r="F225" i="14" s="1"/>
  <c r="E224" i="14"/>
  <c r="F224" i="14" s="1"/>
  <c r="C223" i="14"/>
  <c r="E223" i="14" s="1"/>
  <c r="F223" i="14" s="1"/>
  <c r="E222" i="14"/>
  <c r="F222" i="14" s="1"/>
  <c r="E221" i="14"/>
  <c r="F221" i="14" s="1"/>
  <c r="C204" i="14"/>
  <c r="C203" i="14"/>
  <c r="E203" i="14" s="1"/>
  <c r="F203" i="14" s="1"/>
  <c r="C198" i="14"/>
  <c r="C274" i="14" s="1"/>
  <c r="C191" i="14"/>
  <c r="C280" i="14" s="1"/>
  <c r="C189" i="14"/>
  <c r="C188" i="14"/>
  <c r="C214" i="14" s="1"/>
  <c r="C180" i="14"/>
  <c r="E180" i="14" s="1"/>
  <c r="F180" i="14" s="1"/>
  <c r="C179" i="14"/>
  <c r="E179" i="14" s="1"/>
  <c r="C171" i="14"/>
  <c r="E171" i="14" s="1"/>
  <c r="C170" i="14"/>
  <c r="E170" i="14" s="1"/>
  <c r="F170" i="14" s="1"/>
  <c r="E169" i="14"/>
  <c r="F169" i="14" s="1"/>
  <c r="E168" i="14"/>
  <c r="F168" i="14" s="1"/>
  <c r="C165" i="14"/>
  <c r="E165" i="14" s="1"/>
  <c r="C164" i="14"/>
  <c r="E164" i="14" s="1"/>
  <c r="E163" i="14"/>
  <c r="F163" i="14" s="1"/>
  <c r="C158" i="14"/>
  <c r="C159" i="14" s="1"/>
  <c r="E157" i="14"/>
  <c r="F157" i="14" s="1"/>
  <c r="E156" i="14"/>
  <c r="F156" i="14" s="1"/>
  <c r="C155" i="14"/>
  <c r="E155" i="14" s="1"/>
  <c r="E154" i="14"/>
  <c r="F154" i="14" s="1"/>
  <c r="E153" i="14"/>
  <c r="F153" i="14" s="1"/>
  <c r="C145" i="14"/>
  <c r="E145" i="14" s="1"/>
  <c r="C144" i="14"/>
  <c r="E144" i="14" s="1"/>
  <c r="E136" i="14"/>
  <c r="C136" i="14"/>
  <c r="C135" i="14"/>
  <c r="E135" i="14" s="1"/>
  <c r="E134" i="14"/>
  <c r="F134" i="14"/>
  <c r="E133" i="14"/>
  <c r="F133" i="14"/>
  <c r="C130" i="14"/>
  <c r="E130" i="14"/>
  <c r="C129" i="14"/>
  <c r="E129" i="14"/>
  <c r="E128" i="14"/>
  <c r="F128" i="14"/>
  <c r="C123" i="14"/>
  <c r="E123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C109" i="14"/>
  <c r="C111" i="14" s="1"/>
  <c r="C101" i="14"/>
  <c r="E101" i="14" s="1"/>
  <c r="C100" i="14"/>
  <c r="E100" i="14" s="1"/>
  <c r="F100" i="14" s="1"/>
  <c r="E99" i="14"/>
  <c r="F99" i="14" s="1"/>
  <c r="E98" i="14"/>
  <c r="F98" i="14" s="1"/>
  <c r="C95" i="14"/>
  <c r="C94" i="14"/>
  <c r="E94" i="14" s="1"/>
  <c r="E93" i="14"/>
  <c r="F93" i="14" s="1"/>
  <c r="C88" i="14"/>
  <c r="E87" i="14"/>
  <c r="F87" i="14"/>
  <c r="E86" i="14"/>
  <c r="F86" i="14"/>
  <c r="C85" i="14"/>
  <c r="E85" i="14" s="1"/>
  <c r="E84" i="14"/>
  <c r="F84" i="14" s="1"/>
  <c r="E83" i="14"/>
  <c r="F83" i="14" s="1"/>
  <c r="C76" i="14"/>
  <c r="E74" i="14"/>
  <c r="F74" i="14" s="1"/>
  <c r="E73" i="14"/>
  <c r="F73" i="14" s="1"/>
  <c r="C67" i="14"/>
  <c r="C66" i="14"/>
  <c r="C68" i="14" s="1"/>
  <c r="E59" i="14"/>
  <c r="C59" i="14"/>
  <c r="C60" i="14" s="1"/>
  <c r="F59" i="14"/>
  <c r="C58" i="14"/>
  <c r="E58" i="14"/>
  <c r="E57" i="14"/>
  <c r="F57" i="14"/>
  <c r="E56" i="14"/>
  <c r="F56" i="14"/>
  <c r="C53" i="14"/>
  <c r="E53" i="14" s="1"/>
  <c r="C52" i="14"/>
  <c r="E51" i="14"/>
  <c r="F51" i="14" s="1"/>
  <c r="C47" i="14"/>
  <c r="E47" i="14" s="1"/>
  <c r="F47" i="14" s="1"/>
  <c r="E46" i="14"/>
  <c r="F46" i="14" s="1"/>
  <c r="E45" i="14"/>
  <c r="F45" i="14" s="1"/>
  <c r="C44" i="14"/>
  <c r="E43" i="14"/>
  <c r="F43" i="14"/>
  <c r="E42" i="14"/>
  <c r="F42" i="14"/>
  <c r="C36" i="14"/>
  <c r="C35" i="14"/>
  <c r="C304" i="14" s="1"/>
  <c r="E30" i="14"/>
  <c r="C30" i="14"/>
  <c r="C31" i="14" s="1"/>
  <c r="C32" i="14" s="1"/>
  <c r="F30" i="14"/>
  <c r="C29" i="14"/>
  <c r="E29" i="14"/>
  <c r="E28" i="14"/>
  <c r="F28" i="14"/>
  <c r="E27" i="14"/>
  <c r="F27" i="14"/>
  <c r="C24" i="14"/>
  <c r="E24" i="14" s="1"/>
  <c r="F24" i="14" s="1"/>
  <c r="C23" i="14"/>
  <c r="E23" i="14" s="1"/>
  <c r="E22" i="14"/>
  <c r="F22" i="14" s="1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3" i="13"/>
  <c r="C23" i="13"/>
  <c r="E22" i="13"/>
  <c r="F22" i="13" s="1"/>
  <c r="D19" i="13"/>
  <c r="C19" i="13"/>
  <c r="E18" i="13"/>
  <c r="F18" i="13" s="1"/>
  <c r="E17" i="13"/>
  <c r="F17" i="13" s="1"/>
  <c r="D14" i="13"/>
  <c r="C14" i="13"/>
  <c r="E13" i="13"/>
  <c r="F13" i="13" s="1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3" i="12"/>
  <c r="F83" i="12" s="1"/>
  <c r="E82" i="12"/>
  <c r="F82" i="12" s="1"/>
  <c r="F81" i="12"/>
  <c r="E81" i="12"/>
  <c r="F80" i="12"/>
  <c r="E80" i="12"/>
  <c r="F79" i="12"/>
  <c r="E79" i="12"/>
  <c r="D75" i="12"/>
  <c r="C75" i="12"/>
  <c r="F74" i="12"/>
  <c r="E74" i="12"/>
  <c r="F73" i="12"/>
  <c r="E73" i="12"/>
  <c r="E75" i="12"/>
  <c r="F75" i="12" s="1"/>
  <c r="D70" i="12"/>
  <c r="C70" i="12"/>
  <c r="E69" i="12"/>
  <c r="F69" i="12" s="1"/>
  <c r="E68" i="12"/>
  <c r="F68" i="12" s="1"/>
  <c r="D65" i="12"/>
  <c r="C65" i="12"/>
  <c r="E64" i="12"/>
  <c r="F64" i="12" s="1"/>
  <c r="F63" i="12"/>
  <c r="E63" i="12"/>
  <c r="D60" i="12"/>
  <c r="C60" i="12"/>
  <c r="F59" i="12"/>
  <c r="E59" i="12"/>
  <c r="F58" i="12"/>
  <c r="E58" i="12"/>
  <c r="E60" i="12"/>
  <c r="F60" i="12" s="1"/>
  <c r="D55" i="12"/>
  <c r="C55" i="12"/>
  <c r="F54" i="12"/>
  <c r="E54" i="12"/>
  <c r="E53" i="12"/>
  <c r="F53" i="12" s="1"/>
  <c r="D50" i="12"/>
  <c r="C50" i="12"/>
  <c r="E49" i="12"/>
  <c r="F49" i="12" s="1"/>
  <c r="E48" i="12"/>
  <c r="F48" i="12" s="1"/>
  <c r="D45" i="12"/>
  <c r="E45" i="12" s="1"/>
  <c r="F45" i="12" s="1"/>
  <c r="C45" i="12"/>
  <c r="F44" i="12"/>
  <c r="E44" i="12"/>
  <c r="F43" i="12"/>
  <c r="E43" i="12"/>
  <c r="D37" i="12"/>
  <c r="E37" i="12" s="1"/>
  <c r="F37" i="12" s="1"/>
  <c r="C37" i="12"/>
  <c r="F36" i="12"/>
  <c r="E36" i="12"/>
  <c r="F35" i="12"/>
  <c r="E35" i="12"/>
  <c r="F34" i="12"/>
  <c r="E34" i="12"/>
  <c r="F33" i="12"/>
  <c r="E33" i="12"/>
  <c r="D30" i="12"/>
  <c r="E30" i="12" s="1"/>
  <c r="F30" i="12" s="1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G33" i="11"/>
  <c r="F17" i="11"/>
  <c r="F33" i="11"/>
  <c r="E17" i="11"/>
  <c r="E31" i="11" s="1"/>
  <c r="D17" i="11"/>
  <c r="D33" i="11" s="1"/>
  <c r="D36" i="11" s="1"/>
  <c r="D38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/>
  <c r="D77" i="10" s="1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D65" i="10" s="1"/>
  <c r="C66" i="10"/>
  <c r="C65" i="10" s="1"/>
  <c r="E60" i="10"/>
  <c r="D60" i="10"/>
  <c r="C60" i="10"/>
  <c r="E58" i="10"/>
  <c r="D58" i="10"/>
  <c r="C58" i="10"/>
  <c r="E55" i="10"/>
  <c r="D55" i="10"/>
  <c r="C55" i="10"/>
  <c r="E54" i="10"/>
  <c r="D54" i="10"/>
  <c r="C54" i="10"/>
  <c r="C50" i="10" s="1"/>
  <c r="D50" i="10"/>
  <c r="E46" i="10"/>
  <c r="E48" i="10" s="1"/>
  <c r="D46" i="10"/>
  <c r="D48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E21" i="10" s="1"/>
  <c r="D13" i="10"/>
  <c r="C13" i="10"/>
  <c r="C25" i="10" s="1"/>
  <c r="C27" i="10" s="1"/>
  <c r="C21" i="10" s="1"/>
  <c r="D46" i="9"/>
  <c r="C46" i="9"/>
  <c r="E45" i="9"/>
  <c r="F45" i="9" s="1"/>
  <c r="E44" i="9"/>
  <c r="F44" i="9" s="1"/>
  <c r="D39" i="9"/>
  <c r="E39" i="9" s="1"/>
  <c r="F39" i="9" s="1"/>
  <c r="C39" i="9"/>
  <c r="E38" i="9"/>
  <c r="F38" i="9" s="1"/>
  <c r="E37" i="9"/>
  <c r="F37" i="9" s="1"/>
  <c r="F36" i="9"/>
  <c r="E36" i="9"/>
  <c r="D31" i="9"/>
  <c r="E31" i="9" s="1"/>
  <c r="F31" i="9" s="1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 s="1"/>
  <c r="F16" i="9" s="1"/>
  <c r="C16" i="9"/>
  <c r="C19" i="9"/>
  <c r="C33" i="9" s="1"/>
  <c r="C41" i="9" s="1"/>
  <c r="C48" i="9" s="1"/>
  <c r="E15" i="9"/>
  <c r="F15" i="9" s="1"/>
  <c r="E14" i="9"/>
  <c r="F14" i="9" s="1"/>
  <c r="E13" i="9"/>
  <c r="F13" i="9" s="1"/>
  <c r="E12" i="9"/>
  <c r="F12" i="9" s="1"/>
  <c r="D73" i="8"/>
  <c r="C73" i="8"/>
  <c r="E72" i="8"/>
  <c r="F72" i="8" s="1"/>
  <c r="F71" i="8"/>
  <c r="E71" i="8"/>
  <c r="F70" i="8"/>
  <c r="E70" i="8"/>
  <c r="F67" i="8"/>
  <c r="E67" i="8"/>
  <c r="E64" i="8"/>
  <c r="F64" i="8" s="1"/>
  <c r="E63" i="8"/>
  <c r="F63" i="8" s="1"/>
  <c r="D61" i="8"/>
  <c r="E61" i="8" s="1"/>
  <c r="C61" i="8"/>
  <c r="F60" i="8"/>
  <c r="E60" i="8"/>
  <c r="F59" i="8"/>
  <c r="E59" i="8"/>
  <c r="D56" i="8"/>
  <c r="E56" i="8" s="1"/>
  <c r="F56" i="8" s="1"/>
  <c r="C56" i="8"/>
  <c r="F55" i="8"/>
  <c r="E55" i="8"/>
  <c r="F54" i="8"/>
  <c r="E54" i="8"/>
  <c r="F53" i="8"/>
  <c r="E53" i="8"/>
  <c r="F52" i="8"/>
  <c r="E52" i="8"/>
  <c r="F51" i="8"/>
  <c r="E51" i="8"/>
  <c r="A51" i="8"/>
  <c r="A52" i="8" s="1"/>
  <c r="A53" i="8" s="1"/>
  <c r="A54" i="8" s="1"/>
  <c r="A55" i="8" s="1"/>
  <c r="E50" i="8"/>
  <c r="F50" i="8"/>
  <c r="A50" i="8"/>
  <c r="F49" i="8"/>
  <c r="E49" i="8"/>
  <c r="D41" i="8"/>
  <c r="E41" i="8" s="1"/>
  <c r="E40" i="8"/>
  <c r="F40" i="8" s="1"/>
  <c r="D38" i="8"/>
  <c r="E38" i="8"/>
  <c r="F38" i="8" s="1"/>
  <c r="C38" i="8"/>
  <c r="C41" i="8" s="1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F28" i="8"/>
  <c r="E28" i="8"/>
  <c r="F27" i="8"/>
  <c r="E27" i="8"/>
  <c r="F26" i="8"/>
  <c r="E26" i="8"/>
  <c r="F25" i="8"/>
  <c r="E25" i="8"/>
  <c r="D22" i="8"/>
  <c r="E22" i="8" s="1"/>
  <c r="F22" i="8" s="1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E14" i="8"/>
  <c r="F14" i="8" s="1"/>
  <c r="E13" i="8"/>
  <c r="F13" i="8" s="1"/>
  <c r="D120" i="7"/>
  <c r="C120" i="7"/>
  <c r="D119" i="7"/>
  <c r="E119" i="7" s="1"/>
  <c r="F119" i="7" s="1"/>
  <c r="C119" i="7"/>
  <c r="D118" i="7"/>
  <c r="E118" i="7" s="1"/>
  <c r="F118" i="7" s="1"/>
  <c r="C118" i="7"/>
  <c r="D117" i="7"/>
  <c r="E117" i="7" s="1"/>
  <c r="F117" i="7" s="1"/>
  <c r="C117" i="7"/>
  <c r="D116" i="7"/>
  <c r="C116" i="7"/>
  <c r="D115" i="7"/>
  <c r="C115" i="7"/>
  <c r="E115" i="7" s="1"/>
  <c r="F115" i="7" s="1"/>
  <c r="D114" i="7"/>
  <c r="C114" i="7"/>
  <c r="D113" i="7"/>
  <c r="D122" i="7" s="1"/>
  <c r="C113" i="7"/>
  <c r="C122" i="7" s="1"/>
  <c r="D112" i="7"/>
  <c r="C112" i="7"/>
  <c r="D108" i="7"/>
  <c r="E108" i="7" s="1"/>
  <c r="F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/>
  <c r="F96" i="7" s="1"/>
  <c r="C96" i="7"/>
  <c r="D95" i="7"/>
  <c r="E95" i="7" s="1"/>
  <c r="F95" i="7" s="1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C59" i="7"/>
  <c r="E58" i="7"/>
  <c r="F58" i="7" s="1"/>
  <c r="F57" i="7"/>
  <c r="E57" i="7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E48" i="7" s="1"/>
  <c r="C48" i="7"/>
  <c r="F48" i="7" s="1"/>
  <c r="D47" i="7"/>
  <c r="E47" i="7" s="1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 s="1"/>
  <c r="C36" i="7"/>
  <c r="D35" i="7"/>
  <c r="E35" i="7" s="1"/>
  <c r="F35" i="7" s="1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F206" i="6" s="1"/>
  <c r="C206" i="6"/>
  <c r="D205" i="6"/>
  <c r="C205" i="6"/>
  <c r="D204" i="6"/>
  <c r="E204" i="6"/>
  <c r="F204" i="6" s="1"/>
  <c r="C204" i="6"/>
  <c r="D203" i="6"/>
  <c r="E203" i="6" s="1"/>
  <c r="F203" i="6" s="1"/>
  <c r="C203" i="6"/>
  <c r="D202" i="6"/>
  <c r="E202" i="6" s="1"/>
  <c r="F202" i="6" s="1"/>
  <c r="C202" i="6"/>
  <c r="D201" i="6"/>
  <c r="C201" i="6"/>
  <c r="D200" i="6"/>
  <c r="C200" i="6"/>
  <c r="E200" i="6" s="1"/>
  <c r="F200" i="6" s="1"/>
  <c r="D199" i="6"/>
  <c r="E199" i="6" s="1"/>
  <c r="F199" i="6" s="1"/>
  <c r="C199" i="6"/>
  <c r="C208" i="6"/>
  <c r="D198" i="6"/>
  <c r="C198" i="6"/>
  <c r="D193" i="6"/>
  <c r="E193" i="6" s="1"/>
  <c r="C193" i="6"/>
  <c r="F193" i="6" s="1"/>
  <c r="D192" i="6"/>
  <c r="E192" i="6" s="1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E127" i="6"/>
  <c r="F127" i="6" s="1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5" i="6"/>
  <c r="D115" i="6"/>
  <c r="E115" i="6"/>
  <c r="C115" i="6"/>
  <c r="F114" i="6"/>
  <c r="D114" i="6"/>
  <c r="E114" i="6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2" i="6"/>
  <c r="D102" i="6"/>
  <c r="E102" i="6"/>
  <c r="C102" i="6"/>
  <c r="F101" i="6"/>
  <c r="D101" i="6"/>
  <c r="E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E88" i="6" s="1"/>
  <c r="F88" i="6" s="1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F80" i="6"/>
  <c r="E80" i="6"/>
  <c r="E79" i="6"/>
  <c r="F79" i="6" s="1"/>
  <c r="D76" i="6"/>
  <c r="C76" i="6"/>
  <c r="D75" i="6"/>
  <c r="E75" i="6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D164" i="5"/>
  <c r="D160" i="5" s="1"/>
  <c r="C164" i="5"/>
  <c r="C160" i="5" s="1"/>
  <c r="C166" i="5" s="1"/>
  <c r="E162" i="5"/>
  <c r="D162" i="5"/>
  <c r="C162" i="5"/>
  <c r="E161" i="5"/>
  <c r="D161" i="5"/>
  <c r="C161" i="5"/>
  <c r="E147" i="5"/>
  <c r="E143" i="5" s="1"/>
  <c r="D147" i="5"/>
  <c r="D143" i="5" s="1"/>
  <c r="C147" i="5"/>
  <c r="E145" i="5"/>
  <c r="D145" i="5"/>
  <c r="C145" i="5"/>
  <c r="E144" i="5"/>
  <c r="D144" i="5"/>
  <c r="C144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D107" i="5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D79" i="5" s="1"/>
  <c r="C83" i="5"/>
  <c r="C79" i="5"/>
  <c r="E75" i="5"/>
  <c r="E88" i="5" s="1"/>
  <c r="E90" i="5" s="1"/>
  <c r="E86" i="5" s="1"/>
  <c r="D75" i="5"/>
  <c r="C75" i="5"/>
  <c r="C77" i="5" s="1"/>
  <c r="E74" i="5"/>
  <c r="D74" i="5"/>
  <c r="C74" i="5"/>
  <c r="E67" i="5"/>
  <c r="D67" i="5"/>
  <c r="C67" i="5"/>
  <c r="E38" i="5"/>
  <c r="D38" i="5"/>
  <c r="D53" i="5" s="1"/>
  <c r="C38" i="5"/>
  <c r="C57" i="5" s="1"/>
  <c r="C62" i="5" s="1"/>
  <c r="E33" i="5"/>
  <c r="E34" i="5"/>
  <c r="D33" i="5"/>
  <c r="D34" i="5"/>
  <c r="E26" i="5"/>
  <c r="D26" i="5"/>
  <c r="C26" i="5"/>
  <c r="E25" i="5"/>
  <c r="E27" i="5" s="1"/>
  <c r="C15" i="5"/>
  <c r="E13" i="5"/>
  <c r="E15" i="5" s="1"/>
  <c r="D13" i="5"/>
  <c r="C13" i="5"/>
  <c r="C25" i="5" s="1"/>
  <c r="C27" i="5" s="1"/>
  <c r="C21" i="5" s="1"/>
  <c r="F174" i="4"/>
  <c r="E174" i="4"/>
  <c r="D171" i="4"/>
  <c r="E171" i="4" s="1"/>
  <c r="F171" i="4" s="1"/>
  <c r="C171" i="4"/>
  <c r="E170" i="4"/>
  <c r="F170" i="4" s="1"/>
  <c r="E169" i="4"/>
  <c r="F169" i="4" s="1"/>
  <c r="E168" i="4"/>
  <c r="F168" i="4" s="1"/>
  <c r="E167" i="4"/>
  <c r="F167" i="4" s="1"/>
  <c r="F166" i="4"/>
  <c r="E166" i="4"/>
  <c r="E165" i="4"/>
  <c r="F165" i="4" s="1"/>
  <c r="E164" i="4"/>
  <c r="F164" i="4" s="1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E153" i="4"/>
  <c r="F153" i="4" s="1"/>
  <c r="E152" i="4"/>
  <c r="F152" i="4" s="1"/>
  <c r="E151" i="4"/>
  <c r="F151" i="4" s="1"/>
  <c r="E150" i="4"/>
  <c r="F150" i="4" s="1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E143" i="4"/>
  <c r="F143" i="4" s="1"/>
  <c r="F142" i="4"/>
  <c r="E142" i="4"/>
  <c r="F141" i="4"/>
  <c r="E141" i="4"/>
  <c r="E140" i="4"/>
  <c r="F140" i="4" s="1"/>
  <c r="E139" i="4"/>
  <c r="F139" i="4" s="1"/>
  <c r="E138" i="4"/>
  <c r="F138" i="4" s="1"/>
  <c r="E137" i="4"/>
  <c r="F137" i="4" s="1"/>
  <c r="E136" i="4"/>
  <c r="F136" i="4" s="1"/>
  <c r="E135" i="4"/>
  <c r="F135" i="4" s="1"/>
  <c r="E134" i="4"/>
  <c r="F134" i="4" s="1"/>
  <c r="E133" i="4"/>
  <c r="F133" i="4" s="1"/>
  <c r="E132" i="4"/>
  <c r="F132" i="4" s="1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C109" i="4"/>
  <c r="E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F96" i="4"/>
  <c r="E96" i="4"/>
  <c r="E95" i="4"/>
  <c r="F95" i="4" s="1"/>
  <c r="E94" i="4"/>
  <c r="F94" i="4" s="1"/>
  <c r="E93" i="4"/>
  <c r="F93" i="4" s="1"/>
  <c r="E92" i="4"/>
  <c r="F92" i="4" s="1"/>
  <c r="E91" i="4"/>
  <c r="F91" i="4" s="1"/>
  <c r="E81" i="4"/>
  <c r="F81" i="4" s="1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F40" i="4"/>
  <c r="E40" i="4"/>
  <c r="E39" i="4"/>
  <c r="F39" i="4" s="1"/>
  <c r="E38" i="4"/>
  <c r="F38" i="4" s="1"/>
  <c r="D35" i="4"/>
  <c r="C35" i="4"/>
  <c r="E34" i="4"/>
  <c r="F34" i="4" s="1"/>
  <c r="E33" i="4"/>
  <c r="F33" i="4" s="1"/>
  <c r="D30" i="4"/>
  <c r="E30" i="4"/>
  <c r="F30" i="4" s="1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E17" i="4"/>
  <c r="F17" i="4" s="1"/>
  <c r="E16" i="4"/>
  <c r="F16" i="4" s="1"/>
  <c r="E15" i="4"/>
  <c r="F15" i="4" s="1"/>
  <c r="D179" i="3"/>
  <c r="C179" i="3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E166" i="3" s="1"/>
  <c r="F166" i="3" s="1"/>
  <c r="C166" i="3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F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E111" i="3" s="1"/>
  <c r="F111" i="3" s="1"/>
  <c r="C111" i="3"/>
  <c r="E110" i="3"/>
  <c r="F110" i="3" s="1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 s="1"/>
  <c r="F94" i="3" s="1"/>
  <c r="C94" i="3"/>
  <c r="D93" i="3"/>
  <c r="E93" i="3" s="1"/>
  <c r="F93" i="3" s="1"/>
  <c r="C93" i="3"/>
  <c r="D92" i="3"/>
  <c r="C92" i="3"/>
  <c r="D91" i="3"/>
  <c r="E91" i="3"/>
  <c r="F91" i="3" s="1"/>
  <c r="C91" i="3"/>
  <c r="D90" i="3"/>
  <c r="E90" i="3" s="1"/>
  <c r="F90" i="3" s="1"/>
  <c r="C90" i="3"/>
  <c r="D89" i="3"/>
  <c r="E89" i="3" s="1"/>
  <c r="F89" i="3" s="1"/>
  <c r="C89" i="3"/>
  <c r="D88" i="3"/>
  <c r="C88" i="3"/>
  <c r="D87" i="3"/>
  <c r="E87" i="3"/>
  <c r="F87" i="3" s="1"/>
  <c r="C87" i="3"/>
  <c r="D86" i="3"/>
  <c r="E86" i="3" s="1"/>
  <c r="F86" i="3" s="1"/>
  <c r="C86" i="3"/>
  <c r="D85" i="3"/>
  <c r="E85" i="3" s="1"/>
  <c r="F85" i="3" s="1"/>
  <c r="C85" i="3"/>
  <c r="D84" i="3"/>
  <c r="C84" i="3"/>
  <c r="C95" i="3" s="1"/>
  <c r="D81" i="3"/>
  <c r="E81" i="3" s="1"/>
  <c r="C81" i="3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E68" i="3" s="1"/>
  <c r="F68" i="3" s="1"/>
  <c r="C68" i="3"/>
  <c r="E67" i="3"/>
  <c r="F67" i="3" s="1"/>
  <c r="E66" i="3"/>
  <c r="F66" i="3" s="1"/>
  <c r="E65" i="3"/>
  <c r="F65" i="3" s="1"/>
  <c r="E64" i="3"/>
  <c r="F64" i="3" s="1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 s="1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E44" i="3" s="1"/>
  <c r="F44" i="3" s="1"/>
  <c r="D43" i="3"/>
  <c r="C43" i="3"/>
  <c r="D42" i="3"/>
  <c r="C42" i="3"/>
  <c r="D41" i="3"/>
  <c r="D52" i="3" s="1"/>
  <c r="E52" i="3" s="1"/>
  <c r="F52" i="3" s="1"/>
  <c r="C41" i="3"/>
  <c r="D38" i="3"/>
  <c r="C38" i="3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E45" i="2"/>
  <c r="F45" i="2" s="1"/>
  <c r="E44" i="2"/>
  <c r="F44" i="2" s="1"/>
  <c r="D39" i="2"/>
  <c r="C39" i="2"/>
  <c r="E38" i="2"/>
  <c r="F38" i="2" s="1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E16" i="2" s="1"/>
  <c r="C16" i="2"/>
  <c r="F16" i="2" s="1"/>
  <c r="E15" i="2"/>
  <c r="F15" i="2" s="1"/>
  <c r="E14" i="2"/>
  <c r="F14" i="2"/>
  <c r="E13" i="2"/>
  <c r="F13" i="2"/>
  <c r="E12" i="2"/>
  <c r="F12" i="2"/>
  <c r="D73" i="1"/>
  <c r="E73" i="1" s="1"/>
  <c r="F73" i="1" s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E61" i="1" s="1"/>
  <c r="C61" i="1"/>
  <c r="F61" i="1" s="1"/>
  <c r="F60" i="1"/>
  <c r="E60" i="1"/>
  <c r="E59" i="1"/>
  <c r="F59" i="1" s="1"/>
  <c r="D56" i="1"/>
  <c r="C56" i="1"/>
  <c r="E56" i="1" s="1"/>
  <c r="E55" i="1"/>
  <c r="F55" i="1" s="1"/>
  <c r="F54" i="1"/>
  <c r="E54" i="1"/>
  <c r="E53" i="1"/>
  <c r="F53" i="1" s="1"/>
  <c r="F52" i="1"/>
  <c r="E52" i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 s="1"/>
  <c r="D41" i="1"/>
  <c r="E40" i="1"/>
  <c r="F40" i="1"/>
  <c r="D38" i="1"/>
  <c r="C38" i="1"/>
  <c r="E37" i="1"/>
  <c r="F37" i="1"/>
  <c r="E36" i="1"/>
  <c r="F36" i="1"/>
  <c r="E33" i="1"/>
  <c r="F33" i="1"/>
  <c r="E32" i="1"/>
  <c r="F32" i="1"/>
  <c r="E31" i="1"/>
  <c r="F31" i="1"/>
  <c r="D29" i="1"/>
  <c r="C29" i="1"/>
  <c r="F28" i="1"/>
  <c r="E28" i="1"/>
  <c r="E27" i="1"/>
  <c r="F27" i="1"/>
  <c r="E26" i="1"/>
  <c r="F26" i="1"/>
  <c r="E25" i="1"/>
  <c r="F25" i="1"/>
  <c r="D22" i="1"/>
  <c r="C22" i="1"/>
  <c r="E21" i="1"/>
  <c r="F21" i="1" s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E14" i="1"/>
  <c r="F14" i="1" s="1"/>
  <c r="E13" i="1"/>
  <c r="F13" i="1" s="1"/>
  <c r="D282" i="14"/>
  <c r="D146" i="14"/>
  <c r="D181" i="14"/>
  <c r="F85" i="14"/>
  <c r="F297" i="14"/>
  <c r="D37" i="14"/>
  <c r="D124" i="14"/>
  <c r="D214" i="14"/>
  <c r="D262" i="14"/>
  <c r="E21" i="5"/>
  <c r="C154" i="5"/>
  <c r="C156" i="5"/>
  <c r="C152" i="5"/>
  <c r="C153" i="5"/>
  <c r="C157" i="5"/>
  <c r="C155" i="5"/>
  <c r="C137" i="5"/>
  <c r="C139" i="5"/>
  <c r="C135" i="5"/>
  <c r="C138" i="5"/>
  <c r="C136" i="5"/>
  <c r="C141" i="5" s="1"/>
  <c r="C140" i="5"/>
  <c r="E38" i="1"/>
  <c r="F38" i="1" s="1"/>
  <c r="C41" i="1"/>
  <c r="C65" i="1"/>
  <c r="C75" i="1"/>
  <c r="C19" i="2"/>
  <c r="E31" i="2"/>
  <c r="F31" i="2" s="1"/>
  <c r="E38" i="3"/>
  <c r="F38" i="3" s="1"/>
  <c r="E41" i="3"/>
  <c r="F41" i="3" s="1"/>
  <c r="E42" i="3"/>
  <c r="F42" i="3" s="1"/>
  <c r="E43" i="3"/>
  <c r="F43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D95" i="3"/>
  <c r="E95" i="3" s="1"/>
  <c r="F95" i="3" s="1"/>
  <c r="D176" i="4"/>
  <c r="D149" i="5"/>
  <c r="D207" i="6"/>
  <c r="D19" i="9"/>
  <c r="D15" i="5"/>
  <c r="D25" i="5"/>
  <c r="D27" i="5" s="1"/>
  <c r="E53" i="5"/>
  <c r="E43" i="5"/>
  <c r="D77" i="5"/>
  <c r="D71" i="5" s="1"/>
  <c r="D88" i="5"/>
  <c r="D90" i="5" s="1"/>
  <c r="D86" i="5" s="1"/>
  <c r="G36" i="11"/>
  <c r="G38" i="11" s="1"/>
  <c r="G40" i="11" s="1"/>
  <c r="I33" i="11"/>
  <c r="I36" i="11"/>
  <c r="I38" i="11" s="1"/>
  <c r="I40" i="11" s="1"/>
  <c r="D166" i="5"/>
  <c r="D121" i="7"/>
  <c r="E24" i="5"/>
  <c r="E20" i="5" s="1"/>
  <c r="E17" i="5"/>
  <c r="D25" i="10"/>
  <c r="D27" i="10" s="1"/>
  <c r="D21" i="10" s="1"/>
  <c r="D15" i="10"/>
  <c r="H33" i="11"/>
  <c r="H36" i="11" s="1"/>
  <c r="H38" i="11" s="1"/>
  <c r="H40" i="11" s="1"/>
  <c r="F36" i="11"/>
  <c r="F38" i="11"/>
  <c r="F40" i="11" s="1"/>
  <c r="C52" i="3"/>
  <c r="D83" i="4"/>
  <c r="E49" i="5"/>
  <c r="D208" i="6"/>
  <c r="E208" i="6" s="1"/>
  <c r="F208" i="6" s="1"/>
  <c r="C24" i="5"/>
  <c r="C20" i="5"/>
  <c r="C17" i="5"/>
  <c r="C43" i="5"/>
  <c r="C53" i="5"/>
  <c r="E32" i="14"/>
  <c r="F32" i="14" s="1"/>
  <c r="C49" i="5"/>
  <c r="E57" i="5"/>
  <c r="E62" i="5" s="1"/>
  <c r="C71" i="5"/>
  <c r="E122" i="7"/>
  <c r="F122" i="7" s="1"/>
  <c r="D43" i="8"/>
  <c r="D157" i="15"/>
  <c r="D320" i="15"/>
  <c r="E320" i="15" s="1"/>
  <c r="E316" i="15"/>
  <c r="D330" i="15"/>
  <c r="E330" i="15" s="1"/>
  <c r="E326" i="15"/>
  <c r="D41" i="17"/>
  <c r="E39" i="17"/>
  <c r="D57" i="5"/>
  <c r="D62" i="5"/>
  <c r="D59" i="10"/>
  <c r="D61" i="10"/>
  <c r="D57" i="10" s="1"/>
  <c r="D31" i="11"/>
  <c r="E20" i="14"/>
  <c r="E31" i="14"/>
  <c r="F31" i="14" s="1"/>
  <c r="C48" i="14"/>
  <c r="E52" i="14"/>
  <c r="F52" i="14"/>
  <c r="E60" i="14"/>
  <c r="F60" i="14"/>
  <c r="E66" i="14"/>
  <c r="E76" i="14"/>
  <c r="F76" i="14" s="1"/>
  <c r="E88" i="14"/>
  <c r="F88" i="14" s="1"/>
  <c r="E95" i="14"/>
  <c r="F95" i="14" s="1"/>
  <c r="C102" i="14"/>
  <c r="E109" i="14"/>
  <c r="E120" i="14"/>
  <c r="F120" i="14" s="1"/>
  <c r="F129" i="14"/>
  <c r="F155" i="14"/>
  <c r="E159" i="14"/>
  <c r="F159" i="14" s="1"/>
  <c r="F171" i="14"/>
  <c r="C192" i="14"/>
  <c r="F230" i="14"/>
  <c r="C239" i="14"/>
  <c r="D43" i="15"/>
  <c r="E245" i="15"/>
  <c r="E20" i="17"/>
  <c r="E40" i="17"/>
  <c r="F40" i="17" s="1"/>
  <c r="D281" i="14"/>
  <c r="C146" i="14"/>
  <c r="F144" i="14"/>
  <c r="E280" i="14"/>
  <c r="F280" i="14" s="1"/>
  <c r="D71" i="15"/>
  <c r="D65" i="15"/>
  <c r="D294" i="15" s="1"/>
  <c r="D289" i="15"/>
  <c r="E289" i="15" s="1"/>
  <c r="E60" i="15"/>
  <c r="D144" i="15"/>
  <c r="D175" i="15"/>
  <c r="E175" i="15" s="1"/>
  <c r="E139" i="15"/>
  <c r="F29" i="14"/>
  <c r="C37" i="14"/>
  <c r="F58" i="14"/>
  <c r="F101" i="14"/>
  <c r="F145" i="14"/>
  <c r="F164" i="14"/>
  <c r="F165" i="14"/>
  <c r="F20" i="17"/>
  <c r="C277" i="14"/>
  <c r="C261" i="14"/>
  <c r="C254" i="14"/>
  <c r="E198" i="14"/>
  <c r="F198" i="14"/>
  <c r="C199" i="14"/>
  <c r="E226" i="14"/>
  <c r="F226" i="14" s="1"/>
  <c r="C227" i="14"/>
  <c r="C283" i="15"/>
  <c r="C22" i="15"/>
  <c r="C284" i="15" s="1"/>
  <c r="D33" i="15"/>
  <c r="E32" i="15"/>
  <c r="E220" i="15"/>
  <c r="D244" i="15"/>
  <c r="E244" i="15" s="1"/>
  <c r="C108" i="19"/>
  <c r="C109" i="19"/>
  <c r="D109" i="19"/>
  <c r="D108" i="19"/>
  <c r="D209" i="14"/>
  <c r="D104" i="14"/>
  <c r="D174" i="14"/>
  <c r="D254" i="14"/>
  <c r="E214" i="14"/>
  <c r="F214" i="14" s="1"/>
  <c r="I17" i="11"/>
  <c r="F31" i="11"/>
  <c r="C21" i="14"/>
  <c r="E35" i="14"/>
  <c r="F35" i="14" s="1"/>
  <c r="C61" i="14"/>
  <c r="C77" i="14"/>
  <c r="E77" i="14" s="1"/>
  <c r="C89" i="14"/>
  <c r="C193" i="14"/>
  <c r="C266" i="14" s="1"/>
  <c r="E158" i="14"/>
  <c r="F158" i="14"/>
  <c r="F179" i="14"/>
  <c r="C264" i="14"/>
  <c r="C282" i="14"/>
  <c r="C281" i="14" s="1"/>
  <c r="E281" i="14" s="1"/>
  <c r="F281" i="14" s="1"/>
  <c r="C290" i="14"/>
  <c r="E290" i="14" s="1"/>
  <c r="F290" i="14" s="1"/>
  <c r="F294" i="14"/>
  <c r="F296" i="14"/>
  <c r="F298" i="14"/>
  <c r="F311" i="14"/>
  <c r="C43" i="15"/>
  <c r="D223" i="15"/>
  <c r="C252" i="15"/>
  <c r="C253" i="15"/>
  <c r="D90" i="14"/>
  <c r="D272" i="14"/>
  <c r="C285" i="14"/>
  <c r="E204" i="14"/>
  <c r="F204" i="14" s="1"/>
  <c r="C269" i="14"/>
  <c r="C215" i="14"/>
  <c r="C205" i="14"/>
  <c r="D55" i="15"/>
  <c r="D284" i="15" s="1"/>
  <c r="E284" i="15" s="1"/>
  <c r="E54" i="15"/>
  <c r="C163" i="15"/>
  <c r="E163" i="15" s="1"/>
  <c r="C156" i="15"/>
  <c r="D189" i="15"/>
  <c r="E189" i="15" s="1"/>
  <c r="D261" i="15"/>
  <c r="E188" i="15"/>
  <c r="E205" i="15"/>
  <c r="D210" i="15"/>
  <c r="E216" i="15"/>
  <c r="D240" i="15"/>
  <c r="E240" i="15" s="1"/>
  <c r="D242" i="15"/>
  <c r="E242" i="15" s="1"/>
  <c r="E218" i="15"/>
  <c r="D217" i="15"/>
  <c r="D175" i="14"/>
  <c r="D62" i="14"/>
  <c r="D210" i="14"/>
  <c r="D105" i="14"/>
  <c r="H17" i="11"/>
  <c r="F20" i="14"/>
  <c r="F66" i="14"/>
  <c r="F109" i="14"/>
  <c r="F130" i="14"/>
  <c r="C172" i="14"/>
  <c r="C255" i="14"/>
  <c r="C44" i="15"/>
  <c r="E69" i="15"/>
  <c r="E221" i="15"/>
  <c r="C38" i="16"/>
  <c r="C127" i="16" s="1"/>
  <c r="C129" i="16" s="1"/>
  <c r="C133" i="16" s="1"/>
  <c r="C41" i="17"/>
  <c r="C283" i="14"/>
  <c r="E233" i="15"/>
  <c r="D239" i="15"/>
  <c r="E239" i="15"/>
  <c r="E251" i="15"/>
  <c r="C22" i="16"/>
  <c r="C33" i="19"/>
  <c r="D34" i="19"/>
  <c r="D102" i="19"/>
  <c r="D125" i="14"/>
  <c r="D138" i="14"/>
  <c r="D161" i="14"/>
  <c r="D267" i="14"/>
  <c r="D277" i="14"/>
  <c r="D285" i="14"/>
  <c r="D286" i="14" s="1"/>
  <c r="E314" i="15"/>
  <c r="D22" i="19"/>
  <c r="C54" i="19"/>
  <c r="D160" i="14"/>
  <c r="D196" i="14"/>
  <c r="D206" i="14"/>
  <c r="D266" i="14"/>
  <c r="D274" i="14"/>
  <c r="E274" i="14" s="1"/>
  <c r="F274" i="14" s="1"/>
  <c r="C222" i="15"/>
  <c r="E231" i="15"/>
  <c r="E260" i="15"/>
  <c r="E324" i="15"/>
  <c r="E19" i="17"/>
  <c r="F19" i="17" s="1"/>
  <c r="E43" i="17"/>
  <c r="D23" i="19"/>
  <c r="C111" i="19"/>
  <c r="D49" i="14"/>
  <c r="D91" i="14"/>
  <c r="D195" i="14"/>
  <c r="D199" i="14"/>
  <c r="E199" i="14" s="1"/>
  <c r="F199" i="14" s="1"/>
  <c r="D205" i="14"/>
  <c r="D215" i="14"/>
  <c r="D261" i="14"/>
  <c r="D265" i="14"/>
  <c r="C30" i="19"/>
  <c r="C56" i="19" s="1"/>
  <c r="C36" i="19"/>
  <c r="C40" i="19"/>
  <c r="D190" i="14"/>
  <c r="D140" i="14"/>
  <c r="D139" i="14"/>
  <c r="D126" i="14"/>
  <c r="D127" i="14" s="1"/>
  <c r="D162" i="14"/>
  <c r="C48" i="19"/>
  <c r="C38" i="19"/>
  <c r="C113" i="19"/>
  <c r="D50" i="14"/>
  <c r="D197" i="14"/>
  <c r="D270" i="14"/>
  <c r="C286" i="14"/>
  <c r="E283" i="14"/>
  <c r="F283" i="14" s="1"/>
  <c r="E172" i="14"/>
  <c r="F172" i="14" s="1"/>
  <c r="C173" i="14"/>
  <c r="D63" i="14"/>
  <c r="D234" i="15"/>
  <c r="D211" i="15"/>
  <c r="C174" i="14"/>
  <c r="E61" i="14"/>
  <c r="F61" i="14"/>
  <c r="D66" i="15"/>
  <c r="E102" i="14"/>
  <c r="F102" i="14"/>
  <c r="C103" i="14"/>
  <c r="D24" i="5"/>
  <c r="D17" i="5"/>
  <c r="D138" i="5"/>
  <c r="D140" i="5"/>
  <c r="D136" i="5"/>
  <c r="D135" i="5"/>
  <c r="D139" i="5"/>
  <c r="D137" i="5"/>
  <c r="E205" i="14"/>
  <c r="C254" i="15"/>
  <c r="E174" i="14"/>
  <c r="D300" i="14"/>
  <c r="D253" i="15"/>
  <c r="C216" i="14"/>
  <c r="D246" i="15"/>
  <c r="C158" i="5"/>
  <c r="D241" i="15"/>
  <c r="E264" i="14"/>
  <c r="F264" i="14"/>
  <c r="C300" i="14"/>
  <c r="E254" i="14"/>
  <c r="C287" i="14"/>
  <c r="C284" i="14"/>
  <c r="E43" i="15"/>
  <c r="D44" i="15"/>
  <c r="C90" i="14"/>
  <c r="E90" i="14" s="1"/>
  <c r="F90" i="14" s="1"/>
  <c r="E48" i="14"/>
  <c r="C160" i="14"/>
  <c r="E160" i="14" s="1"/>
  <c r="F160" i="14" s="1"/>
  <c r="F48" i="14"/>
  <c r="E28" i="5"/>
  <c r="E112" i="5"/>
  <c r="E111" i="5" s="1"/>
  <c r="D155" i="5"/>
  <c r="D157" i="5"/>
  <c r="D153" i="5"/>
  <c r="D156" i="5"/>
  <c r="D154" i="5"/>
  <c r="D152" i="5"/>
  <c r="D20" i="5"/>
  <c r="D21" i="5"/>
  <c r="C33" i="2"/>
  <c r="E41" i="1"/>
  <c r="F41" i="1" s="1"/>
  <c r="F205" i="14"/>
  <c r="E222" i="15"/>
  <c r="C62" i="14"/>
  <c r="E62" i="14" s="1"/>
  <c r="F62" i="14" s="1"/>
  <c r="D255" i="14"/>
  <c r="E255" i="14" s="1"/>
  <c r="F255" i="14" s="1"/>
  <c r="E215" i="14"/>
  <c r="F215" i="14" s="1"/>
  <c r="D92" i="14"/>
  <c r="F43" i="17"/>
  <c r="D53" i="19"/>
  <c r="D45" i="19"/>
  <c r="D39" i="19"/>
  <c r="D35" i="19"/>
  <c r="D29" i="19"/>
  <c r="D110" i="19"/>
  <c r="D287" i="14"/>
  <c r="D279" i="14"/>
  <c r="D284" i="14"/>
  <c r="E284" i="14" s="1"/>
  <c r="F284" i="14" s="1"/>
  <c r="E277" i="14"/>
  <c r="F277" i="14" s="1"/>
  <c r="D211" i="14"/>
  <c r="D268" i="14"/>
  <c r="D271" i="14"/>
  <c r="D263" i="14"/>
  <c r="E261" i="14"/>
  <c r="D46" i="19"/>
  <c r="D40" i="19"/>
  <c r="D36" i="19"/>
  <c r="D30" i="19"/>
  <c r="D111" i="19"/>
  <c r="D54" i="19"/>
  <c r="C258" i="15"/>
  <c r="C98" i="15"/>
  <c r="C87" i="15"/>
  <c r="C83" i="15"/>
  <c r="C100" i="15"/>
  <c r="C96" i="15"/>
  <c r="C89" i="15"/>
  <c r="C85" i="15"/>
  <c r="C101" i="15"/>
  <c r="C99" i="15"/>
  <c r="C88" i="15"/>
  <c r="C97" i="15"/>
  <c r="C86" i="15"/>
  <c r="C95" i="15"/>
  <c r="C84" i="15"/>
  <c r="C90" i="15" s="1"/>
  <c r="D106" i="14"/>
  <c r="D176" i="14"/>
  <c r="E89" i="14"/>
  <c r="F89" i="14" s="1"/>
  <c r="C49" i="14"/>
  <c r="E49" i="14" s="1"/>
  <c r="F49" i="14" s="1"/>
  <c r="E21" i="14"/>
  <c r="F21" i="14" s="1"/>
  <c r="C161" i="14"/>
  <c r="C91" i="14"/>
  <c r="D295" i="15"/>
  <c r="E33" i="15"/>
  <c r="F261" i="14"/>
  <c r="F37" i="14"/>
  <c r="E37" i="14"/>
  <c r="E239" i="14"/>
  <c r="F239" i="14" s="1"/>
  <c r="E41" i="17"/>
  <c r="F41" i="17" s="1"/>
  <c r="F39" i="17"/>
  <c r="C28" i="5"/>
  <c r="C112" i="5"/>
  <c r="C111" i="5" s="1"/>
  <c r="E285" i="14"/>
  <c r="F285" i="14"/>
  <c r="E22" i="15"/>
  <c r="C223" i="15"/>
  <c r="E223" i="15" s="1"/>
  <c r="C43" i="1"/>
  <c r="D141" i="14"/>
  <c r="C157" i="15"/>
  <c r="E157" i="15" s="1"/>
  <c r="F269" i="14"/>
  <c r="E269" i="14"/>
  <c r="D247" i="15"/>
  <c r="C194" i="14"/>
  <c r="E193" i="14"/>
  <c r="F193" i="14"/>
  <c r="E227" i="14"/>
  <c r="F227" i="14"/>
  <c r="F254" i="14"/>
  <c r="D168" i="15"/>
  <c r="D145" i="15"/>
  <c r="D180" i="15"/>
  <c r="E146" i="14"/>
  <c r="F146" i="14" s="1"/>
  <c r="E192" i="14"/>
  <c r="F192" i="14" s="1"/>
  <c r="D24" i="10"/>
  <c r="D17" i="10"/>
  <c r="D28" i="10" s="1"/>
  <c r="E19" i="9"/>
  <c r="F19" i="9" s="1"/>
  <c r="D33" i="9"/>
  <c r="D216" i="14"/>
  <c r="E216" i="14" s="1"/>
  <c r="F216" i="14" s="1"/>
  <c r="D288" i="14"/>
  <c r="E282" i="14"/>
  <c r="F282" i="14"/>
  <c r="D76" i="15"/>
  <c r="E156" i="15"/>
  <c r="D77" i="15"/>
  <c r="C99" i="5"/>
  <c r="C101" i="5" s="1"/>
  <c r="C98" i="5" s="1"/>
  <c r="C22" i="5"/>
  <c r="D291" i="14"/>
  <c r="D289" i="14"/>
  <c r="E287" i="14"/>
  <c r="D99" i="15"/>
  <c r="E99" i="15" s="1"/>
  <c r="D95" i="15"/>
  <c r="D88" i="15"/>
  <c r="E88" i="15" s="1"/>
  <c r="D84" i="15"/>
  <c r="E44" i="15"/>
  <c r="D258" i="15"/>
  <c r="D101" i="15"/>
  <c r="E101" i="15" s="1"/>
  <c r="D97" i="15"/>
  <c r="E97" i="15" s="1"/>
  <c r="D86" i="15"/>
  <c r="E86" i="15" s="1"/>
  <c r="D98" i="15"/>
  <c r="E98" i="15" s="1"/>
  <c r="D87" i="15"/>
  <c r="E87" i="15" s="1"/>
  <c r="D96" i="15"/>
  <c r="D85" i="15"/>
  <c r="E85" i="15"/>
  <c r="D83" i="15"/>
  <c r="D100" i="15"/>
  <c r="E100" i="15" s="1"/>
  <c r="D89" i="15"/>
  <c r="E89" i="15" s="1"/>
  <c r="D235" i="15"/>
  <c r="D70" i="14"/>
  <c r="E194" i="14"/>
  <c r="F194" i="14" s="1"/>
  <c r="D322" i="14"/>
  <c r="C162" i="14"/>
  <c r="D113" i="19"/>
  <c r="D56" i="19"/>
  <c r="D48" i="19"/>
  <c r="D38" i="19"/>
  <c r="D112" i="5"/>
  <c r="D111" i="5"/>
  <c r="D28" i="5"/>
  <c r="C196" i="14"/>
  <c r="C102" i="15"/>
  <c r="C103" i="15" s="1"/>
  <c r="C195" i="14"/>
  <c r="D141" i="5"/>
  <c r="F174" i="14"/>
  <c r="D47" i="19"/>
  <c r="D37" i="19"/>
  <c r="D112" i="19"/>
  <c r="D55" i="19"/>
  <c r="D324" i="14"/>
  <c r="D113" i="14"/>
  <c r="C63" i="14"/>
  <c r="C41" i="2"/>
  <c r="F287" i="14"/>
  <c r="E253" i="15"/>
  <c r="D183" i="14"/>
  <c r="D323" i="14"/>
  <c r="E162" i="14"/>
  <c r="D158" i="5"/>
  <c r="D259" i="15"/>
  <c r="D181" i="15"/>
  <c r="D169" i="15"/>
  <c r="C92" i="14"/>
  <c r="E92" i="14" s="1"/>
  <c r="F92" i="14" s="1"/>
  <c r="E33" i="9"/>
  <c r="F33" i="9" s="1"/>
  <c r="D41" i="9"/>
  <c r="C50" i="14"/>
  <c r="E50" i="14" s="1"/>
  <c r="F50" i="14" s="1"/>
  <c r="D304" i="14"/>
  <c r="D273" i="14"/>
  <c r="E99" i="5"/>
  <c r="E101" i="5" s="1"/>
  <c r="E98" i="5" s="1"/>
  <c r="E22" i="5"/>
  <c r="E103" i="14"/>
  <c r="F103" i="14" s="1"/>
  <c r="C105" i="14"/>
  <c r="E173" i="14"/>
  <c r="F173" i="14" s="1"/>
  <c r="C175" i="14"/>
  <c r="E91" i="14"/>
  <c r="F91" i="14"/>
  <c r="C104" i="14"/>
  <c r="E161" i="14"/>
  <c r="F161" i="14"/>
  <c r="D325" i="14"/>
  <c r="F195" i="14"/>
  <c r="E195" i="14"/>
  <c r="E196" i="14"/>
  <c r="F196" i="14" s="1"/>
  <c r="F162" i="14"/>
  <c r="E83" i="15"/>
  <c r="E258" i="15"/>
  <c r="E95" i="15"/>
  <c r="D305" i="14"/>
  <c r="D126" i="15"/>
  <c r="D122" i="15"/>
  <c r="D115" i="15"/>
  <c r="D111" i="15"/>
  <c r="D124" i="15"/>
  <c r="D113" i="15"/>
  <c r="D109" i="15"/>
  <c r="D121" i="15"/>
  <c r="D110" i="15"/>
  <c r="D127" i="15"/>
  <c r="D125" i="15"/>
  <c r="D114" i="15"/>
  <c r="D123" i="15"/>
  <c r="D112" i="15"/>
  <c r="E41" i="9"/>
  <c r="F41" i="9" s="1"/>
  <c r="D48" i="9"/>
  <c r="E48" i="9" s="1"/>
  <c r="F48" i="9" s="1"/>
  <c r="C176" i="14"/>
  <c r="E175" i="14"/>
  <c r="F175" i="14" s="1"/>
  <c r="C48" i="2"/>
  <c r="D99" i="5"/>
  <c r="D101" i="5" s="1"/>
  <c r="D98" i="5" s="1"/>
  <c r="D22" i="5"/>
  <c r="E96" i="15"/>
  <c r="D102" i="15"/>
  <c r="E102" i="15"/>
  <c r="D90" i="15"/>
  <c r="E84" i="15"/>
  <c r="E63" i="14"/>
  <c r="F63" i="14" s="1"/>
  <c r="E104" i="14"/>
  <c r="F104" i="14" s="1"/>
  <c r="C106" i="14"/>
  <c r="E105" i="14"/>
  <c r="F105" i="14" s="1"/>
  <c r="C70" i="14"/>
  <c r="E70" i="14" s="1"/>
  <c r="F70" i="14" s="1"/>
  <c r="D263" i="15"/>
  <c r="E304" i="14"/>
  <c r="F304" i="14"/>
  <c r="E106" i="14"/>
  <c r="F106" i="14" s="1"/>
  <c r="D116" i="15"/>
  <c r="D309" i="14"/>
  <c r="D128" i="15"/>
  <c r="C324" i="14"/>
  <c r="E176" i="14"/>
  <c r="F176" i="14" s="1"/>
  <c r="D103" i="15"/>
  <c r="E103" i="15" s="1"/>
  <c r="D91" i="15"/>
  <c r="C323" i="14"/>
  <c r="C113" i="14"/>
  <c r="D264" i="15"/>
  <c r="C183" i="14"/>
  <c r="D266" i="15"/>
  <c r="D267" i="15" s="1"/>
  <c r="E183" i="14"/>
  <c r="D105" i="15"/>
  <c r="E324" i="14"/>
  <c r="F324" i="14"/>
  <c r="D310" i="14"/>
  <c r="D129" i="15"/>
  <c r="E113" i="14"/>
  <c r="F113" i="14" s="1"/>
  <c r="E323" i="14"/>
  <c r="F323" i="14" s="1"/>
  <c r="D117" i="15"/>
  <c r="D312" i="14"/>
  <c r="D131" i="15"/>
  <c r="D20" i="10" l="1"/>
  <c r="E39" i="2"/>
  <c r="E46" i="2"/>
  <c r="F46" i="2" s="1"/>
  <c r="E25" i="3"/>
  <c r="F183" i="14"/>
  <c r="E300" i="14"/>
  <c r="F300" i="14" s="1"/>
  <c r="E286" i="14"/>
  <c r="F286" i="14" s="1"/>
  <c r="E22" i="1"/>
  <c r="F22" i="1" s="1"/>
  <c r="E29" i="1"/>
  <c r="F29" i="1" s="1"/>
  <c r="D19" i="2"/>
  <c r="E78" i="4"/>
  <c r="E149" i="5"/>
  <c r="E114" i="7"/>
  <c r="F114" i="7" s="1"/>
  <c r="E73" i="8"/>
  <c r="F73" i="8" s="1"/>
  <c r="F81" i="3"/>
  <c r="E84" i="3"/>
  <c r="E88" i="3"/>
  <c r="F88" i="3" s="1"/>
  <c r="E92" i="3"/>
  <c r="F92" i="3" s="1"/>
  <c r="E124" i="3"/>
  <c r="F124" i="3" s="1"/>
  <c r="E179" i="3"/>
  <c r="F179" i="3" s="1"/>
  <c r="E35" i="4"/>
  <c r="F35" i="4" s="1"/>
  <c r="E155" i="4"/>
  <c r="D109" i="5"/>
  <c r="D106" i="5" s="1"/>
  <c r="E109" i="5"/>
  <c r="E106" i="5" s="1"/>
  <c r="E166" i="5"/>
  <c r="E50" i="6"/>
  <c r="F50" i="6" s="1"/>
  <c r="E76" i="6"/>
  <c r="F76" i="6" s="1"/>
  <c r="E128" i="6"/>
  <c r="F128" i="6" s="1"/>
  <c r="E198" i="6"/>
  <c r="F198" i="6" s="1"/>
  <c r="E201" i="6"/>
  <c r="F201" i="6" s="1"/>
  <c r="E205" i="6"/>
  <c r="F205" i="6" s="1"/>
  <c r="E59" i="7"/>
  <c r="F59" i="7" s="1"/>
  <c r="E107" i="7"/>
  <c r="F107" i="7" s="1"/>
  <c r="E113" i="7"/>
  <c r="F113" i="7" s="1"/>
  <c r="E116" i="7"/>
  <c r="F116" i="7" s="1"/>
  <c r="E120" i="7"/>
  <c r="F120" i="7" s="1"/>
  <c r="E46" i="9"/>
  <c r="F46" i="9" s="1"/>
  <c r="C15" i="10"/>
  <c r="E42" i="10"/>
  <c r="E65" i="12"/>
  <c r="F65" i="12" s="1"/>
  <c r="E70" i="12"/>
  <c r="F70" i="12" s="1"/>
  <c r="C278" i="14"/>
  <c r="E162" i="15"/>
  <c r="E166" i="15"/>
  <c r="C217" i="15"/>
  <c r="E217" i="15" s="1"/>
  <c r="E279" i="15"/>
  <c r="E293" i="15"/>
  <c r="C303" i="15"/>
  <c r="C306" i="15" s="1"/>
  <c r="C310" i="15" s="1"/>
  <c r="E44" i="17"/>
  <c r="E45" i="17"/>
  <c r="F45" i="17" s="1"/>
  <c r="E19" i="18"/>
  <c r="F19" i="18" s="1"/>
  <c r="E21" i="18"/>
  <c r="F21" i="18" s="1"/>
  <c r="E77" i="19"/>
  <c r="D101" i="19"/>
  <c r="D103" i="19" s="1"/>
  <c r="D68" i="14"/>
  <c r="E68" i="14" s="1"/>
  <c r="F68" i="14" s="1"/>
  <c r="D111" i="14"/>
  <c r="E111" i="14" s="1"/>
  <c r="F111" i="14" s="1"/>
  <c r="D42" i="10"/>
  <c r="E50" i="10"/>
  <c r="E59" i="10"/>
  <c r="E61" i="10" s="1"/>
  <c r="E57" i="10" s="1"/>
  <c r="E33" i="11"/>
  <c r="E36" i="11" s="1"/>
  <c r="E38" i="11" s="1"/>
  <c r="E50" i="12"/>
  <c r="F50" i="12" s="1"/>
  <c r="E55" i="12"/>
  <c r="F55" i="12" s="1"/>
  <c r="E84" i="12"/>
  <c r="F84" i="12" s="1"/>
  <c r="E92" i="12"/>
  <c r="F92" i="12" s="1"/>
  <c r="E99" i="12"/>
  <c r="F99" i="12" s="1"/>
  <c r="E14" i="13"/>
  <c r="F14" i="13" s="1"/>
  <c r="E19" i="13"/>
  <c r="F19" i="13" s="1"/>
  <c r="E23" i="13"/>
  <c r="F23" i="13" s="1"/>
  <c r="F23" i="14"/>
  <c r="F53" i="14"/>
  <c r="F136" i="14"/>
  <c r="C137" i="14"/>
  <c r="C181" i="14"/>
  <c r="E189" i="14"/>
  <c r="F189" i="14" s="1"/>
  <c r="E191" i="14"/>
  <c r="F191" i="14" s="1"/>
  <c r="C267" i="14"/>
  <c r="C306" i="14"/>
  <c r="E306" i="14" s="1"/>
  <c r="C262" i="14"/>
  <c r="F307" i="14"/>
  <c r="E72" i="15"/>
  <c r="E74" i="15"/>
  <c r="E16" i="17"/>
  <c r="F16" i="17" s="1"/>
  <c r="E102" i="19"/>
  <c r="E103" i="19" s="1"/>
  <c r="D70" i="10"/>
  <c r="D72" i="10" s="1"/>
  <c r="D69" i="10" s="1"/>
  <c r="D22" i="10"/>
  <c r="C265" i="14"/>
  <c r="E266" i="14"/>
  <c r="F266" i="14" s="1"/>
  <c r="D268" i="15"/>
  <c r="D269" i="15"/>
  <c r="E90" i="15"/>
  <c r="C91" i="15"/>
  <c r="C105" i="15" s="1"/>
  <c r="E105" i="15" s="1"/>
  <c r="D148" i="14"/>
  <c r="D313" i="14"/>
  <c r="E55" i="15"/>
  <c r="F78" i="4"/>
  <c r="F84" i="3"/>
  <c r="D43" i="1"/>
  <c r="E43" i="1" s="1"/>
  <c r="F43" i="1" s="1"/>
  <c r="F56" i="1"/>
  <c r="D65" i="1"/>
  <c r="F39" i="2"/>
  <c r="F25" i="3"/>
  <c r="C83" i="4"/>
  <c r="F109" i="4"/>
  <c r="E118" i="4"/>
  <c r="F41" i="8"/>
  <c r="C43" i="8"/>
  <c r="F61" i="8"/>
  <c r="F118" i="4"/>
  <c r="F155" i="4"/>
  <c r="C176" i="4"/>
  <c r="E136" i="5"/>
  <c r="D43" i="5"/>
  <c r="E77" i="5"/>
  <c r="E71" i="5" s="1"/>
  <c r="C88" i="5"/>
  <c r="C90" i="5" s="1"/>
  <c r="C86" i="5" s="1"/>
  <c r="E112" i="7"/>
  <c r="F112" i="7" s="1"/>
  <c r="D65" i="8"/>
  <c r="C31" i="11"/>
  <c r="H31" i="11" s="1"/>
  <c r="D49" i="5"/>
  <c r="C207" i="6"/>
  <c r="E207" i="6" s="1"/>
  <c r="C121" i="7"/>
  <c r="C65" i="8"/>
  <c r="E15" i="10"/>
  <c r="C48" i="10"/>
  <c r="C42" i="10" s="1"/>
  <c r="F17" i="14"/>
  <c r="E36" i="14"/>
  <c r="F36" i="14" s="1"/>
  <c r="E44" i="14"/>
  <c r="F44" i="14" s="1"/>
  <c r="E67" i="14"/>
  <c r="F67" i="14" s="1"/>
  <c r="F94" i="14"/>
  <c r="F110" i="14"/>
  <c r="F123" i="14"/>
  <c r="C124" i="14"/>
  <c r="F135" i="14"/>
  <c r="C200" i="14"/>
  <c r="C206" i="14"/>
  <c r="E229" i="14"/>
  <c r="F229" i="14" s="1"/>
  <c r="F295" i="14"/>
  <c r="D283" i="15"/>
  <c r="E283" i="15" s="1"/>
  <c r="E21" i="15"/>
  <c r="C65" i="15"/>
  <c r="C71" i="15"/>
  <c r="C76" i="15" s="1"/>
  <c r="C144" i="15"/>
  <c r="E161" i="15"/>
  <c r="E229" i="15"/>
  <c r="C241" i="15"/>
  <c r="E241" i="15" s="1"/>
  <c r="E188" i="14"/>
  <c r="F188" i="14" s="1"/>
  <c r="C190" i="14"/>
  <c r="E195" i="15"/>
  <c r="C210" i="15"/>
  <c r="E215" i="15"/>
  <c r="C261" i="15"/>
  <c r="E261" i="15" s="1"/>
  <c r="C64" i="16"/>
  <c r="C65" i="16" s="1"/>
  <c r="C114" i="16" s="1"/>
  <c r="C116" i="16" s="1"/>
  <c r="C119" i="16" s="1"/>
  <c r="C123" i="16" s="1"/>
  <c r="C34" i="19"/>
  <c r="D243" i="15"/>
  <c r="D302" i="15"/>
  <c r="E36" i="17"/>
  <c r="F36" i="17" s="1"/>
  <c r="C22" i="19"/>
  <c r="E33" i="19"/>
  <c r="E22" i="19"/>
  <c r="E23" i="19"/>
  <c r="C101" i="19"/>
  <c r="C103" i="19" s="1"/>
  <c r="C263" i="14" l="1"/>
  <c r="E263" i="14" s="1"/>
  <c r="F263" i="14" s="1"/>
  <c r="C268" i="14"/>
  <c r="E268" i="14" s="1"/>
  <c r="F268" i="14" s="1"/>
  <c r="E267" i="14"/>
  <c r="F267" i="14" s="1"/>
  <c r="C271" i="14"/>
  <c r="C270" i="14"/>
  <c r="E137" i="14"/>
  <c r="C207" i="14"/>
  <c r="F137" i="14"/>
  <c r="C138" i="14"/>
  <c r="E278" i="14"/>
  <c r="F278" i="14" s="1"/>
  <c r="C288" i="14"/>
  <c r="C279" i="14"/>
  <c r="E279" i="14" s="1"/>
  <c r="F279" i="14" s="1"/>
  <c r="E156" i="5"/>
  <c r="E154" i="5"/>
  <c r="E153" i="5"/>
  <c r="E152" i="5"/>
  <c r="E155" i="5"/>
  <c r="E157" i="5"/>
  <c r="E139" i="5"/>
  <c r="E137" i="5"/>
  <c r="E135" i="5"/>
  <c r="E141" i="5" s="1"/>
  <c r="E138" i="5"/>
  <c r="D33" i="2"/>
  <c r="E19" i="2"/>
  <c r="F19" i="2" s="1"/>
  <c r="E262" i="14"/>
  <c r="F262" i="14" s="1"/>
  <c r="E140" i="5"/>
  <c r="E181" i="14"/>
  <c r="F181" i="14" s="1"/>
  <c r="E109" i="19"/>
  <c r="E108" i="19"/>
  <c r="F44" i="17"/>
  <c r="E46" i="17"/>
  <c r="F46" i="17" s="1"/>
  <c r="C24" i="10"/>
  <c r="C20" i="10" s="1"/>
  <c r="C17" i="10"/>
  <c r="C28" i="10" s="1"/>
  <c r="C272" i="14"/>
  <c r="E54" i="19"/>
  <c r="E36" i="19"/>
  <c r="E46" i="19"/>
  <c r="E111" i="19"/>
  <c r="E30" i="19"/>
  <c r="E40" i="19"/>
  <c r="E243" i="15"/>
  <c r="D252" i="15"/>
  <c r="E53" i="19"/>
  <c r="E110" i="19"/>
  <c r="E35" i="19"/>
  <c r="E45" i="19"/>
  <c r="E29" i="19"/>
  <c r="E39" i="19"/>
  <c r="C45" i="19"/>
  <c r="C35" i="19"/>
  <c r="C110" i="19"/>
  <c r="C39" i="19"/>
  <c r="C29" i="19"/>
  <c r="C53" i="19"/>
  <c r="E302" i="15"/>
  <c r="D303" i="15"/>
  <c r="C211" i="15"/>
  <c r="E210" i="15"/>
  <c r="C234" i="15"/>
  <c r="E234" i="15" s="1"/>
  <c r="C145" i="15"/>
  <c r="C180" i="15"/>
  <c r="E180" i="15" s="1"/>
  <c r="E144" i="15"/>
  <c r="C168" i="15"/>
  <c r="E168" i="15" s="1"/>
  <c r="C66" i="15"/>
  <c r="C294" i="15"/>
  <c r="E294" i="15" s="1"/>
  <c r="C246" i="15"/>
  <c r="E246" i="15" s="1"/>
  <c r="E65" i="15"/>
  <c r="E200" i="14"/>
  <c r="F200" i="14"/>
  <c r="E24" i="10"/>
  <c r="E20" i="10" s="1"/>
  <c r="E17" i="10"/>
  <c r="E28" i="10" s="1"/>
  <c r="E121" i="7"/>
  <c r="F121" i="7"/>
  <c r="E83" i="4"/>
  <c r="F83" i="4" s="1"/>
  <c r="E65" i="1"/>
  <c r="F65" i="1" s="1"/>
  <c r="D75" i="1"/>
  <c r="E75" i="1" s="1"/>
  <c r="F75" i="1" s="1"/>
  <c r="E265" i="14"/>
  <c r="F265" i="14" s="1"/>
  <c r="E91" i="15"/>
  <c r="E190" i="14"/>
  <c r="F190" i="14" s="1"/>
  <c r="C77" i="15"/>
  <c r="C259" i="15"/>
  <c r="E76" i="15"/>
  <c r="E124" i="14"/>
  <c r="F124" i="14" s="1"/>
  <c r="C125" i="14"/>
  <c r="C126" i="14"/>
  <c r="C75" i="8"/>
  <c r="F207" i="6"/>
  <c r="D75" i="8"/>
  <c r="E75" i="8" s="1"/>
  <c r="E65" i="8"/>
  <c r="F65" i="8" s="1"/>
  <c r="I31" i="11"/>
  <c r="E43" i="8"/>
  <c r="F43" i="8"/>
  <c r="E71" i="15"/>
  <c r="E176" i="4"/>
  <c r="F176" i="4" s="1"/>
  <c r="D314" i="14"/>
  <c r="D251" i="14"/>
  <c r="D315" i="14"/>
  <c r="D256" i="14"/>
  <c r="D271" i="15"/>
  <c r="E206" i="14"/>
  <c r="F206" i="14" s="1"/>
  <c r="C70" i="10" l="1"/>
  <c r="C72" i="10" s="1"/>
  <c r="C69" i="10" s="1"/>
  <c r="C22" i="10"/>
  <c r="E158" i="5"/>
  <c r="E271" i="14"/>
  <c r="F271" i="14" s="1"/>
  <c r="C273" i="14"/>
  <c r="E272" i="14"/>
  <c r="F272" i="14" s="1"/>
  <c r="D41" i="2"/>
  <c r="E33" i="2"/>
  <c r="F33" i="2" s="1"/>
  <c r="C289" i="14"/>
  <c r="E289" i="14" s="1"/>
  <c r="F289" i="14" s="1"/>
  <c r="C291" i="14"/>
  <c r="F288" i="14"/>
  <c r="E288" i="14"/>
  <c r="C139" i="14"/>
  <c r="C140" i="14"/>
  <c r="E138" i="14"/>
  <c r="F138" i="14" s="1"/>
  <c r="C208" i="14"/>
  <c r="E207" i="14"/>
  <c r="F207" i="14" s="1"/>
  <c r="F270" i="14"/>
  <c r="E270" i="14"/>
  <c r="C127" i="14"/>
  <c r="E126" i="14"/>
  <c r="F126" i="14" s="1"/>
  <c r="C263" i="15"/>
  <c r="E259" i="15"/>
  <c r="E66" i="15"/>
  <c r="C247" i="15"/>
  <c r="E247" i="15" s="1"/>
  <c r="C295" i="15"/>
  <c r="E295" i="15" s="1"/>
  <c r="C181" i="15"/>
  <c r="E181" i="15" s="1"/>
  <c r="E145" i="15"/>
  <c r="C169" i="15"/>
  <c r="E169" i="15" s="1"/>
  <c r="D306" i="15"/>
  <c r="E303" i="15"/>
  <c r="E252" i="15"/>
  <c r="D254" i="15"/>
  <c r="E254" i="15" s="1"/>
  <c r="D257" i="14"/>
  <c r="D318" i="14"/>
  <c r="F75" i="8"/>
  <c r="E125" i="14"/>
  <c r="F125" i="14"/>
  <c r="C125" i="15"/>
  <c r="E125" i="15" s="1"/>
  <c r="C114" i="15"/>
  <c r="E114" i="15" s="1"/>
  <c r="C123" i="15"/>
  <c r="E123" i="15" s="1"/>
  <c r="C124" i="15"/>
  <c r="E124" i="15" s="1"/>
  <c r="C122" i="15"/>
  <c r="C111" i="15"/>
  <c r="E111" i="15" s="1"/>
  <c r="C115" i="15"/>
  <c r="E115" i="15" s="1"/>
  <c r="C121" i="15"/>
  <c r="C110" i="15"/>
  <c r="C127" i="15"/>
  <c r="E127" i="15" s="1"/>
  <c r="C112" i="15"/>
  <c r="E112" i="15" s="1"/>
  <c r="C113" i="15"/>
  <c r="E113" i="15" s="1"/>
  <c r="C109" i="15"/>
  <c r="C126" i="15"/>
  <c r="E126" i="15" s="1"/>
  <c r="E77" i="15"/>
  <c r="E22" i="10"/>
  <c r="E70" i="10"/>
  <c r="E72" i="10" s="1"/>
  <c r="E69" i="10" s="1"/>
  <c r="C235" i="15"/>
  <c r="E235" i="15" s="1"/>
  <c r="E211" i="15"/>
  <c r="C112" i="19"/>
  <c r="C47" i="19"/>
  <c r="C55" i="19"/>
  <c r="C37" i="19"/>
  <c r="E47" i="19"/>
  <c r="E112" i="19"/>
  <c r="E37" i="19"/>
  <c r="E55" i="19"/>
  <c r="E48" i="19"/>
  <c r="E113" i="19"/>
  <c r="E38" i="19"/>
  <c r="E56" i="19"/>
  <c r="C210" i="14" l="1"/>
  <c r="E208" i="14"/>
  <c r="F208" i="14" s="1"/>
  <c r="C209" i="14"/>
  <c r="E209" i="14" s="1"/>
  <c r="F209" i="14" s="1"/>
  <c r="C141" i="14"/>
  <c r="E140" i="14"/>
  <c r="F140" i="14" s="1"/>
  <c r="F139" i="14"/>
  <c r="E139" i="14"/>
  <c r="D48" i="2"/>
  <c r="E48" i="2" s="1"/>
  <c r="F48" i="2" s="1"/>
  <c r="E41" i="2"/>
  <c r="F41" i="2" s="1"/>
  <c r="F291" i="14"/>
  <c r="E291" i="14"/>
  <c r="C305" i="14"/>
  <c r="E273" i="14"/>
  <c r="F273" i="14"/>
  <c r="E109" i="15"/>
  <c r="C116" i="15"/>
  <c r="E116" i="15" s="1"/>
  <c r="E110" i="15"/>
  <c r="C128" i="15"/>
  <c r="E128" i="15" s="1"/>
  <c r="E122" i="15"/>
  <c r="D310" i="15"/>
  <c r="E310" i="15" s="1"/>
  <c r="E306" i="15"/>
  <c r="C264" i="15"/>
  <c r="E263" i="15"/>
  <c r="C129" i="15"/>
  <c r="E129" i="15" s="1"/>
  <c r="E121" i="15"/>
  <c r="C197" i="14"/>
  <c r="C148" i="14"/>
  <c r="E127" i="14"/>
  <c r="F127" i="14" s="1"/>
  <c r="C309" i="14" l="1"/>
  <c r="E305" i="14"/>
  <c r="F305" i="14"/>
  <c r="C211" i="14"/>
  <c r="E211" i="14" s="1"/>
  <c r="F211" i="14" s="1"/>
  <c r="E141" i="14"/>
  <c r="F141" i="14" s="1"/>
  <c r="C322" i="14"/>
  <c r="F210" i="14"/>
  <c r="E210" i="14"/>
  <c r="E197" i="14"/>
  <c r="F197" i="14" s="1"/>
  <c r="C266" i="15"/>
  <c r="E264" i="15"/>
  <c r="E148" i="14"/>
  <c r="F148" i="14" s="1"/>
  <c r="C117" i="15"/>
  <c r="E309" i="14" l="1"/>
  <c r="F309" i="14" s="1"/>
  <c r="C310" i="14"/>
  <c r="E322" i="14"/>
  <c r="F322" i="14" s="1"/>
  <c r="C325" i="14"/>
  <c r="E325" i="14" s="1"/>
  <c r="F325" i="14" s="1"/>
  <c r="C267" i="15"/>
  <c r="E266" i="15"/>
  <c r="E117" i="15"/>
  <c r="C131" i="15"/>
  <c r="E131" i="15" s="1"/>
  <c r="E310" i="14" l="1"/>
  <c r="F310" i="14" s="1"/>
  <c r="C312" i="14"/>
  <c r="C269" i="15"/>
  <c r="E269" i="15" s="1"/>
  <c r="C268" i="15"/>
  <c r="E267" i="15"/>
  <c r="E312" i="14" l="1"/>
  <c r="F312" i="14" s="1"/>
  <c r="C313" i="14"/>
  <c r="C271" i="15"/>
  <c r="E271" i="15" s="1"/>
  <c r="E268" i="15"/>
  <c r="E313" i="14" l="1"/>
  <c r="F313" i="14" s="1"/>
  <c r="C256" i="14"/>
  <c r="C251" i="14"/>
  <c r="C314" i="14"/>
  <c r="C315" i="14"/>
  <c r="E314" i="14" l="1"/>
  <c r="C318" i="14"/>
  <c r="F314" i="14"/>
  <c r="C257" i="14"/>
  <c r="E256" i="14"/>
  <c r="F256" i="14" s="1"/>
  <c r="E315" i="14"/>
  <c r="F315" i="14"/>
  <c r="E251" i="14"/>
  <c r="F251" i="14"/>
  <c r="E257" i="14" l="1"/>
  <c r="F257" i="14" s="1"/>
  <c r="E318" i="14"/>
  <c r="F318" i="14" s="1"/>
</calcChain>
</file>

<file path=xl/sharedStrings.xml><?xml version="1.0" encoding="utf-8"?>
<sst xmlns="http://schemas.openxmlformats.org/spreadsheetml/2006/main" count="2309" uniqueCount="986">
  <si>
    <t>GREENWICH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</si>
  <si>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</si>
  <si>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</si>
  <si>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</si>
  <si>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</si>
  <si>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</si>
  <si>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</si>
  <si>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</si>
  <si>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</si>
  <si>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</si>
  <si>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</si>
  <si>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</si>
  <si>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</si>
  <si>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</si>
  <si>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</si>
  <si>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</si>
  <si>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</si>
  <si>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</si>
  <si>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</si>
  <si>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</si>
  <si>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</si>
  <si>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</si>
  <si>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</si>
  <si>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</si>
  <si>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</si>
  <si>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</si>
  <si>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</si>
  <si>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</si>
  <si>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</si>
  <si>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</si>
  <si>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</si>
  <si>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</si>
  <si>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</si>
  <si>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</si>
  <si>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</si>
  <si>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</si>
  <si>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</si>
  <si>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</si>
  <si>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</si>
  <si>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</si>
  <si>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</si>
  <si>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</si>
  <si>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</si>
  <si>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</si>
  <si>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</si>
  <si>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</si>
  <si>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</si>
  <si>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</si>
  <si>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</si>
  <si>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</si>
  <si>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</si>
  <si>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</si>
  <si>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</si>
  <si>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</si>
  <si>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</si>
  <si>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</si>
  <si>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</si>
  <si>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</si>
  <si>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</si>
  <si>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</si>
  <si>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</si>
  <si>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</si>
  <si>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</si>
  <si>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</si>
  <si>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</si>
  <si>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</si>
  <si>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</si>
  <si>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</si>
  <si>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</si>
  <si>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</si>
  <si>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</si>
  <si>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</si>
  <si>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</si>
  <si>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</si>
  <si>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</si>
  <si>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</si>
  <si>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</si>
  <si>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</si>
  <si>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</si>
  <si>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</si>
  <si>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</si>
  <si>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</si>
  <si>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</si>
  <si>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</si>
  <si>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</si>
  <si>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</si>
  <si>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</si>
  <si>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</si>
  <si>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</si>
  <si>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</si>
  <si>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</si>
  <si>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</si>
  <si>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</si>
  <si>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</si>
  <si>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</si>
  <si>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</si>
  <si>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</si>
  <si>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</si>
  <si>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</si>
  <si>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</si>
  <si>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</si>
  <si>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</si>
  <si>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</si>
  <si>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</si>
  <si>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</si>
  <si>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</si>
  <si>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</si>
  <si>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</si>
  <si>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</si>
  <si>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</si>
  <si>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</si>
  <si>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</si>
  <si>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</si>
  <si>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</si>
  <si>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</si>
  <si>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</si>
  <si>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</si>
  <si>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</si>
  <si>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</si>
  <si>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</si>
  <si>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</si>
  <si>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</si>
  <si>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</si>
  <si>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</si>
  <si>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</si>
  <si>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</si>
  <si>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</si>
  <si>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</si>
  <si>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</si>
  <si>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</si>
  <si>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</si>
  <si>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</si>
  <si>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</si>
  <si>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</si>
  <si>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</si>
  <si>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</si>
  <si>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</si>
  <si>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</si>
  <si>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</si>
  <si>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</si>
  <si>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</si>
  <si>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</si>
  <si>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</si>
  <si>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</si>
  <si>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</si>
  <si>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</si>
  <si>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</si>
  <si>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</si>
  <si>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</si>
  <si>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</si>
  <si>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</si>
  <si>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</si>
  <si>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</si>
  <si>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</si>
  <si>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</si>
  <si>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</si>
  <si>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</si>
  <si>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</si>
  <si>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</si>
  <si>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</si>
  <si>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</si>
  <si>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</si>
  <si>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</si>
  <si>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</si>
  <si>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</si>
  <si>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</si>
  <si>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</si>
  <si>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</si>
  <si>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</si>
  <si>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</si>
  <si>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</si>
  <si>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</si>
  <si>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</si>
  <si>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</si>
  <si>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</si>
  <si>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</si>
  <si>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</si>
  <si>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</si>
  <si>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</si>
  <si>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</si>
  <si>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</si>
  <si>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</si>
  <si>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</si>
  <si>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</si>
  <si>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</si>
  <si>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</si>
  <si>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</si>
  <si>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</si>
  <si>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</si>
  <si>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</si>
  <si>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</si>
  <si>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</si>
  <si>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</si>
  <si>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</si>
  <si>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</si>
  <si>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</si>
  <si>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</si>
  <si>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</si>
  <si>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</si>
  <si>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</si>
  <si>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</si>
  <si>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</si>
  <si>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</si>
  <si>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</si>
  <si>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</si>
  <si>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</si>
  <si>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</si>
  <si>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</si>
  <si>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</si>
  <si>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</si>
  <si>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</si>
  <si>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</si>
  <si>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</si>
  <si>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</si>
  <si>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</si>
  <si>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</si>
  <si>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</si>
  <si>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</si>
  <si>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</si>
  <si>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</si>
  <si>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</si>
  <si>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</si>
  <si>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</si>
  <si>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</si>
  <si>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</si>
  <si>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</si>
  <si>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</si>
  <si>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</si>
  <si>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</si>
  <si>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</si>
  <si>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</si>
  <si>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</si>
  <si>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</si>
  <si>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</si>
  <si>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</si>
  <si>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</si>
  <si>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</si>
  <si>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</si>
  <si>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</si>
  <si>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</si>
  <si>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</si>
  <si>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</si>
  <si>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</si>
  <si>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</si>
  <si>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</si>
  <si>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</si>
  <si>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</si>
  <si>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</si>
  <si>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</si>
  <si>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</si>
  <si>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</si>
  <si>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</si>
  <si>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</si>
  <si>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</si>
  <si>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</si>
  <si>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</si>
  <si>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</si>
  <si>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</si>
  <si>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</si>
  <si>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</si>
  <si>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</si>
  <si>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</si>
  <si>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</si>
  <si>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</si>
  <si>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</si>
  <si>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</si>
  <si>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</si>
  <si>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</si>
  <si>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</si>
  <si>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</si>
  <si>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</si>
  <si>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</si>
  <si>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</si>
  <si>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</si>
  <si>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</si>
  <si>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</si>
  <si>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</si>
  <si>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</si>
  <si>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</si>
  <si>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</si>
  <si>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</si>
  <si>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</si>
  <si>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</si>
  <si>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</si>
  <si>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</si>
  <si>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</si>
  <si>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</si>
  <si>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</si>
  <si>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</si>
  <si>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</si>
  <si>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</si>
  <si>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</si>
  <si>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</si>
  <si>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</si>
  <si>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</si>
  <si>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</si>
  <si>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</si>
  <si>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</si>
  <si>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</si>
  <si>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</si>
  <si>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</si>
  <si>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</si>
  <si>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</si>
  <si>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</si>
  <si>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</si>
  <si>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</si>
  <si>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</si>
  <si>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</si>
  <si>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</si>
  <si>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</si>
  <si>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</si>
  <si>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</si>
  <si>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</si>
  <si>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</si>
  <si>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</si>
  <si>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</si>
  <si>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</si>
  <si>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</si>
  <si>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</si>
  <si>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</si>
  <si>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</si>
  <si>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</si>
  <si>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</si>
  <si>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</si>
  <si>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</si>
  <si>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</si>
  <si>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</si>
  <si>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</si>
  <si>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</si>
  <si>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</si>
  <si>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</si>
  <si>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</si>
  <si>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</si>
  <si>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</si>
  <si>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</si>
  <si>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</si>
  <si>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</si>
  <si>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</si>
  <si>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</si>
  <si>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</si>
  <si>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</si>
  <si>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</si>
  <si>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</si>
  <si>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</si>
  <si>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</si>
  <si>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</si>
  <si>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</si>
  <si>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</si>
  <si>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</si>
  <si>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</si>
  <si>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</si>
  <si>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</si>
  <si>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</si>
  <si>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</si>
  <si>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</si>
  <si>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</si>
  <si>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</si>
  <si>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</si>
  <si>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</si>
  <si>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</si>
  <si>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</si>
  <si>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</si>
  <si>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</si>
  <si>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</si>
  <si>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</si>
  <si>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</si>
  <si>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</si>
  <si>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</si>
  <si>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</si>
  <si>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</si>
  <si>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</si>
  <si>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</si>
  <si>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</si>
  <si>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</si>
  <si>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</si>
  <si>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</si>
  <si>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</si>
  <si>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</si>
  <si>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</si>
  <si>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</si>
  <si>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</si>
  <si>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</si>
  <si>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</si>
  <si>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</si>
  <si>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</si>
  <si>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</si>
  <si>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</si>
  <si>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</si>
  <si>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</si>
  <si>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</si>
  <si>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</si>
  <si>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</si>
  <si>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</si>
  <si>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</si>
  <si>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</si>
  <si>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</si>
  <si>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</si>
  <si>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</si>
  <si>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</si>
  <si>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</si>
  <si>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</si>
  <si>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</si>
  <si>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</si>
  <si>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</si>
  <si>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</si>
  <si>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</si>
  <si>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</si>
  <si>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</si>
  <si>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</si>
  <si>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</si>
  <si>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</si>
  <si>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</si>
  <si>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</si>
  <si>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</si>
  <si>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</si>
  <si>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</si>
  <si>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</si>
  <si>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</si>
  <si>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</si>
  <si>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</si>
  <si>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</si>
  <si>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</si>
  <si>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</si>
  <si>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</si>
  <si>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</si>
  <si>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</si>
  <si>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</si>
  <si>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</si>
  <si>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</si>
  <si>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</si>
  <si>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</si>
  <si>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</si>
  <si>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</si>
  <si>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</si>
  <si>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</si>
  <si>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</si>
  <si>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</si>
  <si>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</si>
  <si>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</si>
  <si>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</si>
  <si>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</si>
  <si>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</si>
  <si>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</si>
  <si>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</si>
  <si>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</si>
  <si>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</si>
  <si>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</si>
  <si>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</si>
  <si>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</si>
  <si>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</si>
  <si>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</si>
  <si>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</si>
  <si>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</si>
  <si>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</si>
  <si>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</si>
  <si>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</si>
  <si>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</si>
  <si>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</si>
  <si>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</si>
  <si>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</si>
  <si>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</si>
  <si>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</si>
  <si>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</si>
  <si>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</si>
  <si>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</si>
  <si>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</si>
  <si>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</si>
  <si>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</si>
  <si>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</si>
  <si>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</si>
  <si>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</si>
  <si>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</si>
  <si>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</si>
  <si>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</si>
  <si>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</si>
  <si>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</si>
  <si>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</si>
  <si>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</si>
  <si>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</si>
  <si>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GREENWICH HEALTH CARE SERVICES,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</si>
  <si>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</si>
  <si>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</si>
  <si>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</si>
  <si>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</si>
  <si>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</si>
  <si>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</si>
  <si>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</si>
  <si>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</si>
  <si>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</si>
  <si>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</si>
  <si>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</si>
  <si>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</si>
  <si>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</si>
  <si>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</si>
  <si>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</si>
  <si>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</si>
  <si>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</si>
  <si>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</si>
  <si>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</si>
  <si>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</si>
  <si>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</si>
  <si>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</si>
  <si>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</si>
  <si>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</si>
  <si>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</si>
  <si>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</si>
  <si>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</si>
  <si>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</si>
  <si>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</si>
  <si>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</si>
  <si>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</si>
  <si>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</si>
  <si>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</si>
  <si>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</si>
  <si>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</si>
  <si>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</si>
  <si>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</si>
  <si>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</si>
  <si>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</si>
  <si>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</si>
  <si>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</si>
  <si>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</si>
  <si>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</si>
  <si>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</si>
  <si>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</si>
  <si>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</si>
  <si>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</si>
  <si>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</si>
  <si>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</si>
  <si>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</si>
  <si>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</si>
  <si>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</si>
  <si>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</si>
  <si>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</si>
  <si>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</si>
  <si>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</si>
  <si>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</si>
  <si>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</si>
  <si>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</si>
  <si>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</si>
  <si>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</si>
  <si>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</si>
  <si>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</si>
  <si>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</si>
  <si>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</si>
  <si>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</si>
  <si>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</si>
  <si>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</si>
  <si>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</si>
  <si>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</si>
  <si>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</si>
  <si>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</si>
  <si>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</si>
  <si>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</si>
  <si>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</si>
  <si>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</si>
  <si>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</si>
  <si>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</si>
  <si>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</si>
  <si>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</si>
  <si>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</si>
  <si>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</si>
  <si>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</si>
  <si>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</si>
  <si>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</si>
  <si>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</si>
  <si>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</si>
  <si>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</si>
  <si>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</si>
  <si>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</si>
  <si>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</si>
  <si>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</si>
  <si>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</si>
  <si>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</si>
  <si>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</si>
  <si>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</si>
  <si>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</si>
  <si>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</si>
  <si>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</si>
  <si>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</si>
  <si>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</si>
  <si>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</si>
  <si>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</si>
  <si>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</si>
  <si>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</si>
  <si>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</si>
  <si>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</si>
  <si>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</si>
  <si>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at Greenwich Hospital Campus</t>
  </si>
  <si>
    <t>Helmsley Surgical Center</t>
  </si>
  <si>
    <t xml:space="preserve">      Total Outpatient Surgical Procedures(A)     </t>
  </si>
  <si>
    <t>G Hosp @500 W Putnam St.</t>
  </si>
  <si>
    <t xml:space="preserve">      Total Outpatient Endoscopy Procedures(B)     </t>
  </si>
  <si>
    <t>Outpatient Hospital Emergency Room Visits</t>
  </si>
  <si>
    <t>At Greenwich Hospital Campus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</si>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</sst>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32013000</v>
      </c>
      <c r="D13" s="23">
        <v>32149000</v>
      </c>
      <c r="E13" s="23">
        <f t="shared" ref="E13:E22" si="0">D13-C13</f>
        <v>136000</v>
      </c>
      <c r="F13" s="24">
        <f t="shared" ref="F13:F22" si="1">IF(C13=0,0,E13/C13)</f>
        <v>4.248274138631181E-3</v>
      </c>
    </row>
    <row r="14" spans="1:8" ht="24" customHeight="1" x14ac:dyDescent="0.2">
      <c r="A14" s="21">
        <v>2</v>
      </c>
      <c r="B14" s="22" t="s">
        <v>17</v>
      </c>
      <c r="C14" s="23">
        <v>23470000</v>
      </c>
      <c r="D14" s="23">
        <v>21585000</v>
      </c>
      <c r="E14" s="23">
        <f t="shared" si="0"/>
        <v>-1885000</v>
      </c>
      <c r="F14" s="24">
        <f t="shared" si="1"/>
        <v>-8.0315296122709837E-2</v>
      </c>
    </row>
    <row r="15" spans="1:8" ht="33" customHeight="1" x14ac:dyDescent="0.2">
      <c r="A15" s="21">
        <v>3</v>
      </c>
      <c r="B15" s="22" t="s">
        <v>18</v>
      </c>
      <c r="C15" s="23">
        <v>32518000</v>
      </c>
      <c r="D15" s="23">
        <v>32433000</v>
      </c>
      <c r="E15" s="23">
        <f t="shared" si="0"/>
        <v>-85000</v>
      </c>
      <c r="F15" s="24">
        <f t="shared" si="1"/>
        <v>-2.6139368964880989E-3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1275000</v>
      </c>
      <c r="D19" s="23">
        <v>1224000</v>
      </c>
      <c r="E19" s="23">
        <f t="shared" si="0"/>
        <v>-51000</v>
      </c>
      <c r="F19" s="24">
        <f t="shared" si="1"/>
        <v>-0.04</v>
      </c>
    </row>
    <row r="20" spans="1:11" ht="24" customHeight="1" x14ac:dyDescent="0.2">
      <c r="A20" s="21">
        <v>8</v>
      </c>
      <c r="B20" s="22" t="s">
        <v>23</v>
      </c>
      <c r="C20" s="23">
        <v>2189000</v>
      </c>
      <c r="D20" s="23">
        <v>3926000</v>
      </c>
      <c r="E20" s="23">
        <f t="shared" si="0"/>
        <v>1737000</v>
      </c>
      <c r="F20" s="24">
        <f t="shared" si="1"/>
        <v>0.79351301964367293</v>
      </c>
    </row>
    <row r="21" spans="1:11" ht="24" customHeight="1" x14ac:dyDescent="0.2">
      <c r="A21" s="21">
        <v>9</v>
      </c>
      <c r="B21" s="22" t="s">
        <v>24</v>
      </c>
      <c r="C21" s="23">
        <v>9158000</v>
      </c>
      <c r="D21" s="23">
        <v>11852000</v>
      </c>
      <c r="E21" s="23">
        <f t="shared" si="0"/>
        <v>2694000</v>
      </c>
      <c r="F21" s="24">
        <f t="shared" si="1"/>
        <v>0.29416903253985588</v>
      </c>
    </row>
    <row r="22" spans="1:11" ht="24" customHeight="1" x14ac:dyDescent="0.25">
      <c r="A22" s="25"/>
      <c r="B22" s="26" t="s">
        <v>25</v>
      </c>
      <c r="C22" s="27">
        <f>SUM(C13:C21)</f>
        <v>100623000</v>
      </c>
      <c r="D22" s="27">
        <f>SUM(D13:D21)</f>
        <v>103169000</v>
      </c>
      <c r="E22" s="27">
        <f t="shared" si="0"/>
        <v>2546000</v>
      </c>
      <c r="F22" s="28">
        <f t="shared" si="1"/>
        <v>2.5302366258211344E-2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800000</v>
      </c>
      <c r="D25" s="23">
        <v>799000</v>
      </c>
      <c r="E25" s="23">
        <f>D25-C25</f>
        <v>-1000</v>
      </c>
      <c r="F25" s="24">
        <f>IF(C25=0,0,E25/C25)</f>
        <v>-1.25E-3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17579000</v>
      </c>
      <c r="D26" s="23">
        <v>21014000</v>
      </c>
      <c r="E26" s="23">
        <f>D26-C26</f>
        <v>3435000</v>
      </c>
      <c r="F26" s="24">
        <f>IF(C26=0,0,E26/C26)</f>
        <v>0.1954036065760282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9000</v>
      </c>
      <c r="D27" s="23">
        <v>6000</v>
      </c>
      <c r="E27" s="23">
        <f>D27-C27</f>
        <v>-3000</v>
      </c>
      <c r="F27" s="24">
        <f>IF(C27=0,0,E27/C27)</f>
        <v>-0.33333333333333331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18388000</v>
      </c>
      <c r="D29" s="27">
        <f>SUM(D25:D28)</f>
        <v>21819000</v>
      </c>
      <c r="E29" s="27">
        <f>D29-C29</f>
        <v>3431000</v>
      </c>
      <c r="F29" s="28">
        <f>IF(C29=0,0,E29/C29)</f>
        <v>0.18658907983467479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49641000</v>
      </c>
      <c r="D31" s="23">
        <v>45826000</v>
      </c>
      <c r="E31" s="23">
        <f>D31-C31</f>
        <v>-3815000</v>
      </c>
      <c r="F31" s="24">
        <f>IF(C31=0,0,E31/C31)</f>
        <v>-7.6851795894522679E-2</v>
      </c>
    </row>
    <row r="32" spans="1:11" ht="24" customHeight="1" x14ac:dyDescent="0.2">
      <c r="A32" s="21">
        <v>6</v>
      </c>
      <c r="B32" s="22" t="s">
        <v>34</v>
      </c>
      <c r="C32" s="23">
        <v>36595000</v>
      </c>
      <c r="D32" s="23">
        <v>35756000</v>
      </c>
      <c r="E32" s="23">
        <f>D32-C32</f>
        <v>-839000</v>
      </c>
      <c r="F32" s="24">
        <f>IF(C32=0,0,E32/C32)</f>
        <v>-2.2926629320945486E-2</v>
      </c>
    </row>
    <row r="33" spans="1:8" ht="24" customHeight="1" x14ac:dyDescent="0.2">
      <c r="A33" s="21">
        <v>7</v>
      </c>
      <c r="B33" s="22" t="s">
        <v>35</v>
      </c>
      <c r="C33" s="23">
        <v>23237000</v>
      </c>
      <c r="D33" s="23">
        <v>26792000</v>
      </c>
      <c r="E33" s="23">
        <f>D33-C33</f>
        <v>3555000</v>
      </c>
      <c r="F33" s="24">
        <f>IF(C33=0,0,E33/C33)</f>
        <v>0.15298876791324181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416831000</v>
      </c>
      <c r="D36" s="23">
        <v>430954000</v>
      </c>
      <c r="E36" s="23">
        <f>D36-C36</f>
        <v>14123000</v>
      </c>
      <c r="F36" s="24">
        <f>IF(C36=0,0,E36/C36)</f>
        <v>3.3881837003485828E-2</v>
      </c>
    </row>
    <row r="37" spans="1:8" ht="24" customHeight="1" x14ac:dyDescent="0.2">
      <c r="A37" s="21">
        <v>2</v>
      </c>
      <c r="B37" s="22" t="s">
        <v>39</v>
      </c>
      <c r="C37" s="23">
        <v>173524000</v>
      </c>
      <c r="D37" s="23">
        <v>191442000</v>
      </c>
      <c r="E37" s="23">
        <f>D37-C37</f>
        <v>17918000</v>
      </c>
      <c r="F37" s="24">
        <f>IF(C37=0,0,E37/C37)</f>
        <v>0.10325949148244623</v>
      </c>
    </row>
    <row r="38" spans="1:8" ht="24" customHeight="1" x14ac:dyDescent="0.25">
      <c r="A38" s="25"/>
      <c r="B38" s="26" t="s">
        <v>40</v>
      </c>
      <c r="C38" s="27">
        <f>C36-C37</f>
        <v>243307000</v>
      </c>
      <c r="D38" s="27">
        <f>D36-D37</f>
        <v>239512000</v>
      </c>
      <c r="E38" s="27">
        <f>D38-C38</f>
        <v>-3795000</v>
      </c>
      <c r="F38" s="28">
        <f>IF(C38=0,0,E38/C38)</f>
        <v>-1.5597578368069969E-2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1000</v>
      </c>
      <c r="D40" s="23">
        <v>25000</v>
      </c>
      <c r="E40" s="23">
        <f>D40-C40</f>
        <v>24000</v>
      </c>
      <c r="F40" s="24">
        <f>IF(C40=0,0,E40/C40)</f>
        <v>24</v>
      </c>
    </row>
    <row r="41" spans="1:8" ht="24" customHeight="1" x14ac:dyDescent="0.25">
      <c r="A41" s="25"/>
      <c r="B41" s="26" t="s">
        <v>42</v>
      </c>
      <c r="C41" s="27">
        <f>+C38+C40</f>
        <v>243308000</v>
      </c>
      <c r="D41" s="27">
        <f>+D38+D40</f>
        <v>239537000</v>
      </c>
      <c r="E41" s="27">
        <f>D41-C41</f>
        <v>-3771000</v>
      </c>
      <c r="F41" s="28">
        <f>IF(C41=0,0,E41/C41)</f>
        <v>-1.5498873855360284E-2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471792000</v>
      </c>
      <c r="D43" s="27">
        <f>D22+D29+D31+D32+D33+D41</f>
        <v>472899000</v>
      </c>
      <c r="E43" s="27">
        <f>D43-C43</f>
        <v>1107000</v>
      </c>
      <c r="F43" s="28">
        <f>IF(C43=0,0,E43/C43)</f>
        <v>2.3463729779224741E-3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15528145</v>
      </c>
      <c r="D49" s="23">
        <v>17078000</v>
      </c>
      <c r="E49" s="23">
        <f t="shared" ref="E49:E56" si="2">D49-C49</f>
        <v>1549855</v>
      </c>
      <c r="F49" s="24">
        <f t="shared" ref="F49:F56" si="3">IF(C49=0,0,E49/C49)</f>
        <v>9.9809410589610029E-2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10892855</v>
      </c>
      <c r="D50" s="23">
        <v>11818000</v>
      </c>
      <c r="E50" s="23">
        <f t="shared" si="2"/>
        <v>925145</v>
      </c>
      <c r="F50" s="24">
        <f t="shared" si="3"/>
        <v>8.49313609701038E-2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264000</v>
      </c>
      <c r="D51" s="23">
        <v>228000</v>
      </c>
      <c r="E51" s="23">
        <f t="shared" si="2"/>
        <v>-36000</v>
      </c>
      <c r="F51" s="24">
        <f t="shared" si="3"/>
        <v>-0.13636363636363635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2260000</v>
      </c>
      <c r="D53" s="23">
        <v>2360000</v>
      </c>
      <c r="E53" s="23">
        <f t="shared" si="2"/>
        <v>100000</v>
      </c>
      <c r="F53" s="24">
        <f t="shared" si="3"/>
        <v>4.4247787610619468E-2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8469000</v>
      </c>
      <c r="D55" s="23">
        <v>11494000</v>
      </c>
      <c r="E55" s="23">
        <f t="shared" si="2"/>
        <v>3025000</v>
      </c>
      <c r="F55" s="24">
        <f t="shared" si="3"/>
        <v>0.35718502774825833</v>
      </c>
    </row>
    <row r="56" spans="1:6" ht="24" customHeight="1" x14ac:dyDescent="0.25">
      <c r="A56" s="25"/>
      <c r="B56" s="26" t="s">
        <v>54</v>
      </c>
      <c r="C56" s="27">
        <f>SUM(C49:C55)</f>
        <v>37414000</v>
      </c>
      <c r="D56" s="27">
        <f>SUM(D49:D55)</f>
        <v>42978000</v>
      </c>
      <c r="E56" s="27">
        <f t="shared" si="2"/>
        <v>5564000</v>
      </c>
      <c r="F56" s="28">
        <f t="shared" si="3"/>
        <v>0.14871438498957609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45005000</v>
      </c>
      <c r="D59" s="23">
        <v>42645000</v>
      </c>
      <c r="E59" s="23">
        <f>D59-C59</f>
        <v>-2360000</v>
      </c>
      <c r="F59" s="24">
        <f>IF(C59=0,0,E59/C59)</f>
        <v>-5.2438617931340963E-2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45005000</v>
      </c>
      <c r="D61" s="27">
        <f>SUM(D59:D60)</f>
        <v>42645000</v>
      </c>
      <c r="E61" s="27">
        <f>D61-C61</f>
        <v>-2360000</v>
      </c>
      <c r="F61" s="28">
        <f>IF(C61=0,0,E61/C61)</f>
        <v>-5.2438617931340963E-2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29899000</v>
      </c>
      <c r="D63" s="23">
        <v>46068000</v>
      </c>
      <c r="E63" s="23">
        <f>D63-C63</f>
        <v>16169000</v>
      </c>
      <c r="F63" s="24">
        <f>IF(C63=0,0,E63/C63)</f>
        <v>0.54078731730158203</v>
      </c>
    </row>
    <row r="64" spans="1:6" ht="24" customHeight="1" x14ac:dyDescent="0.2">
      <c r="A64" s="21">
        <v>4</v>
      </c>
      <c r="B64" s="22" t="s">
        <v>60</v>
      </c>
      <c r="C64" s="23">
        <v>27956000</v>
      </c>
      <c r="D64" s="23">
        <v>29906000</v>
      </c>
      <c r="E64" s="23">
        <f>D64-C64</f>
        <v>1950000</v>
      </c>
      <c r="F64" s="24">
        <f>IF(C64=0,0,E64/C64)</f>
        <v>6.9752468164258119E-2</v>
      </c>
    </row>
    <row r="65" spans="1:6" ht="24" customHeight="1" x14ac:dyDescent="0.25">
      <c r="A65" s="25"/>
      <c r="B65" s="26" t="s">
        <v>61</v>
      </c>
      <c r="C65" s="27">
        <f>SUM(C61:C64)</f>
        <v>102860000</v>
      </c>
      <c r="D65" s="27">
        <f>SUM(D61:D64)</f>
        <v>118619000</v>
      </c>
      <c r="E65" s="27">
        <f>D65-C65</f>
        <v>15759000</v>
      </c>
      <c r="F65" s="28">
        <f>IF(C65=0,0,E65/C65)</f>
        <v>0.15320824421543847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282678000</v>
      </c>
      <c r="D70" s="23">
        <v>266335000</v>
      </c>
      <c r="E70" s="23">
        <f>D70-C70</f>
        <v>-16343000</v>
      </c>
      <c r="F70" s="24">
        <f>IF(C70=0,0,E70/C70)</f>
        <v>-5.7814898930939093E-2</v>
      </c>
    </row>
    <row r="71" spans="1:6" ht="24" customHeight="1" x14ac:dyDescent="0.2">
      <c r="A71" s="21">
        <v>2</v>
      </c>
      <c r="B71" s="22" t="s">
        <v>65</v>
      </c>
      <c r="C71" s="23">
        <v>27295000</v>
      </c>
      <c r="D71" s="23">
        <v>24575000</v>
      </c>
      <c r="E71" s="23">
        <f>D71-C71</f>
        <v>-2720000</v>
      </c>
      <c r="F71" s="24">
        <f>IF(C71=0,0,E71/C71)</f>
        <v>-9.9651950906759476E-2</v>
      </c>
    </row>
    <row r="72" spans="1:6" ht="24" customHeight="1" x14ac:dyDescent="0.2">
      <c r="A72" s="21">
        <v>3</v>
      </c>
      <c r="B72" s="22" t="s">
        <v>66</v>
      </c>
      <c r="C72" s="23">
        <v>21545000</v>
      </c>
      <c r="D72" s="23">
        <v>20392000</v>
      </c>
      <c r="E72" s="23">
        <f>D72-C72</f>
        <v>-1153000</v>
      </c>
      <c r="F72" s="24">
        <f>IF(C72=0,0,E72/C72)</f>
        <v>-5.3515896959851476E-2</v>
      </c>
    </row>
    <row r="73" spans="1:6" ht="24" customHeight="1" x14ac:dyDescent="0.25">
      <c r="A73" s="21"/>
      <c r="B73" s="26" t="s">
        <v>67</v>
      </c>
      <c r="C73" s="27">
        <f>SUM(C70:C72)</f>
        <v>331518000</v>
      </c>
      <c r="D73" s="27">
        <f>SUM(D70:D72)</f>
        <v>311302000</v>
      </c>
      <c r="E73" s="27">
        <f>D73-C73</f>
        <v>-20216000</v>
      </c>
      <c r="F73" s="28">
        <f>IF(C73=0,0,E73/C73)</f>
        <v>-6.0980097611592732E-2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471792000</v>
      </c>
      <c r="D75" s="27">
        <f>D56+D65+D67+D73</f>
        <v>472899000</v>
      </c>
      <c r="E75" s="27">
        <f>D75-C75</f>
        <v>1107000</v>
      </c>
      <c r="F75" s="28">
        <f>IF(C75=0,0,E75/C75)</f>
        <v>2.3463729779224741E-3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FILING&amp;RGREENWICH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281144231</v>
      </c>
      <c r="D11" s="51">
        <v>288416000</v>
      </c>
      <c r="E11" s="51">
        <v>310407000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17603769</v>
      </c>
      <c r="D12" s="49">
        <v>14769000</v>
      </c>
      <c r="E12" s="49">
        <v>12951000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298748000</v>
      </c>
      <c r="D13" s="51">
        <f>+D11+D12</f>
        <v>303185000</v>
      </c>
      <c r="E13" s="51">
        <f>+E11+E12</f>
        <v>323358000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290832000</v>
      </c>
      <c r="D14" s="49">
        <v>294701000</v>
      </c>
      <c r="E14" s="49">
        <v>314917000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7916000</v>
      </c>
      <c r="D15" s="51">
        <f>+D13-D14</f>
        <v>8484000</v>
      </c>
      <c r="E15" s="51">
        <f>+E13-E14</f>
        <v>8441000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-1089000</v>
      </c>
      <c r="D16" s="49">
        <v>-378000</v>
      </c>
      <c r="E16" s="49">
        <v>-6254000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6827000</v>
      </c>
      <c r="D17" s="51">
        <f>D15+D16</f>
        <v>8106000</v>
      </c>
      <c r="E17" s="51">
        <f>E15+E16</f>
        <v>2187000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2.6594189995934946E-2</v>
      </c>
      <c r="D20" s="169">
        <f>IF(+D27=0,0,+D24/+D27)</f>
        <v>2.8017846350976035E-2</v>
      </c>
      <c r="E20" s="169">
        <f>IF(+E27=0,0,+E24/+E27)</f>
        <v>2.6619027196124932E-2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-3.6585488763988322E-3</v>
      </c>
      <c r="D21" s="169">
        <f>IF(+D27=0,0,+D26/+D27)</f>
        <v>-1.2483198869246749E-3</v>
      </c>
      <c r="E21" s="169">
        <f>IF(+E27=0,0,+E26/+E27)</f>
        <v>-1.972223623795348E-2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2.2935641119536113E-2</v>
      </c>
      <c r="D22" s="169">
        <f>IF(+D27=0,0,+D28/+D27)</f>
        <v>2.6769526464051358E-2</v>
      </c>
      <c r="E22" s="169">
        <f>IF(+E27=0,0,+E28/+E27)</f>
        <v>6.8967909581714518E-3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7916000</v>
      </c>
      <c r="D24" s="51">
        <f>+D15</f>
        <v>8484000</v>
      </c>
      <c r="E24" s="51">
        <f>+E15</f>
        <v>8441000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298748000</v>
      </c>
      <c r="D25" s="51">
        <f>+D13</f>
        <v>303185000</v>
      </c>
      <c r="E25" s="51">
        <f>+E13</f>
        <v>323358000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-1089000</v>
      </c>
      <c r="D26" s="51">
        <f>+D16</f>
        <v>-378000</v>
      </c>
      <c r="E26" s="51">
        <f>+E16</f>
        <v>-6254000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297659000</v>
      </c>
      <c r="D27" s="51">
        <f>SUM(D25:D26)</f>
        <v>302807000</v>
      </c>
      <c r="E27" s="51">
        <f>SUM(E25:E26)</f>
        <v>317104000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6827000</v>
      </c>
      <c r="D28" s="51">
        <f>+D17</f>
        <v>8106000</v>
      </c>
      <c r="E28" s="51">
        <f>+E17</f>
        <v>2187000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308971000</v>
      </c>
      <c r="D31" s="51">
        <v>310901000</v>
      </c>
      <c r="E31" s="52">
        <v>297016000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356626000</v>
      </c>
      <c r="D32" s="51">
        <v>359741000</v>
      </c>
      <c r="E32" s="51">
        <v>341983000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-24451000</v>
      </c>
      <c r="D33" s="51">
        <f>+D32-C32</f>
        <v>3115000</v>
      </c>
      <c r="E33" s="51">
        <f>+E32-D32</f>
        <v>-17758000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0.93579999999999997</v>
      </c>
      <c r="D34" s="171">
        <f>IF(C32=0,0,+D33/C32)</f>
        <v>8.7346407721254193E-3</v>
      </c>
      <c r="E34" s="171">
        <f>IF(D32=0,0,+E33/D32)</f>
        <v>-4.9363291923911923E-2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2.1378637895584713</v>
      </c>
      <c r="D38" s="269">
        <f>IF(+D40=0,0,+D39/+D40)</f>
        <v>2.3428732726246286</v>
      </c>
      <c r="E38" s="269">
        <f>IF(+E40=0,0,+E39/+E40)</f>
        <v>2.1270506862639142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100858000</v>
      </c>
      <c r="D39" s="270">
        <v>95451000</v>
      </c>
      <c r="E39" s="270">
        <v>98408000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47177000</v>
      </c>
      <c r="D40" s="270">
        <v>40741000</v>
      </c>
      <c r="E40" s="270">
        <v>46265000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84.244474356651295</v>
      </c>
      <c r="D42" s="271">
        <f>IF((D48/365)=0,0,+D45/(D48/365))</f>
        <v>77.268571093641242</v>
      </c>
      <c r="E42" s="271">
        <f>IF((E48/365)=0,0,+E45/(E48/365))</f>
        <v>71.164730373595333</v>
      </c>
    </row>
    <row r="43" spans="1:14" ht="24" customHeight="1" x14ac:dyDescent="0.2">
      <c r="A43" s="17">
        <v>5</v>
      </c>
      <c r="B43" s="188" t="s">
        <v>16</v>
      </c>
      <c r="C43" s="272">
        <v>34142000</v>
      </c>
      <c r="D43" s="272">
        <v>34318000</v>
      </c>
      <c r="E43" s="272">
        <v>35827000</v>
      </c>
    </row>
    <row r="44" spans="1:14" ht="24" customHeight="1" x14ac:dyDescent="0.2">
      <c r="A44" s="17">
        <v>6</v>
      </c>
      <c r="B44" s="273" t="s">
        <v>17</v>
      </c>
      <c r="C44" s="274">
        <v>28273000</v>
      </c>
      <c r="D44" s="274">
        <v>23470000</v>
      </c>
      <c r="E44" s="274">
        <v>21585000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62415000</v>
      </c>
      <c r="D45" s="270">
        <f>+D43+D44</f>
        <v>57788000</v>
      </c>
      <c r="E45" s="270">
        <f>+E43+E44</f>
        <v>57412000</v>
      </c>
    </row>
    <row r="46" spans="1:14" ht="24" customHeight="1" x14ac:dyDescent="0.2">
      <c r="A46" s="17">
        <v>8</v>
      </c>
      <c r="B46" s="45" t="s">
        <v>324</v>
      </c>
      <c r="C46" s="270">
        <f>+C14</f>
        <v>290832000</v>
      </c>
      <c r="D46" s="270">
        <f>+D14</f>
        <v>294701000</v>
      </c>
      <c r="E46" s="270">
        <f>+E14</f>
        <v>314917000</v>
      </c>
    </row>
    <row r="47" spans="1:14" ht="24" customHeight="1" x14ac:dyDescent="0.2">
      <c r="A47" s="17">
        <v>9</v>
      </c>
      <c r="B47" s="45" t="s">
        <v>347</v>
      </c>
      <c r="C47" s="270">
        <v>20411000</v>
      </c>
      <c r="D47" s="270">
        <v>21723000</v>
      </c>
      <c r="E47" s="270">
        <v>20454000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270421000</v>
      </c>
      <c r="D48" s="270">
        <f>+D46-D47</f>
        <v>272978000</v>
      </c>
      <c r="E48" s="270">
        <f>+E46-E47</f>
        <v>294463000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43.350400456909959</v>
      </c>
      <c r="D50" s="278">
        <f>IF((D55/365)=0,0,+D54/(D55/365))</f>
        <v>41.939767557971813</v>
      </c>
      <c r="E50" s="278">
        <f>IF((E55/365)=0,0,+E54/(E55/365))</f>
        <v>40.313717151997217</v>
      </c>
    </row>
    <row r="51" spans="1:5" ht="24" customHeight="1" x14ac:dyDescent="0.2">
      <c r="A51" s="17">
        <v>12</v>
      </c>
      <c r="B51" s="188" t="s">
        <v>350</v>
      </c>
      <c r="C51" s="279">
        <v>33583000</v>
      </c>
      <c r="D51" s="279">
        <v>33404000</v>
      </c>
      <c r="E51" s="279">
        <v>34512000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192000</v>
      </c>
      <c r="D53" s="270">
        <v>264000</v>
      </c>
      <c r="E53" s="270">
        <v>228000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33391000</v>
      </c>
      <c r="D54" s="280">
        <f>+D51+D52-D53</f>
        <v>33140000</v>
      </c>
      <c r="E54" s="280">
        <f>+E51+E52-E53</f>
        <v>34284000</v>
      </c>
    </row>
    <row r="55" spans="1:5" ht="24" customHeight="1" x14ac:dyDescent="0.2">
      <c r="A55" s="17">
        <v>16</v>
      </c>
      <c r="B55" s="45" t="s">
        <v>75</v>
      </c>
      <c r="C55" s="270">
        <f>+C11</f>
        <v>281144231</v>
      </c>
      <c r="D55" s="270">
        <f>+D11</f>
        <v>288416000</v>
      </c>
      <c r="E55" s="270">
        <f>+E11</f>
        <v>310407000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63.677025822698681</v>
      </c>
      <c r="D57" s="283">
        <f>IF((D61/365)=0,0,+D58/(D61/365))</f>
        <v>54.474957688898002</v>
      </c>
      <c r="E57" s="283">
        <f>IF((E61/365)=0,0,+E58/(E61/365))</f>
        <v>57.347527533170556</v>
      </c>
    </row>
    <row r="58" spans="1:5" ht="24" customHeight="1" x14ac:dyDescent="0.2">
      <c r="A58" s="17">
        <v>18</v>
      </c>
      <c r="B58" s="45" t="s">
        <v>54</v>
      </c>
      <c r="C58" s="281">
        <f>+C40</f>
        <v>47177000</v>
      </c>
      <c r="D58" s="281">
        <f>+D40</f>
        <v>40741000</v>
      </c>
      <c r="E58" s="281">
        <f>+E40</f>
        <v>46265000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290832000</v>
      </c>
      <c r="D59" s="281">
        <f t="shared" si="0"/>
        <v>294701000</v>
      </c>
      <c r="E59" s="281">
        <f t="shared" si="0"/>
        <v>314917000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20411000</v>
      </c>
      <c r="D60" s="176">
        <f t="shared" si="0"/>
        <v>21723000</v>
      </c>
      <c r="E60" s="176">
        <f t="shared" si="0"/>
        <v>20454000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270421000</v>
      </c>
      <c r="D61" s="281">
        <f>+D59-D60</f>
        <v>272978000</v>
      </c>
      <c r="E61" s="281">
        <f>+E59-E60</f>
        <v>294463000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70.855428508985426</v>
      </c>
      <c r="D65" s="284">
        <f>IF(D67=0,0,(D66/D67)*100)</f>
        <v>71.47049123657473</v>
      </c>
      <c r="E65" s="284">
        <f>IF(E67=0,0,(E66/E67)*100)</f>
        <v>67.319090635291516</v>
      </c>
    </row>
    <row r="66" spans="1:5" ht="24" customHeight="1" x14ac:dyDescent="0.2">
      <c r="A66" s="17">
        <v>2</v>
      </c>
      <c r="B66" s="45" t="s">
        <v>67</v>
      </c>
      <c r="C66" s="281">
        <f>+C32</f>
        <v>356626000</v>
      </c>
      <c r="D66" s="281">
        <f>+D32</f>
        <v>359741000</v>
      </c>
      <c r="E66" s="281">
        <f>+E32</f>
        <v>341983000</v>
      </c>
    </row>
    <row r="67" spans="1:5" ht="24" customHeight="1" x14ac:dyDescent="0.2">
      <c r="A67" s="17">
        <v>3</v>
      </c>
      <c r="B67" s="45" t="s">
        <v>43</v>
      </c>
      <c r="C67" s="281">
        <v>503315000</v>
      </c>
      <c r="D67" s="281">
        <v>503342000</v>
      </c>
      <c r="E67" s="281">
        <v>508003000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28.8409817665869</v>
      </c>
      <c r="D69" s="284">
        <f>IF(D75=0,0,(D72/D75)*100)</f>
        <v>34.787628577426354</v>
      </c>
      <c r="E69" s="284">
        <f>IF(E75=0,0,(E72/E75)*100)</f>
        <v>25.465077044202001</v>
      </c>
    </row>
    <row r="70" spans="1:5" ht="24" customHeight="1" x14ac:dyDescent="0.2">
      <c r="A70" s="17">
        <v>5</v>
      </c>
      <c r="B70" s="45" t="s">
        <v>358</v>
      </c>
      <c r="C70" s="281">
        <f>+C28</f>
        <v>6827000</v>
      </c>
      <c r="D70" s="281">
        <f>+D28</f>
        <v>8106000</v>
      </c>
      <c r="E70" s="281">
        <f>+E28</f>
        <v>2187000</v>
      </c>
    </row>
    <row r="71" spans="1:5" ht="24" customHeight="1" x14ac:dyDescent="0.2">
      <c r="A71" s="17">
        <v>6</v>
      </c>
      <c r="B71" s="45" t="s">
        <v>347</v>
      </c>
      <c r="C71" s="176">
        <f>+C47</f>
        <v>20411000</v>
      </c>
      <c r="D71" s="176">
        <f>+D47</f>
        <v>21723000</v>
      </c>
      <c r="E71" s="176">
        <f>+E47</f>
        <v>20454000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27238000</v>
      </c>
      <c r="D72" s="281">
        <f>+D70+D71</f>
        <v>29829000</v>
      </c>
      <c r="E72" s="281">
        <f>+E70+E71</f>
        <v>22641000</v>
      </c>
    </row>
    <row r="73" spans="1:5" ht="24" customHeight="1" x14ac:dyDescent="0.2">
      <c r="A73" s="17">
        <v>8</v>
      </c>
      <c r="B73" s="45" t="s">
        <v>54</v>
      </c>
      <c r="C73" s="270">
        <f>+C40</f>
        <v>47177000</v>
      </c>
      <c r="D73" s="270">
        <f>+D40</f>
        <v>40741000</v>
      </c>
      <c r="E73" s="270">
        <f>+E40</f>
        <v>46265000</v>
      </c>
    </row>
    <row r="74" spans="1:5" ht="24" customHeight="1" x14ac:dyDescent="0.2">
      <c r="A74" s="17">
        <v>9</v>
      </c>
      <c r="B74" s="45" t="s">
        <v>58</v>
      </c>
      <c r="C74" s="281">
        <v>47265000</v>
      </c>
      <c r="D74" s="281">
        <v>45005000</v>
      </c>
      <c r="E74" s="281">
        <v>42645000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94442000</v>
      </c>
      <c r="D75" s="270">
        <f>+D73+D74</f>
        <v>85746000</v>
      </c>
      <c r="E75" s="270">
        <f>+E73+E74</f>
        <v>88910000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11.702414760418034</v>
      </c>
      <c r="D77" s="286">
        <f>IF(D80=0,0,(D78/D80)*100)</f>
        <v>11.119319276780994</v>
      </c>
      <c r="E77" s="286">
        <f>IF(E80=0,0,(E78/E80)*100)</f>
        <v>11.0873363353682</v>
      </c>
    </row>
    <row r="78" spans="1:5" ht="24" customHeight="1" x14ac:dyDescent="0.2">
      <c r="A78" s="17">
        <v>12</v>
      </c>
      <c r="B78" s="45" t="s">
        <v>58</v>
      </c>
      <c r="C78" s="270">
        <f>+C74</f>
        <v>47265000</v>
      </c>
      <c r="D78" s="270">
        <f>+D74</f>
        <v>45005000</v>
      </c>
      <c r="E78" s="270">
        <f>+E74</f>
        <v>42645000</v>
      </c>
    </row>
    <row r="79" spans="1:5" ht="24" customHeight="1" x14ac:dyDescent="0.2">
      <c r="A79" s="17">
        <v>13</v>
      </c>
      <c r="B79" s="45" t="s">
        <v>67</v>
      </c>
      <c r="C79" s="270">
        <f>+C32</f>
        <v>356626000</v>
      </c>
      <c r="D79" s="270">
        <f>+D32</f>
        <v>359741000</v>
      </c>
      <c r="E79" s="270">
        <f>+E32</f>
        <v>341983000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403891000</v>
      </c>
      <c r="D80" s="270">
        <f>+D78+D79</f>
        <v>404746000</v>
      </c>
      <c r="E80" s="270">
        <f>+E78+E79</f>
        <v>384628000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34831</v>
      </c>
      <c r="D11" s="296">
        <v>8538</v>
      </c>
      <c r="E11" s="296">
        <v>8081</v>
      </c>
      <c r="F11" s="297">
        <v>129</v>
      </c>
      <c r="G11" s="297">
        <v>129</v>
      </c>
      <c r="H11" s="298">
        <f>IF(F11=0,0,$C11/(F11*365))</f>
        <v>0.73974726558351922</v>
      </c>
      <c r="I11" s="298">
        <f>IF(G11=0,0,$C11/(G11*365))</f>
        <v>0.73974726558351922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2011</v>
      </c>
      <c r="D13" s="296">
        <v>457</v>
      </c>
      <c r="E13" s="296">
        <v>0</v>
      </c>
      <c r="F13" s="297">
        <v>10</v>
      </c>
      <c r="G13" s="297">
        <v>10</v>
      </c>
      <c r="H13" s="298">
        <f>IF(F13=0,0,$C13/(F13*365))</f>
        <v>0.55095890410958903</v>
      </c>
      <c r="I13" s="298">
        <f>IF(G13=0,0,$C13/(G13*365))</f>
        <v>0.55095890410958903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7384</v>
      </c>
      <c r="D21" s="296">
        <v>2311</v>
      </c>
      <c r="E21" s="296">
        <v>2311</v>
      </c>
      <c r="F21" s="297">
        <v>25</v>
      </c>
      <c r="G21" s="297">
        <v>25</v>
      </c>
      <c r="H21" s="298">
        <f>IF(F21=0,0,$C21/(F21*365))</f>
        <v>0.80920547945205479</v>
      </c>
      <c r="I21" s="298">
        <f>IF(G21=0,0,$C21/(G21*365))</f>
        <v>0.80920547945205479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5339</v>
      </c>
      <c r="D23" s="296">
        <v>1945</v>
      </c>
      <c r="E23" s="296">
        <v>1945</v>
      </c>
      <c r="F23" s="297">
        <v>22</v>
      </c>
      <c r="G23" s="297">
        <v>22</v>
      </c>
      <c r="H23" s="298">
        <f>IF(F23=0,0,$C23/(F23*365))</f>
        <v>0.66488169364881688</v>
      </c>
      <c r="I23" s="298">
        <f>IF(G23=0,0,$C23/(G23*365))</f>
        <v>0.66488169364881688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2291</v>
      </c>
      <c r="D25" s="296">
        <v>297</v>
      </c>
      <c r="E25" s="296">
        <v>0</v>
      </c>
      <c r="F25" s="297">
        <v>10</v>
      </c>
      <c r="G25" s="297">
        <v>10</v>
      </c>
      <c r="H25" s="298">
        <f>IF(F25=0,0,$C25/(F25*365))</f>
        <v>0.62767123287671234</v>
      </c>
      <c r="I25" s="298">
        <f>IF(G25=0,0,$C25/(G25*365))</f>
        <v>0.62767123287671234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782</v>
      </c>
      <c r="D27" s="296">
        <v>388</v>
      </c>
      <c r="E27" s="296">
        <v>388</v>
      </c>
      <c r="F27" s="297">
        <v>10</v>
      </c>
      <c r="G27" s="297">
        <v>10</v>
      </c>
      <c r="H27" s="298">
        <f>IF(F27=0,0,$C27/(F27*365))</f>
        <v>0.21424657534246574</v>
      </c>
      <c r="I27" s="298">
        <f>IF(G27=0,0,$C27/(G27*365))</f>
        <v>0.21424657534246574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47299</v>
      </c>
      <c r="D31" s="300">
        <f>SUM(D10:D29)-D13-D17-D23</f>
        <v>11534</v>
      </c>
      <c r="E31" s="300">
        <f>SUM(E10:E29)-E17-E23</f>
        <v>10780</v>
      </c>
      <c r="F31" s="300">
        <f>SUM(F10:F29)-F17-F23</f>
        <v>184</v>
      </c>
      <c r="G31" s="300">
        <f>SUM(G10:G29)-G17-G23</f>
        <v>184</v>
      </c>
      <c r="H31" s="301">
        <f>IF(F31=0,0,$C31/(F31*365))</f>
        <v>0.70427337701012505</v>
      </c>
      <c r="I31" s="301">
        <f>IF(G31=0,0,$C31/(G31*365))</f>
        <v>0.70427337701012505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52638</v>
      </c>
      <c r="D33" s="300">
        <f>SUM(D10:D29)-D13-D17</f>
        <v>13479</v>
      </c>
      <c r="E33" s="300">
        <f>SUM(E10:E29)-E17</f>
        <v>12725</v>
      </c>
      <c r="F33" s="300">
        <f>SUM(F10:F29)-F17</f>
        <v>206</v>
      </c>
      <c r="G33" s="300">
        <f>SUM(G10:G29)-G17</f>
        <v>206</v>
      </c>
      <c r="H33" s="301">
        <f>IF(F33=0,0,$C33/(F33*365))</f>
        <v>0.70006649820454847</v>
      </c>
      <c r="I33" s="301">
        <f>IF(G33=0,0,$C33/(G33*365))</f>
        <v>0.70006649820454847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52638</v>
      </c>
      <c r="D36" s="300">
        <f t="shared" si="1"/>
        <v>13479</v>
      </c>
      <c r="E36" s="300">
        <f t="shared" si="1"/>
        <v>12725</v>
      </c>
      <c r="F36" s="300">
        <f t="shared" si="1"/>
        <v>206</v>
      </c>
      <c r="G36" s="300">
        <f t="shared" si="1"/>
        <v>206</v>
      </c>
      <c r="H36" s="301">
        <f t="shared" si="1"/>
        <v>0.70006649820454847</v>
      </c>
      <c r="I36" s="301">
        <f t="shared" si="1"/>
        <v>0.70006649820454847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53059</v>
      </c>
      <c r="D37" s="300">
        <v>0</v>
      </c>
      <c r="E37" s="300">
        <v>0</v>
      </c>
      <c r="F37" s="302">
        <v>206</v>
      </c>
      <c r="G37" s="302">
        <v>206</v>
      </c>
      <c r="H37" s="301">
        <f>IF(F37=0,0,$C37/(F37*365))</f>
        <v>0.70566564702753021</v>
      </c>
      <c r="I37" s="301">
        <f>IF(G37=0,0,$C37/(G37*365))</f>
        <v>0.70566564702753021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-421</v>
      </c>
      <c r="D38" s="300">
        <f t="shared" si="2"/>
        <v>13479</v>
      </c>
      <c r="E38" s="300">
        <f t="shared" si="2"/>
        <v>12725</v>
      </c>
      <c r="F38" s="300">
        <f t="shared" si="2"/>
        <v>0</v>
      </c>
      <c r="G38" s="300">
        <f t="shared" si="2"/>
        <v>0</v>
      </c>
      <c r="H38" s="301">
        <f t="shared" si="2"/>
        <v>-5.5991488229817366E-3</v>
      </c>
      <c r="I38" s="301">
        <f t="shared" si="2"/>
        <v>-5.5991488229817366E-3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-7.9345634105429802E-3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-7.9345634105429195E-3</v>
      </c>
      <c r="I40" s="148">
        <f t="shared" si="3"/>
        <v>-7.9345634105429195E-3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206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FILING&amp;RGREENWICH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7108</v>
      </c>
      <c r="D12" s="296">
        <v>6095</v>
      </c>
      <c r="E12" s="296">
        <f>+D12-C12</f>
        <v>-1013</v>
      </c>
      <c r="F12" s="316">
        <f>IF(C12=0,0,+E12/C12)</f>
        <v>-0.14251547552054022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6477</v>
      </c>
      <c r="D13" s="296">
        <v>6323</v>
      </c>
      <c r="E13" s="296">
        <f>+D13-C13</f>
        <v>-154</v>
      </c>
      <c r="F13" s="316">
        <f>IF(C13=0,0,+E13/C13)</f>
        <v>-2.3776439709742164E-2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8735</v>
      </c>
      <c r="D14" s="296">
        <v>7014</v>
      </c>
      <c r="E14" s="296">
        <f>+D14-C14</f>
        <v>-1721</v>
      </c>
      <c r="F14" s="316">
        <f>IF(C14=0,0,+E14/C14)</f>
        <v>-0.19702346880366342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885</v>
      </c>
      <c r="D15" s="296">
        <v>609</v>
      </c>
      <c r="E15" s="296">
        <f>+D15-C15</f>
        <v>-276</v>
      </c>
      <c r="F15" s="316">
        <f>IF(C15=0,0,+E15/C15)</f>
        <v>-0.31186440677966104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23205</v>
      </c>
      <c r="D16" s="300">
        <f>SUM(D12:D15)</f>
        <v>20041</v>
      </c>
      <c r="E16" s="300">
        <f>+D16-C16</f>
        <v>-3164</v>
      </c>
      <c r="F16" s="309">
        <f>IF(C16=0,0,+E16/C16)</f>
        <v>-0.13634992458521869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1141</v>
      </c>
      <c r="D19" s="296">
        <v>1240</v>
      </c>
      <c r="E19" s="296">
        <f>+D19-C19</f>
        <v>99</v>
      </c>
      <c r="F19" s="316">
        <f>IF(C19=0,0,+E19/C19)</f>
        <v>8.6765994741454869E-2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4729</v>
      </c>
      <c r="D20" s="296">
        <v>5309</v>
      </c>
      <c r="E20" s="296">
        <f>+D20-C20</f>
        <v>580</v>
      </c>
      <c r="F20" s="316">
        <f>IF(C20=0,0,+E20/C20)</f>
        <v>0.12264749418481709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112</v>
      </c>
      <c r="D21" s="296">
        <v>115</v>
      </c>
      <c r="E21" s="296">
        <f>+D21-C21</f>
        <v>3</v>
      </c>
      <c r="F21" s="316">
        <f>IF(C21=0,0,+E21/C21)</f>
        <v>2.6785714285714284E-2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1600</v>
      </c>
      <c r="D22" s="296">
        <v>1962</v>
      </c>
      <c r="E22" s="296">
        <f>+D22-C22</f>
        <v>362</v>
      </c>
      <c r="F22" s="316">
        <f>IF(C22=0,0,+E22/C22)</f>
        <v>0.22625000000000001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7582</v>
      </c>
      <c r="D23" s="300">
        <f>SUM(D19:D22)</f>
        <v>8626</v>
      </c>
      <c r="E23" s="300">
        <f>+D23-C23</f>
        <v>1044</v>
      </c>
      <c r="F23" s="309">
        <f>IF(C23=0,0,+E23/C23)</f>
        <v>0.1376945396992878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2</v>
      </c>
      <c r="D27" s="296">
        <v>3</v>
      </c>
      <c r="E27" s="296">
        <f>+D27-C27</f>
        <v>1</v>
      </c>
      <c r="F27" s="316">
        <f>IF(C27=0,0,+E27/C27)</f>
        <v>0.5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2</v>
      </c>
      <c r="D30" s="300">
        <f>SUM(D26:D29)</f>
        <v>3</v>
      </c>
      <c r="E30" s="300">
        <f>+D30-C30</f>
        <v>1</v>
      </c>
      <c r="F30" s="309">
        <f>IF(C30=0,0,+E30/C30)</f>
        <v>0.5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23</v>
      </c>
      <c r="D33" s="296">
        <v>31</v>
      </c>
      <c r="E33" s="296">
        <f>+D33-C33</f>
        <v>8</v>
      </c>
      <c r="F33" s="316">
        <f>IF(C33=0,0,+E33/C33)</f>
        <v>0.34782608695652173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800</v>
      </c>
      <c r="D34" s="296">
        <v>764</v>
      </c>
      <c r="E34" s="296">
        <f>+D34-C34</f>
        <v>-36</v>
      </c>
      <c r="F34" s="316">
        <f>IF(C34=0,0,+E34/C34)</f>
        <v>-4.4999999999999998E-2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823</v>
      </c>
      <c r="D37" s="300">
        <f>SUM(D33:D36)</f>
        <v>795</v>
      </c>
      <c r="E37" s="300">
        <f>+D37-C37</f>
        <v>-28</v>
      </c>
      <c r="F37" s="309">
        <f>IF(C37=0,0,+E37/C37)</f>
        <v>-3.4021871202916158E-2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277</v>
      </c>
      <c r="D43" s="296">
        <v>186</v>
      </c>
      <c r="E43" s="296">
        <f>+D43-C43</f>
        <v>-91</v>
      </c>
      <c r="F43" s="316">
        <f>IF(C43=0,0,+E43/C43)</f>
        <v>-0.32851985559566788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5195</v>
      </c>
      <c r="D44" s="296">
        <v>5855</v>
      </c>
      <c r="E44" s="296">
        <f>+D44-C44</f>
        <v>660</v>
      </c>
      <c r="F44" s="316">
        <f>IF(C44=0,0,+E44/C44)</f>
        <v>0.12704523580365737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5472</v>
      </c>
      <c r="D45" s="300">
        <f>SUM(D43:D44)</f>
        <v>6041</v>
      </c>
      <c r="E45" s="300">
        <f>+D45-C45</f>
        <v>569</v>
      </c>
      <c r="F45" s="309">
        <f>IF(C45=0,0,+E45/C45)</f>
        <v>0.10398391812865497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162</v>
      </c>
      <c r="D48" s="296">
        <v>190</v>
      </c>
      <c r="E48" s="296">
        <f>+D48-C48</f>
        <v>28</v>
      </c>
      <c r="F48" s="316">
        <f>IF(C48=0,0,+E48/C48)</f>
        <v>0.1728395061728395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103</v>
      </c>
      <c r="D49" s="296">
        <v>80</v>
      </c>
      <c r="E49" s="296">
        <f>+D49-C49</f>
        <v>-23</v>
      </c>
      <c r="F49" s="316">
        <f>IF(C49=0,0,+E49/C49)</f>
        <v>-0.22330097087378642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265</v>
      </c>
      <c r="D50" s="300">
        <f>SUM(D48:D49)</f>
        <v>270</v>
      </c>
      <c r="E50" s="300">
        <f>+D50-C50</f>
        <v>5</v>
      </c>
      <c r="F50" s="309">
        <f>IF(C50=0,0,+E50/C50)</f>
        <v>1.8867924528301886E-2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33</v>
      </c>
      <c r="D53" s="296">
        <v>38</v>
      </c>
      <c r="E53" s="296">
        <f>+D53-C53</f>
        <v>5</v>
      </c>
      <c r="F53" s="316">
        <f>IF(C53=0,0,+E53/C53)</f>
        <v>0.15151515151515152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33</v>
      </c>
      <c r="D55" s="300">
        <f>SUM(D53:D54)</f>
        <v>38</v>
      </c>
      <c r="E55" s="300">
        <f>+D55-C55</f>
        <v>5</v>
      </c>
      <c r="F55" s="309">
        <f>IF(C55=0,0,+E55/C55)</f>
        <v>0.15151515151515152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2</v>
      </c>
      <c r="D58" s="296">
        <v>6</v>
      </c>
      <c r="E58" s="296">
        <f>+D58-C58</f>
        <v>4</v>
      </c>
      <c r="F58" s="316">
        <f>IF(C58=0,0,+E58/C58)</f>
        <v>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2</v>
      </c>
      <c r="D59" s="296">
        <v>2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4</v>
      </c>
      <c r="D60" s="300">
        <f>SUM(D58:D59)</f>
        <v>8</v>
      </c>
      <c r="E60" s="300">
        <f>SUM(E58:E59)</f>
        <v>4</v>
      </c>
      <c r="F60" s="309">
        <f>IF(C60=0,0,+E60/C60)</f>
        <v>1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2706</v>
      </c>
      <c r="D63" s="296">
        <v>2608</v>
      </c>
      <c r="E63" s="296">
        <f>+D63-C63</f>
        <v>-98</v>
      </c>
      <c r="F63" s="316">
        <f>IF(C63=0,0,+E63/C63)</f>
        <v>-3.6215816703621583E-2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7219</v>
      </c>
      <c r="D64" s="296">
        <v>6539</v>
      </c>
      <c r="E64" s="296">
        <f>+D64-C64</f>
        <v>-680</v>
      </c>
      <c r="F64" s="316">
        <f>IF(C64=0,0,+E64/C64)</f>
        <v>-9.4195872004432746E-2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9925</v>
      </c>
      <c r="D65" s="300">
        <f>SUM(D63:D64)</f>
        <v>9147</v>
      </c>
      <c r="E65" s="300">
        <f>+D65-C65</f>
        <v>-778</v>
      </c>
      <c r="F65" s="309">
        <f>IF(C65=0,0,+E65/C65)</f>
        <v>-7.8387909319899238E-2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551</v>
      </c>
      <c r="D68" s="296">
        <v>478</v>
      </c>
      <c r="E68" s="296">
        <f>+D68-C68</f>
        <v>-73</v>
      </c>
      <c r="F68" s="316">
        <f>IF(C68=0,0,+E68/C68)</f>
        <v>-0.13248638838475499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3086</v>
      </c>
      <c r="D69" s="296">
        <v>2658</v>
      </c>
      <c r="E69" s="296">
        <f>+D69-C69</f>
        <v>-428</v>
      </c>
      <c r="F69" s="318">
        <f>IF(C69=0,0,+E69/C69)</f>
        <v>-0.13869086195722619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3637</v>
      </c>
      <c r="D70" s="300">
        <f>SUM(D68:D69)</f>
        <v>3136</v>
      </c>
      <c r="E70" s="300">
        <f>+D70-C70</f>
        <v>-501</v>
      </c>
      <c r="F70" s="309">
        <f>IF(C70=0,0,+E70/C70)</f>
        <v>-0.13775089359362111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7764</v>
      </c>
      <c r="D73" s="319">
        <v>7715</v>
      </c>
      <c r="E73" s="296">
        <f>+D73-C73</f>
        <v>-49</v>
      </c>
      <c r="F73" s="316">
        <f>IF(C73=0,0,+E73/C73)</f>
        <v>-6.3111798042246262E-3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34887</v>
      </c>
      <c r="D74" s="319">
        <v>35170</v>
      </c>
      <c r="E74" s="296">
        <f>+D74-C74</f>
        <v>283</v>
      </c>
      <c r="F74" s="316">
        <f>IF(C74=0,0,+E74/C74)</f>
        <v>8.1119041476767854E-3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42651</v>
      </c>
      <c r="D75" s="300">
        <f>SUM(D73:D74)</f>
        <v>42885</v>
      </c>
      <c r="E75" s="300">
        <f>SUM(E73:E74)</f>
        <v>234</v>
      </c>
      <c r="F75" s="309">
        <f>IF(C75=0,0,+E75/C75)</f>
        <v>5.4863895336568899E-3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6492</v>
      </c>
      <c r="D79" s="319">
        <v>6542</v>
      </c>
      <c r="E79" s="296">
        <f t="shared" ref="E79:E84" si="0">+D79-C79</f>
        <v>50</v>
      </c>
      <c r="F79" s="316">
        <f t="shared" ref="F79:F84" si="1">IF(C79=0,0,+E79/C79)</f>
        <v>7.7017868145409733E-3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2598</v>
      </c>
      <c r="D80" s="319">
        <v>2420</v>
      </c>
      <c r="E80" s="296">
        <f t="shared" si="0"/>
        <v>-178</v>
      </c>
      <c r="F80" s="316">
        <f t="shared" si="1"/>
        <v>-6.8514241724403388E-2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8092</v>
      </c>
      <c r="D81" s="319">
        <v>6876</v>
      </c>
      <c r="E81" s="296">
        <f t="shared" si="0"/>
        <v>-1216</v>
      </c>
      <c r="F81" s="316">
        <f t="shared" si="1"/>
        <v>-0.15027187345526447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10496</v>
      </c>
      <c r="D82" s="319">
        <v>10377</v>
      </c>
      <c r="E82" s="296">
        <f t="shared" si="0"/>
        <v>-119</v>
      </c>
      <c r="F82" s="316">
        <f t="shared" si="1"/>
        <v>-1.133765243902439E-2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4290</v>
      </c>
      <c r="D83" s="319">
        <v>3974</v>
      </c>
      <c r="E83" s="296">
        <f t="shared" si="0"/>
        <v>-316</v>
      </c>
      <c r="F83" s="316">
        <f t="shared" si="1"/>
        <v>-7.3659673659673658E-2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31968</v>
      </c>
      <c r="D84" s="320">
        <f>SUM(D79:D83)</f>
        <v>30189</v>
      </c>
      <c r="E84" s="300">
        <f t="shared" si="0"/>
        <v>-1779</v>
      </c>
      <c r="F84" s="309">
        <f t="shared" si="1"/>
        <v>-5.5649399399399398E-2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33960</v>
      </c>
      <c r="D87" s="322">
        <v>32580</v>
      </c>
      <c r="E87" s="323">
        <f t="shared" ref="E87:E92" si="2">+D87-C87</f>
        <v>-1380</v>
      </c>
      <c r="F87" s="318">
        <f t="shared" ref="F87:F92" si="3">IF(C87=0,0,+E87/C87)</f>
        <v>-4.0636042402826852E-2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2687</v>
      </c>
      <c r="D88" s="322">
        <v>2713</v>
      </c>
      <c r="E88" s="296">
        <f t="shared" si="2"/>
        <v>26</v>
      </c>
      <c r="F88" s="316">
        <f t="shared" si="3"/>
        <v>9.6762188314104946E-3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36350</v>
      </c>
      <c r="D89" s="322">
        <v>44337</v>
      </c>
      <c r="E89" s="296">
        <f t="shared" si="2"/>
        <v>7987</v>
      </c>
      <c r="F89" s="316">
        <f t="shared" si="3"/>
        <v>0.2197248968363136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1589</v>
      </c>
      <c r="D90" s="322">
        <v>1374</v>
      </c>
      <c r="E90" s="296">
        <f t="shared" si="2"/>
        <v>-215</v>
      </c>
      <c r="F90" s="316">
        <f t="shared" si="3"/>
        <v>-0.13530522341095028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236633</v>
      </c>
      <c r="D91" s="322">
        <v>203345</v>
      </c>
      <c r="E91" s="296">
        <f t="shared" si="2"/>
        <v>-33288</v>
      </c>
      <c r="F91" s="316">
        <f t="shared" si="3"/>
        <v>-0.14067353243207836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311219</v>
      </c>
      <c r="D92" s="320">
        <f>SUM(D87:D91)</f>
        <v>284349</v>
      </c>
      <c r="E92" s="300">
        <f t="shared" si="2"/>
        <v>-26870</v>
      </c>
      <c r="F92" s="309">
        <f t="shared" si="3"/>
        <v>-8.6337916386852981E-2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351.9</v>
      </c>
      <c r="D96" s="325">
        <v>361.7</v>
      </c>
      <c r="E96" s="326">
        <f>+D96-C96</f>
        <v>9.8000000000000114</v>
      </c>
      <c r="F96" s="316">
        <f>IF(C96=0,0,+E96/C96)</f>
        <v>2.78488206876954E-2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51.3</v>
      </c>
      <c r="D97" s="325">
        <v>61.7</v>
      </c>
      <c r="E97" s="326">
        <f>+D97-C97</f>
        <v>10.400000000000006</v>
      </c>
      <c r="F97" s="316">
        <f>IF(C97=0,0,+E97/C97)</f>
        <v>0.20272904483430812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1058.5</v>
      </c>
      <c r="D98" s="325">
        <v>1189.5999999999999</v>
      </c>
      <c r="E98" s="326">
        <f>+D98-C98</f>
        <v>131.09999999999991</v>
      </c>
      <c r="F98" s="316">
        <f>IF(C98=0,0,+E98/C98)</f>
        <v>0.12385451110061399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1461.7</v>
      </c>
      <c r="D99" s="327">
        <f>SUM(D96:D98)</f>
        <v>1613</v>
      </c>
      <c r="E99" s="327">
        <f>+D99-C99</f>
        <v>151.29999999999995</v>
      </c>
      <c r="F99" s="309">
        <f>IF(C99=0,0,+E99/C99)</f>
        <v>0.1035096120955052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FILING&amp;RGREENWICH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5855</v>
      </c>
      <c r="D12" s="296">
        <v>5133</v>
      </c>
      <c r="E12" s="296">
        <f>+D12-C12</f>
        <v>-722</v>
      </c>
      <c r="F12" s="316">
        <f>IF(C12=0,0,+E12/C12)</f>
        <v>-0.12331340734415031</v>
      </c>
    </row>
    <row r="13" spans="1:16" ht="15.75" customHeight="1" x14ac:dyDescent="0.2">
      <c r="A13" s="294">
        <v>2</v>
      </c>
      <c r="B13" s="295" t="s">
        <v>589</v>
      </c>
      <c r="C13" s="296">
        <v>1364</v>
      </c>
      <c r="D13" s="296">
        <v>1406</v>
      </c>
      <c r="E13" s="296">
        <f>+D13-C13</f>
        <v>42</v>
      </c>
      <c r="F13" s="316">
        <f>IF(C13=0,0,+E13/C13)</f>
        <v>3.0791788856304986E-2</v>
      </c>
    </row>
    <row r="14" spans="1:16" ht="15.75" customHeight="1" x14ac:dyDescent="0.25">
      <c r="A14" s="294"/>
      <c r="B14" s="135" t="s">
        <v>590</v>
      </c>
      <c r="C14" s="300">
        <f>SUM(C11:C13)</f>
        <v>7219</v>
      </c>
      <c r="D14" s="300">
        <f>SUM(D11:D13)</f>
        <v>6539</v>
      </c>
      <c r="E14" s="300">
        <f>+D14-C14</f>
        <v>-680</v>
      </c>
      <c r="F14" s="309">
        <f>IF(C14=0,0,+E14/C14)</f>
        <v>-9.4195872004432746E-2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588</v>
      </c>
      <c r="C17" s="296">
        <v>336</v>
      </c>
      <c r="D17" s="296">
        <v>396</v>
      </c>
      <c r="E17" s="296">
        <f>+D17-C17</f>
        <v>60</v>
      </c>
      <c r="F17" s="316">
        <f>IF(C17=0,0,+E17/C17)</f>
        <v>0.17857142857142858</v>
      </c>
    </row>
    <row r="18" spans="1:6" ht="15.75" customHeight="1" x14ac:dyDescent="0.2">
      <c r="A18" s="294">
        <v>2</v>
      </c>
      <c r="B18" s="295" t="s">
        <v>591</v>
      </c>
      <c r="C18" s="296">
        <v>2750</v>
      </c>
      <c r="D18" s="296">
        <v>2262</v>
      </c>
      <c r="E18" s="296">
        <f>+D18-C18</f>
        <v>-488</v>
      </c>
      <c r="F18" s="316">
        <f>IF(C18=0,0,+E18/C18)</f>
        <v>-0.17745454545454545</v>
      </c>
    </row>
    <row r="19" spans="1:6" ht="15.75" customHeight="1" x14ac:dyDescent="0.25">
      <c r="A19" s="294"/>
      <c r="B19" s="135" t="s">
        <v>592</v>
      </c>
      <c r="C19" s="300">
        <f>SUM(C16:C18)</f>
        <v>3086</v>
      </c>
      <c r="D19" s="300">
        <f>SUM(D16:D18)</f>
        <v>2658</v>
      </c>
      <c r="E19" s="300">
        <f>+D19-C19</f>
        <v>-428</v>
      </c>
      <c r="F19" s="309">
        <f>IF(C19=0,0,+E19/C19)</f>
        <v>-0.13869086195722619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593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594</v>
      </c>
      <c r="C22" s="296">
        <v>34887</v>
      </c>
      <c r="D22" s="296">
        <v>35170</v>
      </c>
      <c r="E22" s="296">
        <f>+D22-C22</f>
        <v>283</v>
      </c>
      <c r="F22" s="316">
        <f>IF(C22=0,0,+E22/C22)</f>
        <v>8.1119041476767854E-3</v>
      </c>
    </row>
    <row r="23" spans="1:6" ht="15.75" customHeight="1" x14ac:dyDescent="0.25">
      <c r="A23" s="294"/>
      <c r="B23" s="135" t="s">
        <v>595</v>
      </c>
      <c r="C23" s="300">
        <f>SUM(C21:C22)</f>
        <v>34887</v>
      </c>
      <c r="D23" s="300">
        <f>SUM(D21:D22)</f>
        <v>35170</v>
      </c>
      <c r="E23" s="300">
        <f>+D23-C23</f>
        <v>283</v>
      </c>
      <c r="F23" s="309">
        <f>IF(C23=0,0,+E23/C23)</f>
        <v>8.1119041476767854E-3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596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597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598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FILING&amp;RGREENWICH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601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603</v>
      </c>
      <c r="D7" s="341" t="s">
        <v>603</v>
      </c>
      <c r="E7" s="341" t="s">
        <v>604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605</v>
      </c>
      <c r="D8" s="344" t="s">
        <v>606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610</v>
      </c>
      <c r="C15" s="361">
        <v>210495804</v>
      </c>
      <c r="D15" s="361">
        <v>220470561</v>
      </c>
      <c r="E15" s="361">
        <f t="shared" ref="E15:E24" si="0">D15-C15</f>
        <v>9974757</v>
      </c>
      <c r="F15" s="362">
        <f t="shared" ref="F15:F24" si="1">IF(C15=0,0,E15/C15)</f>
        <v>4.7386963590020065E-2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611</v>
      </c>
      <c r="C16" s="361">
        <v>52168576</v>
      </c>
      <c r="D16" s="361">
        <v>52061988</v>
      </c>
      <c r="E16" s="361">
        <f t="shared" si="0"/>
        <v>-106588</v>
      </c>
      <c r="F16" s="362">
        <f t="shared" si="1"/>
        <v>-2.0431456668474142E-3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612</v>
      </c>
      <c r="C17" s="366">
        <f>IF(C15=0,0,C16/C15)</f>
        <v>0.24783665521427686</v>
      </c>
      <c r="D17" s="366">
        <f>IF(LN_IA1=0,0,LN_IA2/LN_IA1)</f>
        <v>0.23614031625746168</v>
      </c>
      <c r="E17" s="367">
        <f t="shared" si="0"/>
        <v>-1.1696338956815183E-2</v>
      </c>
      <c r="F17" s="362">
        <f t="shared" si="1"/>
        <v>-4.7193741162713222E-2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5269</v>
      </c>
      <c r="D18" s="369">
        <v>5255</v>
      </c>
      <c r="E18" s="369">
        <f t="shared" si="0"/>
        <v>-14</v>
      </c>
      <c r="F18" s="362">
        <f t="shared" si="1"/>
        <v>-2.657050673752135E-3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613</v>
      </c>
      <c r="C19" s="372">
        <v>1.4205000000000001</v>
      </c>
      <c r="D19" s="372">
        <v>1.4139999999999999</v>
      </c>
      <c r="E19" s="373">
        <f t="shared" si="0"/>
        <v>-6.5000000000001723E-3</v>
      </c>
      <c r="F19" s="362">
        <f t="shared" si="1"/>
        <v>-4.575853572685795E-3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614</v>
      </c>
      <c r="C20" s="376">
        <f>C18*C19</f>
        <v>7484.6145000000006</v>
      </c>
      <c r="D20" s="376">
        <f>LN_IA4*LN_IA5</f>
        <v>7430.57</v>
      </c>
      <c r="E20" s="376">
        <f t="shared" si="0"/>
        <v>-54.04450000000088</v>
      </c>
      <c r="F20" s="362">
        <f t="shared" si="1"/>
        <v>-7.2207459716196309E-3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615</v>
      </c>
      <c r="C21" s="378">
        <f>IF(C20=0,0,C16/C20)</f>
        <v>6970.1086141443884</v>
      </c>
      <c r="D21" s="378">
        <f>IF(LN_IA6=0,0,LN_IA2/LN_IA6)</f>
        <v>7006.4595313683876</v>
      </c>
      <c r="E21" s="378">
        <f t="shared" si="0"/>
        <v>36.350917223999204</v>
      </c>
      <c r="F21" s="362">
        <f t="shared" si="1"/>
        <v>5.2152583605702451E-3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25222</v>
      </c>
      <c r="D22" s="369">
        <v>25128</v>
      </c>
      <c r="E22" s="369">
        <f t="shared" si="0"/>
        <v>-94</v>
      </c>
      <c r="F22" s="362">
        <f t="shared" si="1"/>
        <v>-3.726905082864166E-3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616</v>
      </c>
      <c r="C23" s="378">
        <f>IF(C22=0,0,C16/C22)</f>
        <v>2068.3758623423996</v>
      </c>
      <c r="D23" s="378">
        <f>IF(LN_IA8=0,0,LN_IA2/LN_IA8)</f>
        <v>2071.8715377268386</v>
      </c>
      <c r="E23" s="378">
        <f t="shared" si="0"/>
        <v>3.4956753844389823</v>
      </c>
      <c r="F23" s="362">
        <f t="shared" si="1"/>
        <v>1.6900581021479291E-3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617</v>
      </c>
      <c r="C24" s="379">
        <f>IF(C18=0,0,C22/C18)</f>
        <v>4.7868665780983113</v>
      </c>
      <c r="D24" s="379">
        <f>IF(LN_IA4=0,0,LN_IA8/LN_IA4)</f>
        <v>4.7817316841103708</v>
      </c>
      <c r="E24" s="379">
        <f t="shared" si="0"/>
        <v>-5.1348939879405364E-3</v>
      </c>
      <c r="F24" s="362">
        <f t="shared" si="1"/>
        <v>-1.0727046396978306E-3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619</v>
      </c>
      <c r="C27" s="361">
        <v>130242934</v>
      </c>
      <c r="D27" s="361">
        <v>144536486</v>
      </c>
      <c r="E27" s="361">
        <f t="shared" ref="E27:E32" si="2">D27-C27</f>
        <v>14293552</v>
      </c>
      <c r="F27" s="362">
        <f t="shared" ref="F27:F32" si="3">IF(C27=0,0,E27/C27)</f>
        <v>0.10974531639466906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620</v>
      </c>
      <c r="C28" s="361">
        <v>22736943</v>
      </c>
      <c r="D28" s="361">
        <v>26007621</v>
      </c>
      <c r="E28" s="361">
        <f t="shared" si="2"/>
        <v>3270678</v>
      </c>
      <c r="F28" s="362">
        <f t="shared" si="3"/>
        <v>0.14384862556061295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621</v>
      </c>
      <c r="C29" s="366">
        <f>IF(C27=0,0,C28/C27)</f>
        <v>0.17457333232373282</v>
      </c>
      <c r="D29" s="366">
        <f>IF(LN_IA11=0,0,LN_IA12/LN_IA11)</f>
        <v>0.17993810227266768</v>
      </c>
      <c r="E29" s="367">
        <f t="shared" si="2"/>
        <v>5.3647699489348666E-3</v>
      </c>
      <c r="F29" s="362">
        <f t="shared" si="3"/>
        <v>3.0730752959371329E-2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622</v>
      </c>
      <c r="C30" s="366">
        <f>IF(C15=0,0,C27/C15)</f>
        <v>0.61874361163037717</v>
      </c>
      <c r="D30" s="366">
        <f>IF(LN_IA1=0,0,LN_IA11/LN_IA1)</f>
        <v>0.65558179443286313</v>
      </c>
      <c r="E30" s="367">
        <f t="shared" si="2"/>
        <v>3.6838182802485964E-2</v>
      </c>
      <c r="F30" s="362">
        <f t="shared" si="3"/>
        <v>5.9537071753222766E-2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623</v>
      </c>
      <c r="C31" s="376">
        <f>C30*C18</f>
        <v>3260.1600896804571</v>
      </c>
      <c r="D31" s="376">
        <f>LN_IA14*LN_IA4</f>
        <v>3445.0823297446959</v>
      </c>
      <c r="E31" s="376">
        <f t="shared" si="2"/>
        <v>184.92224006423885</v>
      </c>
      <c r="F31" s="362">
        <f t="shared" si="3"/>
        <v>5.6721828062855618E-2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624</v>
      </c>
      <c r="C32" s="378">
        <f>IF(C31=0,0,C28/C31)</f>
        <v>6974.1799097444173</v>
      </c>
      <c r="D32" s="378">
        <f>IF(LN_IA15=0,0,LN_IA12/LN_IA15)</f>
        <v>7549.2015895966533</v>
      </c>
      <c r="E32" s="378">
        <f t="shared" si="2"/>
        <v>575.02167985223605</v>
      </c>
      <c r="F32" s="362">
        <f t="shared" si="3"/>
        <v>8.2450078330902829E-2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626</v>
      </c>
      <c r="C35" s="361">
        <f>C15+C27</f>
        <v>340738738</v>
      </c>
      <c r="D35" s="361">
        <f>LN_IA1+LN_IA11</f>
        <v>365007047</v>
      </c>
      <c r="E35" s="361">
        <f>D35-C35</f>
        <v>24268309</v>
      </c>
      <c r="F35" s="362">
        <f>IF(C35=0,0,E35/C35)</f>
        <v>7.1222629814400501E-2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627</v>
      </c>
      <c r="C36" s="361">
        <f>C16+C28</f>
        <v>74905519</v>
      </c>
      <c r="D36" s="361">
        <f>LN_IA2+LN_IA12</f>
        <v>78069609</v>
      </c>
      <c r="E36" s="361">
        <f>D36-C36</f>
        <v>3164090</v>
      </c>
      <c r="F36" s="362">
        <f>IF(C36=0,0,E36/C36)</f>
        <v>4.2241079726047959E-2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628</v>
      </c>
      <c r="C37" s="361">
        <f>C35-C36</f>
        <v>265833219</v>
      </c>
      <c r="D37" s="361">
        <f>LN_IA17-LN_IA18</f>
        <v>286937438</v>
      </c>
      <c r="E37" s="361">
        <f>D37-C37</f>
        <v>21104219</v>
      </c>
      <c r="F37" s="362">
        <f>IF(C37=0,0,E37/C37)</f>
        <v>7.9388945743458797E-2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610</v>
      </c>
      <c r="C42" s="361">
        <v>178027564</v>
      </c>
      <c r="D42" s="361">
        <v>180120722</v>
      </c>
      <c r="E42" s="361">
        <f t="shared" ref="E42:E53" si="4">D42-C42</f>
        <v>2093158</v>
      </c>
      <c r="F42" s="362">
        <f t="shared" ref="F42:F53" si="5">IF(C42=0,0,E42/C42)</f>
        <v>1.1757493912571877E-2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611</v>
      </c>
      <c r="C43" s="361">
        <v>69954026</v>
      </c>
      <c r="D43" s="361">
        <v>74166562</v>
      </c>
      <c r="E43" s="361">
        <f t="shared" si="4"/>
        <v>4212536</v>
      </c>
      <c r="F43" s="362">
        <f t="shared" si="5"/>
        <v>6.0218635593611153E-2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612</v>
      </c>
      <c r="C44" s="366">
        <f>IF(C42=0,0,C43/C42)</f>
        <v>0.39293929787187337</v>
      </c>
      <c r="D44" s="366">
        <f>IF(LN_IB1=0,0,LN_IB2/LN_IB1)</f>
        <v>0.41176029707453649</v>
      </c>
      <c r="E44" s="367">
        <f t="shared" si="4"/>
        <v>1.8820999202663113E-2</v>
      </c>
      <c r="F44" s="362">
        <f t="shared" si="5"/>
        <v>4.7897981455649975E-2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7582</v>
      </c>
      <c r="D45" s="369">
        <v>7441</v>
      </c>
      <c r="E45" s="369">
        <f t="shared" si="4"/>
        <v>-141</v>
      </c>
      <c r="F45" s="362">
        <f t="shared" si="5"/>
        <v>-1.8596676338696914E-2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613</v>
      </c>
      <c r="C46" s="372">
        <v>0.87150000000000005</v>
      </c>
      <c r="D46" s="372">
        <v>0.94159999999999999</v>
      </c>
      <c r="E46" s="373">
        <f t="shared" si="4"/>
        <v>7.009999999999994E-2</v>
      </c>
      <c r="F46" s="362">
        <f t="shared" si="5"/>
        <v>8.0436029833620123E-2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614</v>
      </c>
      <c r="C47" s="376">
        <f>C45*C46</f>
        <v>6607.7130000000006</v>
      </c>
      <c r="D47" s="376">
        <f>LN_IB4*LN_IB5</f>
        <v>7006.4456</v>
      </c>
      <c r="E47" s="376">
        <f t="shared" si="4"/>
        <v>398.73259999999937</v>
      </c>
      <c r="F47" s="362">
        <f t="shared" si="5"/>
        <v>6.0343510682137579E-2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615</v>
      </c>
      <c r="C48" s="378">
        <f>IF(C47=0,0,C43/C47)</f>
        <v>10586.722819226561</v>
      </c>
      <c r="D48" s="378">
        <f>IF(LN_IB6=0,0,LN_IB2/LN_IB6)</f>
        <v>10585.476036522712</v>
      </c>
      <c r="E48" s="378">
        <f t="shared" si="4"/>
        <v>-1.2467827038490213</v>
      </c>
      <c r="F48" s="362">
        <f t="shared" si="5"/>
        <v>-1.1776852243498221E-4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631</v>
      </c>
      <c r="C49" s="378">
        <f>C21-C48</f>
        <v>-3616.6142050821727</v>
      </c>
      <c r="D49" s="378">
        <f>LN_IA7-LN_IB7</f>
        <v>-3579.0165051543245</v>
      </c>
      <c r="E49" s="378">
        <f t="shared" si="4"/>
        <v>37.597699927848225</v>
      </c>
      <c r="F49" s="362">
        <f t="shared" si="5"/>
        <v>-1.0395828196166135E-2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632</v>
      </c>
      <c r="C50" s="391">
        <f>C49*C47</f>
        <v>-23897548.698906142</v>
      </c>
      <c r="D50" s="391">
        <f>LN_IB8*LN_IB6</f>
        <v>-25076184.444865894</v>
      </c>
      <c r="E50" s="391">
        <f t="shared" si="4"/>
        <v>-1178635.7459597513</v>
      </c>
      <c r="F50" s="362">
        <f t="shared" si="5"/>
        <v>4.9320361716166342E-2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24620</v>
      </c>
      <c r="D51" s="369">
        <v>24155</v>
      </c>
      <c r="E51" s="369">
        <f t="shared" si="4"/>
        <v>-465</v>
      </c>
      <c r="F51" s="362">
        <f t="shared" si="5"/>
        <v>-1.8887083671811536E-2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616</v>
      </c>
      <c r="C52" s="378">
        <f>IF(C51=0,0,C43/C51)</f>
        <v>2841.3495532087732</v>
      </c>
      <c r="D52" s="378">
        <f>IF(LN_IB10=0,0,LN_IB2/LN_IB10)</f>
        <v>3070.4434692610225</v>
      </c>
      <c r="E52" s="378">
        <f t="shared" si="4"/>
        <v>229.09391605224937</v>
      </c>
      <c r="F52" s="362">
        <f t="shared" si="5"/>
        <v>8.0628557578750079E-2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617</v>
      </c>
      <c r="C53" s="379">
        <f>IF(C45=0,0,C51/C45)</f>
        <v>3.2471643365866525</v>
      </c>
      <c r="D53" s="379">
        <f>IF(LN_IB4=0,0,LN_IB10/LN_IB4)</f>
        <v>3.2462034672759037</v>
      </c>
      <c r="E53" s="379">
        <f t="shared" si="4"/>
        <v>-9.6086931074879089E-4</v>
      </c>
      <c r="F53" s="362">
        <f t="shared" si="5"/>
        <v>-2.9591028083254806E-4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619</v>
      </c>
      <c r="C56" s="361">
        <v>338694849</v>
      </c>
      <c r="D56" s="361">
        <v>348211695</v>
      </c>
      <c r="E56" s="361">
        <f t="shared" ref="E56:E63" si="6">D56-C56</f>
        <v>9516846</v>
      </c>
      <c r="F56" s="362">
        <f t="shared" ref="F56:F63" si="7">IF(C56=0,0,E56/C56)</f>
        <v>2.8098584989109179E-2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620</v>
      </c>
      <c r="C57" s="361">
        <v>116973107</v>
      </c>
      <c r="D57" s="361">
        <v>129105273</v>
      </c>
      <c r="E57" s="361">
        <f t="shared" si="6"/>
        <v>12132166</v>
      </c>
      <c r="F57" s="362">
        <f t="shared" si="7"/>
        <v>0.10371756646593991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621</v>
      </c>
      <c r="C58" s="366">
        <f>IF(C56=0,0,C57/C56)</f>
        <v>0.34536429280033132</v>
      </c>
      <c r="D58" s="366">
        <f>IF(LN_IB13=0,0,LN_IB14/LN_IB13)</f>
        <v>0.37076661942672545</v>
      </c>
      <c r="E58" s="367">
        <f t="shared" si="6"/>
        <v>2.5402326626394134E-2</v>
      </c>
      <c r="F58" s="362">
        <f t="shared" si="7"/>
        <v>7.3552266855451146E-2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622</v>
      </c>
      <c r="C59" s="366">
        <f>IF(C42=0,0,C56/C42)</f>
        <v>1.9024854432092324</v>
      </c>
      <c r="D59" s="366">
        <f>IF(LN_IB1=0,0,LN_IB13/LN_IB1)</f>
        <v>1.9332128537659314</v>
      </c>
      <c r="E59" s="367">
        <f t="shared" si="6"/>
        <v>3.0727410556699031E-2</v>
      </c>
      <c r="F59" s="362">
        <f t="shared" si="7"/>
        <v>1.6151193517079478E-2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623</v>
      </c>
      <c r="C60" s="376">
        <f>C59*C45</f>
        <v>14424.6446304124</v>
      </c>
      <c r="D60" s="376">
        <f>LN_IB16*LN_IB4</f>
        <v>14385.036844872297</v>
      </c>
      <c r="E60" s="376">
        <f t="shared" si="6"/>
        <v>-39.607785540103578</v>
      </c>
      <c r="F60" s="362">
        <f t="shared" si="7"/>
        <v>-2.7458413399381746E-3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624</v>
      </c>
      <c r="C61" s="378">
        <f>IF(C60=0,0,C57/C60)</f>
        <v>8109.2539883705786</v>
      </c>
      <c r="D61" s="378">
        <f>IF(LN_IB17=0,0,LN_IB14/LN_IB17)</f>
        <v>8974.9699213332897</v>
      </c>
      <c r="E61" s="378">
        <f t="shared" si="6"/>
        <v>865.71593296271112</v>
      </c>
      <c r="F61" s="362">
        <f t="shared" si="7"/>
        <v>0.10675654433863188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634</v>
      </c>
      <c r="C62" s="378">
        <f>C32-C61</f>
        <v>-1135.0740786261613</v>
      </c>
      <c r="D62" s="378">
        <f>LN_IA16-LN_IB18</f>
        <v>-1425.7683317366364</v>
      </c>
      <c r="E62" s="378">
        <f t="shared" si="6"/>
        <v>-290.69425311047507</v>
      </c>
      <c r="F62" s="362">
        <f t="shared" si="7"/>
        <v>0.25610156956655844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635</v>
      </c>
      <c r="C63" s="361">
        <f>C62*C60</f>
        <v>-16373040.21337516</v>
      </c>
      <c r="D63" s="361">
        <f>LN_IB19*LN_IB17</f>
        <v>-20509729.984283622</v>
      </c>
      <c r="E63" s="361">
        <f t="shared" si="6"/>
        <v>-4136689.7709084619</v>
      </c>
      <c r="F63" s="362">
        <f t="shared" si="7"/>
        <v>0.25265251394968136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626</v>
      </c>
      <c r="C66" s="361">
        <f>C42+C56</f>
        <v>516722413</v>
      </c>
      <c r="D66" s="361">
        <f>LN_IB1+LN_IB13</f>
        <v>528332417</v>
      </c>
      <c r="E66" s="361">
        <f>D66-C66</f>
        <v>11610004</v>
      </c>
      <c r="F66" s="362">
        <f>IF(C66=0,0,E66/C66)</f>
        <v>2.2468551214169994E-2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627</v>
      </c>
      <c r="C67" s="361">
        <f>C43+C57</f>
        <v>186927133</v>
      </c>
      <c r="D67" s="361">
        <f>LN_IB2+LN_IB14</f>
        <v>203271835</v>
      </c>
      <c r="E67" s="361">
        <f>D67-C67</f>
        <v>16344702</v>
      </c>
      <c r="F67" s="362">
        <f>IF(C67=0,0,E67/C67)</f>
        <v>8.7438895240532041E-2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628</v>
      </c>
      <c r="C68" s="361">
        <f>C66-C67</f>
        <v>329795280</v>
      </c>
      <c r="D68" s="361">
        <f>LN_IB21-LN_IB22</f>
        <v>325060582</v>
      </c>
      <c r="E68" s="361">
        <f>D68-C68</f>
        <v>-4734698</v>
      </c>
      <c r="F68" s="362">
        <f>IF(C68=0,0,E68/C68)</f>
        <v>-1.4356475932584602E-2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637</v>
      </c>
      <c r="C70" s="353">
        <f>C50+C63</f>
        <v>-40270588.912281305</v>
      </c>
      <c r="D70" s="353">
        <f>LN_IB9+LN_IB20</f>
        <v>-45585914.429149516</v>
      </c>
      <c r="E70" s="361">
        <f>D70-C70</f>
        <v>-5315325.5168682113</v>
      </c>
      <c r="F70" s="362">
        <f>IF(C70=0,0,E70/C70)</f>
        <v>0.13199026039689224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639</v>
      </c>
      <c r="C73" s="400">
        <v>464749003</v>
      </c>
      <c r="D73" s="400">
        <v>474455885</v>
      </c>
      <c r="E73" s="400">
        <f>D73-C73</f>
        <v>9706882</v>
      </c>
      <c r="F73" s="401">
        <f>IF(C73=0,0,E73/C73)</f>
        <v>2.0886289023410772E-2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640</v>
      </c>
      <c r="C74" s="400">
        <v>180919545</v>
      </c>
      <c r="D74" s="400">
        <v>194693903</v>
      </c>
      <c r="E74" s="400">
        <f>D74-C74</f>
        <v>13774358</v>
      </c>
      <c r="F74" s="401">
        <f>IF(C74=0,0,E74/C74)</f>
        <v>7.6135267751198471E-2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641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642</v>
      </c>
      <c r="C76" s="353">
        <f>C73-C74</f>
        <v>283829458</v>
      </c>
      <c r="D76" s="353">
        <f>LN_IB32-LN_IB33</f>
        <v>279761982</v>
      </c>
      <c r="E76" s="400">
        <f>D76-C76</f>
        <v>-4067476</v>
      </c>
      <c r="F76" s="401">
        <f>IF(C76=0,0,E76/C76)</f>
        <v>-1.4330704179409031E-2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643</v>
      </c>
      <c r="C77" s="366">
        <f>IF(C73=0,0,C76/C73)</f>
        <v>0.61071558232046386</v>
      </c>
      <c r="D77" s="366">
        <f>IF(LN_IB1=0,0,LN_IB34/LN_IB32)</f>
        <v>0.58964803861585569</v>
      </c>
      <c r="E77" s="405">
        <f>D77-C77</f>
        <v>-2.1067543704608171E-2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610</v>
      </c>
      <c r="C83" s="361">
        <v>8419911</v>
      </c>
      <c r="D83" s="361">
        <v>7142474</v>
      </c>
      <c r="E83" s="361">
        <f t="shared" ref="E83:E95" si="8">D83-C83</f>
        <v>-1277437</v>
      </c>
      <c r="F83" s="362">
        <f t="shared" ref="F83:F95" si="9">IF(C83=0,0,E83/C83)</f>
        <v>-0.15171621172717858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611</v>
      </c>
      <c r="C84" s="361">
        <v>885530</v>
      </c>
      <c r="D84" s="361">
        <v>1006552</v>
      </c>
      <c r="E84" s="361">
        <f t="shared" si="8"/>
        <v>121022</v>
      </c>
      <c r="F84" s="362">
        <f t="shared" si="9"/>
        <v>0.13666617731753866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612</v>
      </c>
      <c r="C85" s="366">
        <f>IF(C83=0,0,C84/C83)</f>
        <v>0.10517094539360333</v>
      </c>
      <c r="D85" s="366">
        <f>IF(LN_IC1=0,0,LN_IC2/LN_IC1)</f>
        <v>0.14092483920837515</v>
      </c>
      <c r="E85" s="367">
        <f t="shared" si="8"/>
        <v>3.5753893814771814E-2</v>
      </c>
      <c r="F85" s="362">
        <f t="shared" si="9"/>
        <v>0.33995980240514623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333</v>
      </c>
      <c r="D86" s="369">
        <v>290</v>
      </c>
      <c r="E86" s="369">
        <f t="shared" si="8"/>
        <v>-43</v>
      </c>
      <c r="F86" s="362">
        <f t="shared" si="9"/>
        <v>-0.12912912912912913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613</v>
      </c>
      <c r="C87" s="372">
        <v>0.99360000000000004</v>
      </c>
      <c r="D87" s="372">
        <v>0.99399999999999999</v>
      </c>
      <c r="E87" s="373">
        <f t="shared" si="8"/>
        <v>3.9999999999995595E-4</v>
      </c>
      <c r="F87" s="362">
        <f t="shared" si="9"/>
        <v>4.0257648953296693E-4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614</v>
      </c>
      <c r="C88" s="376">
        <f>C86*C87</f>
        <v>330.86880000000002</v>
      </c>
      <c r="D88" s="376">
        <f>LN_IC4*LN_IC5</f>
        <v>288.26</v>
      </c>
      <c r="E88" s="376">
        <f t="shared" si="8"/>
        <v>-42.608800000000031</v>
      </c>
      <c r="F88" s="362">
        <f t="shared" si="9"/>
        <v>-0.12877853699109745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615</v>
      </c>
      <c r="C89" s="378">
        <f>IF(C88=0,0,C84/C88)</f>
        <v>2676.3780688901461</v>
      </c>
      <c r="D89" s="378">
        <f>IF(LN_IC6=0,0,LN_IC2/LN_IC6)</f>
        <v>3491.8198848261986</v>
      </c>
      <c r="E89" s="378">
        <f t="shared" si="8"/>
        <v>815.44181593605254</v>
      </c>
      <c r="F89" s="362">
        <f t="shared" si="9"/>
        <v>0.30468110070644994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646</v>
      </c>
      <c r="C90" s="378">
        <f>C48-C89</f>
        <v>7910.344750336415</v>
      </c>
      <c r="D90" s="378">
        <f>LN_IB7-LN_IC7</f>
        <v>7093.6561516965139</v>
      </c>
      <c r="E90" s="378">
        <f t="shared" si="8"/>
        <v>-816.6885986399011</v>
      </c>
      <c r="F90" s="362">
        <f t="shared" si="9"/>
        <v>-0.10324311068808582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647</v>
      </c>
      <c r="C91" s="378">
        <f>C21-C89</f>
        <v>4293.7305452542423</v>
      </c>
      <c r="D91" s="378">
        <f>LN_IA7-LN_IC7</f>
        <v>3514.639646542189</v>
      </c>
      <c r="E91" s="378">
        <f t="shared" si="8"/>
        <v>-779.09089871205333</v>
      </c>
      <c r="F91" s="362">
        <f t="shared" si="9"/>
        <v>-0.18144848413302597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632</v>
      </c>
      <c r="C92" s="353">
        <f>C91*C88</f>
        <v>1420661.473031617</v>
      </c>
      <c r="D92" s="353">
        <f>LN_IC9*LN_IC6</f>
        <v>1013130.0245122514</v>
      </c>
      <c r="E92" s="353">
        <f t="shared" si="8"/>
        <v>-407531.44851936563</v>
      </c>
      <c r="F92" s="362">
        <f t="shared" si="9"/>
        <v>-0.28686035079822003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1005</v>
      </c>
      <c r="D93" s="369">
        <v>694</v>
      </c>
      <c r="E93" s="369">
        <f t="shared" si="8"/>
        <v>-311</v>
      </c>
      <c r="F93" s="362">
        <f t="shared" si="9"/>
        <v>-0.30945273631840797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616</v>
      </c>
      <c r="C94" s="411">
        <f>IF(C93=0,0,C84/C93)</f>
        <v>881.12437810945278</v>
      </c>
      <c r="D94" s="411">
        <f>IF(LN_IC11=0,0,LN_IC2/LN_IC11)</f>
        <v>1450.3631123919308</v>
      </c>
      <c r="E94" s="411">
        <f t="shared" si="8"/>
        <v>569.23873428247805</v>
      </c>
      <c r="F94" s="362">
        <f t="shared" si="9"/>
        <v>0.64603675533735772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617</v>
      </c>
      <c r="C95" s="379">
        <f>IF(C86=0,0,C93/C86)</f>
        <v>3.0180180180180178</v>
      </c>
      <c r="D95" s="379">
        <f>IF(LN_IC4=0,0,LN_IC11/LN_IC4)</f>
        <v>2.3931034482758622</v>
      </c>
      <c r="E95" s="379">
        <f t="shared" si="8"/>
        <v>-0.62491456974215565</v>
      </c>
      <c r="F95" s="362">
        <f t="shared" si="9"/>
        <v>-0.20706124549665458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619</v>
      </c>
      <c r="C98" s="361">
        <v>25712243</v>
      </c>
      <c r="D98" s="361">
        <v>26201618</v>
      </c>
      <c r="E98" s="361">
        <f t="shared" ref="E98:E106" si="10">D98-C98</f>
        <v>489375</v>
      </c>
      <c r="F98" s="362">
        <f t="shared" ref="F98:F106" si="11">IF(C98=0,0,E98/C98)</f>
        <v>1.9032761941461116E-2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620</v>
      </c>
      <c r="C99" s="361">
        <v>2704180</v>
      </c>
      <c r="D99" s="361">
        <v>3692459</v>
      </c>
      <c r="E99" s="361">
        <f t="shared" si="10"/>
        <v>988279</v>
      </c>
      <c r="F99" s="362">
        <f t="shared" si="11"/>
        <v>0.36546346766857235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621</v>
      </c>
      <c r="C100" s="366">
        <f>IF(C98=0,0,C99/C98)</f>
        <v>0.10517091021580653</v>
      </c>
      <c r="D100" s="366">
        <f>IF(LN_IC14=0,0,LN_IC15/LN_IC14)</f>
        <v>0.14092484670221511</v>
      </c>
      <c r="E100" s="367">
        <f t="shared" si="10"/>
        <v>3.575393648640858E-2</v>
      </c>
      <c r="F100" s="362">
        <f t="shared" si="11"/>
        <v>0.33996032185176417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622</v>
      </c>
      <c r="C101" s="366">
        <f>IF(C83=0,0,C98/C83)</f>
        <v>3.0537428483507725</v>
      </c>
      <c r="D101" s="366">
        <f>IF(LN_IC1=0,0,LN_IC14/LN_IC1)</f>
        <v>3.6684232942255024</v>
      </c>
      <c r="E101" s="367">
        <f t="shared" si="10"/>
        <v>0.61468044587472992</v>
      </c>
      <c r="F101" s="362">
        <f t="shared" si="11"/>
        <v>0.20128755969308251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623</v>
      </c>
      <c r="C102" s="376">
        <f>C101*C86</f>
        <v>1016.8963685008073</v>
      </c>
      <c r="D102" s="376">
        <f>LN_IC17*LN_IC4</f>
        <v>1063.8427553253957</v>
      </c>
      <c r="E102" s="376">
        <f t="shared" si="10"/>
        <v>46.946386824588444</v>
      </c>
      <c r="F102" s="362">
        <f t="shared" si="11"/>
        <v>4.6166343276258022E-2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624</v>
      </c>
      <c r="C103" s="378">
        <f>IF(C102=0,0,C99/C102)</f>
        <v>2659.2483597780233</v>
      </c>
      <c r="D103" s="378">
        <f>IF(LN_IC18=0,0,LN_IC15/LN_IC18)</f>
        <v>3470.8691500846794</v>
      </c>
      <c r="E103" s="378">
        <f t="shared" si="10"/>
        <v>811.62079030665609</v>
      </c>
      <c r="F103" s="362">
        <f t="shared" si="11"/>
        <v>0.30520684061807785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649</v>
      </c>
      <c r="C104" s="378">
        <f>C61-C103</f>
        <v>5450.0056285925548</v>
      </c>
      <c r="D104" s="378">
        <f>LN_IB18-LN_IC19</f>
        <v>5504.1007712486098</v>
      </c>
      <c r="E104" s="378">
        <f t="shared" si="10"/>
        <v>54.095142656055032</v>
      </c>
      <c r="F104" s="362">
        <f t="shared" si="11"/>
        <v>9.9257039978553046E-3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650</v>
      </c>
      <c r="C105" s="378">
        <f>C32-C103</f>
        <v>4314.9315499663935</v>
      </c>
      <c r="D105" s="378">
        <f>LN_IA16-LN_IC19</f>
        <v>4078.3324395119739</v>
      </c>
      <c r="E105" s="378">
        <f t="shared" si="10"/>
        <v>-236.59911045441959</v>
      </c>
      <c r="F105" s="362">
        <f t="shared" si="11"/>
        <v>-5.483264513344651E-2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635</v>
      </c>
      <c r="C106" s="361">
        <f>C105*C102</f>
        <v>4387838.2234903853</v>
      </c>
      <c r="D106" s="361">
        <f>LN_IC21*LN_IC18</f>
        <v>4338704.4195833616</v>
      </c>
      <c r="E106" s="361">
        <f t="shared" si="10"/>
        <v>-49133.803907023743</v>
      </c>
      <c r="F106" s="362">
        <f t="shared" si="11"/>
        <v>-1.1197724575164344E-2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651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626</v>
      </c>
      <c r="C109" s="361">
        <f>C83+C98</f>
        <v>34132154</v>
      </c>
      <c r="D109" s="361">
        <f>LN_IC1+LN_IC14</f>
        <v>33344092</v>
      </c>
      <c r="E109" s="361">
        <f>D109-C109</f>
        <v>-788062</v>
      </c>
      <c r="F109" s="362">
        <f>IF(C109=0,0,E109/C109)</f>
        <v>-2.3088551633746877E-2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627</v>
      </c>
      <c r="C110" s="361">
        <f>C84+C99</f>
        <v>3589710</v>
      </c>
      <c r="D110" s="361">
        <f>LN_IC2+LN_IC15</f>
        <v>4699011</v>
      </c>
      <c r="E110" s="361">
        <f>D110-C110</f>
        <v>1109301</v>
      </c>
      <c r="F110" s="362">
        <f>IF(C110=0,0,E110/C110)</f>
        <v>0.30902245585297977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628</v>
      </c>
      <c r="C111" s="361">
        <f>C109-C110</f>
        <v>30542444</v>
      </c>
      <c r="D111" s="361">
        <f>LN_IC23-LN_IC24</f>
        <v>28645081</v>
      </c>
      <c r="E111" s="361">
        <f>D111-C111</f>
        <v>-1897363</v>
      </c>
      <c r="F111" s="362">
        <f>IF(C111=0,0,E111/C111)</f>
        <v>-6.2122173327059223E-2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637</v>
      </c>
      <c r="C113" s="361">
        <f>C92+C106</f>
        <v>5808499.6965220021</v>
      </c>
      <c r="D113" s="361">
        <f>LN_IC10+LN_IC22</f>
        <v>5351834.4440956134</v>
      </c>
      <c r="E113" s="361">
        <f>D113-C113</f>
        <v>-456665.25242638867</v>
      </c>
      <c r="F113" s="362">
        <f>IF(C113=0,0,E113/C113)</f>
        <v>-7.862017324367418E-2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610</v>
      </c>
      <c r="C118" s="361">
        <v>9106454</v>
      </c>
      <c r="D118" s="361">
        <v>11488001</v>
      </c>
      <c r="E118" s="361">
        <f t="shared" ref="E118:E130" si="12">D118-C118</f>
        <v>2381547</v>
      </c>
      <c r="F118" s="362">
        <f t="shared" ref="F118:F130" si="13">IF(C118=0,0,E118/C118)</f>
        <v>0.26152298139319652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611</v>
      </c>
      <c r="C119" s="361">
        <v>2077009</v>
      </c>
      <c r="D119" s="361">
        <v>3265205</v>
      </c>
      <c r="E119" s="361">
        <f t="shared" si="12"/>
        <v>1188196</v>
      </c>
      <c r="F119" s="362">
        <f t="shared" si="13"/>
        <v>0.57207070359348466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612</v>
      </c>
      <c r="C120" s="366">
        <f>IF(C118=0,0,C119/C118)</f>
        <v>0.22808098520016681</v>
      </c>
      <c r="D120" s="366">
        <f>IF(LN_ID1=0,0,LN_1D2/LN_ID1)</f>
        <v>0.28422742999413042</v>
      </c>
      <c r="E120" s="367">
        <f t="shared" si="12"/>
        <v>5.6146444793963607E-2</v>
      </c>
      <c r="F120" s="362">
        <f t="shared" si="13"/>
        <v>0.24616889805473596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517</v>
      </c>
      <c r="D121" s="369">
        <v>445</v>
      </c>
      <c r="E121" s="369">
        <f t="shared" si="12"/>
        <v>-72</v>
      </c>
      <c r="F121" s="362">
        <f t="shared" si="13"/>
        <v>-0.13926499032882012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613</v>
      </c>
      <c r="C122" s="372">
        <v>0.87909999999999999</v>
      </c>
      <c r="D122" s="372">
        <v>0.97989999999999999</v>
      </c>
      <c r="E122" s="373">
        <f t="shared" si="12"/>
        <v>0.1008</v>
      </c>
      <c r="F122" s="362">
        <f t="shared" si="13"/>
        <v>0.11466272323967694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614</v>
      </c>
      <c r="C123" s="376">
        <f>C121*C122</f>
        <v>454.49470000000002</v>
      </c>
      <c r="D123" s="376">
        <f>LN_ID4*LN_ID5</f>
        <v>436.05549999999999</v>
      </c>
      <c r="E123" s="376">
        <f t="shared" si="12"/>
        <v>-18.439200000000028</v>
      </c>
      <c r="F123" s="362">
        <f t="shared" si="13"/>
        <v>-4.0570770132193019E-2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615</v>
      </c>
      <c r="C124" s="378">
        <f>IF(C123=0,0,C119/C123)</f>
        <v>4569.9300783925528</v>
      </c>
      <c r="D124" s="378">
        <f>IF(LN_ID6=0,0,LN_1D2/LN_ID6)</f>
        <v>7488.0491130142836</v>
      </c>
      <c r="E124" s="378">
        <f t="shared" si="12"/>
        <v>2918.1190346217309</v>
      </c>
      <c r="F124" s="362">
        <f t="shared" si="13"/>
        <v>0.63854785184112983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654</v>
      </c>
      <c r="C125" s="378">
        <f>C48-C124</f>
        <v>6016.7927408340083</v>
      </c>
      <c r="D125" s="378">
        <f>LN_IB7-LN_ID7</f>
        <v>3097.4269235084284</v>
      </c>
      <c r="E125" s="378">
        <f t="shared" si="12"/>
        <v>-2919.3658173255799</v>
      </c>
      <c r="F125" s="362">
        <f t="shared" si="13"/>
        <v>-0.48520298821543195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655</v>
      </c>
      <c r="C126" s="378">
        <f>C21-C124</f>
        <v>2400.1785357518356</v>
      </c>
      <c r="D126" s="378">
        <f>LN_IA7-LN_ID7</f>
        <v>-481.58958164589603</v>
      </c>
      <c r="E126" s="378">
        <f t="shared" si="12"/>
        <v>-2881.7681173977317</v>
      </c>
      <c r="F126" s="362">
        <f t="shared" si="13"/>
        <v>-1.200647399546485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632</v>
      </c>
      <c r="C127" s="391">
        <f>C126*C123</f>
        <v>1090868.4235529699</v>
      </c>
      <c r="D127" s="391">
        <f>LN_ID9*LN_ID6</f>
        <v>-209999.78581939201</v>
      </c>
      <c r="E127" s="391">
        <f t="shared" si="12"/>
        <v>-1300868.2093723619</v>
      </c>
      <c r="F127" s="362">
        <f t="shared" si="13"/>
        <v>-1.1925069800218622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1809</v>
      </c>
      <c r="D128" s="369">
        <v>1511</v>
      </c>
      <c r="E128" s="369">
        <f t="shared" si="12"/>
        <v>-298</v>
      </c>
      <c r="F128" s="362">
        <f t="shared" si="13"/>
        <v>-0.16473189607517966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616</v>
      </c>
      <c r="C129" s="378">
        <f>IF(C128=0,0,C119/C128)</f>
        <v>1148.1531232725263</v>
      </c>
      <c r="D129" s="378">
        <f>IF(LN_ID11=0,0,LN_1D2/LN_ID11)</f>
        <v>2160.9563203176704</v>
      </c>
      <c r="E129" s="378">
        <f t="shared" si="12"/>
        <v>1012.8031970451441</v>
      </c>
      <c r="F129" s="362">
        <f t="shared" si="13"/>
        <v>0.88211509119828835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617</v>
      </c>
      <c r="C130" s="379">
        <f>IF(C121=0,0,C128/C121)</f>
        <v>3.4990328820116052</v>
      </c>
      <c r="D130" s="379">
        <f>IF(LN_ID4=0,0,LN_ID11/LN_ID4)</f>
        <v>3.3955056179775283</v>
      </c>
      <c r="E130" s="379">
        <f t="shared" si="12"/>
        <v>-0.10352726403407697</v>
      </c>
      <c r="F130" s="362">
        <f t="shared" si="13"/>
        <v>-2.9587393867118738E-2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619</v>
      </c>
      <c r="C133" s="361">
        <v>14846248</v>
      </c>
      <c r="D133" s="361">
        <v>19830885</v>
      </c>
      <c r="E133" s="361">
        <f t="shared" ref="E133:E141" si="14">D133-C133</f>
        <v>4984637</v>
      </c>
      <c r="F133" s="362">
        <f t="shared" ref="F133:F141" si="15">IF(C133=0,0,E133/C133)</f>
        <v>0.33575062197533007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620</v>
      </c>
      <c r="C134" s="361">
        <v>2263307</v>
      </c>
      <c r="D134" s="361">
        <v>3628929</v>
      </c>
      <c r="E134" s="361">
        <f t="shared" si="14"/>
        <v>1365622</v>
      </c>
      <c r="F134" s="362">
        <f t="shared" si="15"/>
        <v>0.60337461952797389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621</v>
      </c>
      <c r="C135" s="366">
        <f>IF(C133=0,0,C134/C133)</f>
        <v>0.15244976373828592</v>
      </c>
      <c r="D135" s="366">
        <f>IF(LN_ID14=0,0,LN_ID15/LN_ID14)</f>
        <v>0.18299379982285208</v>
      </c>
      <c r="E135" s="367">
        <f t="shared" si="14"/>
        <v>3.0544036084566156E-2</v>
      </c>
      <c r="F135" s="362">
        <f t="shared" si="15"/>
        <v>0.20035476169711761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622</v>
      </c>
      <c r="C136" s="366">
        <f>IF(C118=0,0,C133/C118)</f>
        <v>1.6302995655608647</v>
      </c>
      <c r="D136" s="366">
        <f>IF(LN_ID1=0,0,LN_ID14/LN_ID1)</f>
        <v>1.7262259117143182</v>
      </c>
      <c r="E136" s="367">
        <f t="shared" si="14"/>
        <v>9.5926346153453412E-2</v>
      </c>
      <c r="F136" s="362">
        <f t="shared" si="15"/>
        <v>5.8839705401290646E-2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623</v>
      </c>
      <c r="C137" s="376">
        <f>C136*C121</f>
        <v>842.86487539496704</v>
      </c>
      <c r="D137" s="376">
        <f>LN_ID17*LN_ID4</f>
        <v>768.1705307128716</v>
      </c>
      <c r="E137" s="376">
        <f t="shared" si="14"/>
        <v>-74.694344682095448</v>
      </c>
      <c r="F137" s="362">
        <f t="shared" si="15"/>
        <v>-8.8619595931190787E-2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624</v>
      </c>
      <c r="C138" s="378">
        <f>IF(C137=0,0,C134/C137)</f>
        <v>2685.2548564672516</v>
      </c>
      <c r="D138" s="378">
        <f>IF(LN_ID18=0,0,LN_ID15/LN_ID18)</f>
        <v>4724.119000806123</v>
      </c>
      <c r="E138" s="378">
        <f t="shared" si="14"/>
        <v>2038.8641443388715</v>
      </c>
      <c r="F138" s="362">
        <f t="shared" si="15"/>
        <v>0.7592814288850116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657</v>
      </c>
      <c r="C139" s="378">
        <f>C61-C138</f>
        <v>5423.999131903327</v>
      </c>
      <c r="D139" s="378">
        <f>LN_IB18-LN_ID19</f>
        <v>4250.8509205271666</v>
      </c>
      <c r="E139" s="378">
        <f t="shared" si="14"/>
        <v>-1173.1482113761604</v>
      </c>
      <c r="F139" s="362">
        <f t="shared" si="15"/>
        <v>-0.21628842166950951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658</v>
      </c>
      <c r="C140" s="378">
        <f>C32-C138</f>
        <v>4288.9250532771657</v>
      </c>
      <c r="D140" s="378">
        <f>LN_IA16-LN_ID19</f>
        <v>2825.0825887905303</v>
      </c>
      <c r="E140" s="378">
        <f t="shared" si="14"/>
        <v>-1463.8424644866354</v>
      </c>
      <c r="F140" s="362">
        <f t="shared" si="15"/>
        <v>-0.34130754123766144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635</v>
      </c>
      <c r="C141" s="353">
        <f>C140*C137</f>
        <v>3614984.2806088105</v>
      </c>
      <c r="D141" s="353">
        <f>LN_ID21*LN_ID18</f>
        <v>2170145.191538915</v>
      </c>
      <c r="E141" s="353">
        <f t="shared" si="14"/>
        <v>-1444839.0890698954</v>
      </c>
      <c r="F141" s="362">
        <f t="shared" si="15"/>
        <v>-0.39968060077610235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626</v>
      </c>
      <c r="C144" s="361">
        <f>C118+C133</f>
        <v>23952702</v>
      </c>
      <c r="D144" s="361">
        <f>LN_ID1+LN_ID14</f>
        <v>31318886</v>
      </c>
      <c r="E144" s="361">
        <f>D144-C144</f>
        <v>7366184</v>
      </c>
      <c r="F144" s="362">
        <f>IF(C144=0,0,E144/C144)</f>
        <v>0.30753039886690026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627</v>
      </c>
      <c r="C145" s="361">
        <f>C119+C134</f>
        <v>4340316</v>
      </c>
      <c r="D145" s="361">
        <f>LN_1D2+LN_ID15</f>
        <v>6894134</v>
      </c>
      <c r="E145" s="361">
        <f>D145-C145</f>
        <v>2553818</v>
      </c>
      <c r="F145" s="362">
        <f>IF(C145=0,0,E145/C145)</f>
        <v>0.58839448556280238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628</v>
      </c>
      <c r="C146" s="361">
        <f>C144-C145</f>
        <v>19612386</v>
      </c>
      <c r="D146" s="361">
        <f>LN_ID23-LN_ID24</f>
        <v>24424752</v>
      </c>
      <c r="E146" s="361">
        <f>D146-C146</f>
        <v>4812366</v>
      </c>
      <c r="F146" s="362">
        <f>IF(C146=0,0,E146/C146)</f>
        <v>0.24537381632199162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637</v>
      </c>
      <c r="C148" s="361">
        <f>C127+C141</f>
        <v>4705852.70416178</v>
      </c>
      <c r="D148" s="361">
        <f>LN_ID10+LN_ID22</f>
        <v>1960145.4057195231</v>
      </c>
      <c r="E148" s="361">
        <f>D148-C148</f>
        <v>-2745707.2984422566</v>
      </c>
      <c r="F148" s="415">
        <f>IF(C148=0,0,E148/C148)</f>
        <v>-0.58346647697111254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660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661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610</v>
      </c>
      <c r="C153" s="361">
        <v>10964069</v>
      </c>
      <c r="D153" s="361">
        <v>11396853</v>
      </c>
      <c r="E153" s="361">
        <f t="shared" ref="E153:E165" si="16">D153-C153</f>
        <v>432784</v>
      </c>
      <c r="F153" s="362">
        <f t="shared" ref="F153:F165" si="17">IF(C153=0,0,E153/C153)</f>
        <v>3.947293655302607E-2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611</v>
      </c>
      <c r="C154" s="361">
        <v>3391927</v>
      </c>
      <c r="D154" s="361">
        <v>2239666</v>
      </c>
      <c r="E154" s="361">
        <f t="shared" si="16"/>
        <v>-1152261</v>
      </c>
      <c r="F154" s="362">
        <f t="shared" si="17"/>
        <v>-0.33970689817322131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612</v>
      </c>
      <c r="C155" s="366">
        <f>IF(C153=0,0,C154/C153)</f>
        <v>0.30936753499088704</v>
      </c>
      <c r="D155" s="366">
        <f>IF(LN_IE1=0,0,LN_IE2/LN_IE1)</f>
        <v>0.19651617863282084</v>
      </c>
      <c r="E155" s="367">
        <f t="shared" si="16"/>
        <v>-0.1128513563580662</v>
      </c>
      <c r="F155" s="362">
        <f t="shared" si="17"/>
        <v>-0.36478086287040568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253</v>
      </c>
      <c r="D156" s="419">
        <v>334</v>
      </c>
      <c r="E156" s="419">
        <f t="shared" si="16"/>
        <v>81</v>
      </c>
      <c r="F156" s="362">
        <f t="shared" si="17"/>
        <v>0.3201581027667984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613</v>
      </c>
      <c r="C157" s="372">
        <v>1.0145999999999999</v>
      </c>
      <c r="D157" s="372">
        <v>0.97309999999999997</v>
      </c>
      <c r="E157" s="373">
        <f t="shared" si="16"/>
        <v>-4.1499999999999981E-2</v>
      </c>
      <c r="F157" s="362">
        <f t="shared" si="17"/>
        <v>-4.0902818844864956E-2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614</v>
      </c>
      <c r="C158" s="376">
        <f>C156*C157</f>
        <v>256.69380000000001</v>
      </c>
      <c r="D158" s="376">
        <f>LN_IE4*LN_IE5</f>
        <v>325.0154</v>
      </c>
      <c r="E158" s="376">
        <f t="shared" si="16"/>
        <v>68.321599999999989</v>
      </c>
      <c r="F158" s="362">
        <f t="shared" si="17"/>
        <v>0.26615991504274739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615</v>
      </c>
      <c r="C159" s="378">
        <f>IF(C158=0,0,C154/C158)</f>
        <v>13213.903101672109</v>
      </c>
      <c r="D159" s="378">
        <f>IF(LN_IE6=0,0,LN_IE2/LN_IE6)</f>
        <v>6890.9534748199621</v>
      </c>
      <c r="E159" s="378">
        <f t="shared" si="16"/>
        <v>-6322.949626852147</v>
      </c>
      <c r="F159" s="362">
        <f t="shared" si="17"/>
        <v>-0.47850734020079433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662</v>
      </c>
      <c r="C160" s="378">
        <f>C48-C159</f>
        <v>-2627.1802824455481</v>
      </c>
      <c r="D160" s="378">
        <f>LN_IB7-LN_IE7</f>
        <v>3694.52256170275</v>
      </c>
      <c r="E160" s="378">
        <f t="shared" si="16"/>
        <v>6321.702844148298</v>
      </c>
      <c r="F160" s="362">
        <f t="shared" si="17"/>
        <v>-2.4062691420109363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663</v>
      </c>
      <c r="C161" s="378">
        <f>C21-C159</f>
        <v>-6243.7944875277208</v>
      </c>
      <c r="D161" s="378">
        <f>LN_IA7-LN_IE7</f>
        <v>115.50605654842548</v>
      </c>
      <c r="E161" s="378">
        <f t="shared" si="16"/>
        <v>6359.3005440761463</v>
      </c>
      <c r="F161" s="362">
        <f t="shared" si="17"/>
        <v>-1.0184993367060935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632</v>
      </c>
      <c r="C162" s="391">
        <f>C161*C158</f>
        <v>-1602743.3334225432</v>
      </c>
      <c r="D162" s="391">
        <f>LN_IE9*LN_IE6</f>
        <v>37541.247171509123</v>
      </c>
      <c r="E162" s="391">
        <f t="shared" si="16"/>
        <v>1640284.5805940523</v>
      </c>
      <c r="F162" s="362">
        <f t="shared" si="17"/>
        <v>-1.0234231185921345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1389</v>
      </c>
      <c r="D163" s="369">
        <v>1837</v>
      </c>
      <c r="E163" s="419">
        <f t="shared" si="16"/>
        <v>448</v>
      </c>
      <c r="F163" s="362">
        <f t="shared" si="17"/>
        <v>0.32253419726421884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616</v>
      </c>
      <c r="C164" s="378">
        <f>IF(C163=0,0,C154/C163)</f>
        <v>2441.9920806335494</v>
      </c>
      <c r="D164" s="378">
        <f>IF(LN_IE11=0,0,LN_IE2/LN_IE11)</f>
        <v>1219.1976047904191</v>
      </c>
      <c r="E164" s="378">
        <f t="shared" si="16"/>
        <v>-1222.7944758431304</v>
      </c>
      <c r="F164" s="362">
        <f t="shared" si="17"/>
        <v>-0.50073646247283865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617</v>
      </c>
      <c r="C165" s="379">
        <f>IF(C156=0,0,C163/C156)</f>
        <v>5.4901185770750986</v>
      </c>
      <c r="D165" s="379">
        <f>IF(LN_IE4=0,0,LN_IE11/LN_IE4)</f>
        <v>5.5</v>
      </c>
      <c r="E165" s="379">
        <f t="shared" si="16"/>
        <v>9.8814229249013508E-3</v>
      </c>
      <c r="F165" s="362">
        <f t="shared" si="17"/>
        <v>1.7998560115191087E-3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619</v>
      </c>
      <c r="C168" s="424">
        <v>7823230</v>
      </c>
      <c r="D168" s="424">
        <v>8506404</v>
      </c>
      <c r="E168" s="424">
        <f t="shared" ref="E168:E176" si="18">D168-C168</f>
        <v>683174</v>
      </c>
      <c r="F168" s="362">
        <f t="shared" ref="F168:F176" si="19">IF(C168=0,0,E168/C168)</f>
        <v>8.732633451911806E-2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620</v>
      </c>
      <c r="C169" s="424">
        <v>799160</v>
      </c>
      <c r="D169" s="424">
        <v>679764</v>
      </c>
      <c r="E169" s="424">
        <f t="shared" si="18"/>
        <v>-119396</v>
      </c>
      <c r="F169" s="362">
        <f t="shared" si="19"/>
        <v>-0.14940187196556384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621</v>
      </c>
      <c r="C170" s="366">
        <f>IF(C168=0,0,C169/C168)</f>
        <v>0.10215218010975007</v>
      </c>
      <c r="D170" s="366">
        <f>IF(LN_IE14=0,0,LN_IE15/LN_IE14)</f>
        <v>7.9912028631605084E-2</v>
      </c>
      <c r="E170" s="367">
        <f t="shared" si="18"/>
        <v>-2.2240151478144982E-2</v>
      </c>
      <c r="F170" s="362">
        <f t="shared" si="19"/>
        <v>-0.21771587698129055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622</v>
      </c>
      <c r="C171" s="366">
        <f>IF(C153=0,0,C168/C153)</f>
        <v>0.71353345185988892</v>
      </c>
      <c r="D171" s="366">
        <f>IF(LN_IE1=0,0,LN_IE14/LN_IE1)</f>
        <v>0.74638183014205761</v>
      </c>
      <c r="E171" s="367">
        <f t="shared" si="18"/>
        <v>3.2848378282168689E-2</v>
      </c>
      <c r="F171" s="362">
        <f t="shared" si="19"/>
        <v>4.6036213434067379E-2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623</v>
      </c>
      <c r="C172" s="376">
        <f>C171*C156</f>
        <v>180.5239633205519</v>
      </c>
      <c r="D172" s="376">
        <f>LN_IE17*LN_IE4</f>
        <v>249.29153126744725</v>
      </c>
      <c r="E172" s="376">
        <f t="shared" si="18"/>
        <v>68.767567946895355</v>
      </c>
      <c r="F172" s="362">
        <f t="shared" si="19"/>
        <v>0.38093318295248424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624</v>
      </c>
      <c r="C173" s="378">
        <f>IF(C172=0,0,C169/C172)</f>
        <v>4426.891506813151</v>
      </c>
      <c r="D173" s="378">
        <f>IF(LN_IE18=0,0,LN_IE15/LN_IE18)</f>
        <v>2726.7833630125579</v>
      </c>
      <c r="E173" s="378">
        <f t="shared" si="18"/>
        <v>-1700.1081438005931</v>
      </c>
      <c r="F173" s="362">
        <f t="shared" si="19"/>
        <v>-0.38404106836231772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665</v>
      </c>
      <c r="C174" s="378">
        <f>C61-C173</f>
        <v>3682.3624815574276</v>
      </c>
      <c r="D174" s="378">
        <f>LN_IB18-LN_IE19</f>
        <v>6248.1865583207318</v>
      </c>
      <c r="E174" s="378">
        <f t="shared" si="18"/>
        <v>2565.8240767633042</v>
      </c>
      <c r="F174" s="362">
        <f t="shared" si="19"/>
        <v>0.6967874807583061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666</v>
      </c>
      <c r="C175" s="378">
        <f>C32-C173</f>
        <v>2547.2884029312663</v>
      </c>
      <c r="D175" s="378">
        <f>LN_IA16-LN_IE19</f>
        <v>4822.4182265840955</v>
      </c>
      <c r="E175" s="378">
        <f t="shared" si="18"/>
        <v>2275.1298236528291</v>
      </c>
      <c r="F175" s="362">
        <f t="shared" si="19"/>
        <v>0.89315753215644789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635</v>
      </c>
      <c r="C176" s="353">
        <f>C175*C172</f>
        <v>459846.59821763117</v>
      </c>
      <c r="D176" s="353">
        <f>LN_IE21*LN_IE18</f>
        <v>1202188.0241171967</v>
      </c>
      <c r="E176" s="353">
        <f t="shared" si="18"/>
        <v>742341.42589956545</v>
      </c>
      <c r="F176" s="362">
        <f t="shared" si="19"/>
        <v>1.6143240567112735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626</v>
      </c>
      <c r="C179" s="361">
        <f>C153+C168</f>
        <v>18787299</v>
      </c>
      <c r="D179" s="361">
        <f>LN_IE1+LN_IE14</f>
        <v>19903257</v>
      </c>
      <c r="E179" s="361">
        <f>D179-C179</f>
        <v>1115958</v>
      </c>
      <c r="F179" s="362">
        <f>IF(C179=0,0,E179/C179)</f>
        <v>5.9399597568548838E-2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627</v>
      </c>
      <c r="C180" s="361">
        <f>C154+C169</f>
        <v>4191087</v>
      </c>
      <c r="D180" s="361">
        <f>LN_IE15+LN_IE2</f>
        <v>2919430</v>
      </c>
      <c r="E180" s="361">
        <f>D180-C180</f>
        <v>-1271657</v>
      </c>
      <c r="F180" s="362">
        <f>IF(C180=0,0,E180/C180)</f>
        <v>-0.30341937545080788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628</v>
      </c>
      <c r="C181" s="361">
        <f>C179-C180</f>
        <v>14596212</v>
      </c>
      <c r="D181" s="361">
        <f>LN_IE23-LN_IE24</f>
        <v>16983827</v>
      </c>
      <c r="E181" s="361">
        <f>D181-C181</f>
        <v>2387615</v>
      </c>
      <c r="F181" s="362">
        <f>IF(C181=0,0,E181/C181)</f>
        <v>0.16357771454676048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668</v>
      </c>
      <c r="C183" s="361">
        <f>C162+C176</f>
        <v>-1142896.735204912</v>
      </c>
      <c r="D183" s="361">
        <f>LN_IE10+LN_IE22</f>
        <v>1239729.2712887058</v>
      </c>
      <c r="E183" s="353">
        <f>D183-C183</f>
        <v>2382626.0064936178</v>
      </c>
      <c r="F183" s="362">
        <f>IF(C183=0,0,E183/C183)</f>
        <v>-2.0847255339008668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610</v>
      </c>
      <c r="C188" s="361">
        <f>C118+C153</f>
        <v>20070523</v>
      </c>
      <c r="D188" s="361">
        <f>LN_ID1+LN_IE1</f>
        <v>22884854</v>
      </c>
      <c r="E188" s="361">
        <f t="shared" ref="E188:E200" si="20">D188-C188</f>
        <v>2814331</v>
      </c>
      <c r="F188" s="362">
        <f t="shared" ref="F188:F200" si="21">IF(C188=0,0,E188/C188)</f>
        <v>0.14022210582155731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611</v>
      </c>
      <c r="C189" s="361">
        <f>C119+C154</f>
        <v>5468936</v>
      </c>
      <c r="D189" s="361">
        <f>LN_1D2+LN_IE2</f>
        <v>5504871</v>
      </c>
      <c r="E189" s="361">
        <f t="shared" si="20"/>
        <v>35935</v>
      </c>
      <c r="F189" s="362">
        <f t="shared" si="21"/>
        <v>6.5707479480469327E-3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612</v>
      </c>
      <c r="C190" s="366">
        <f>IF(C188=0,0,C189/C188)</f>
        <v>0.27248597358424592</v>
      </c>
      <c r="D190" s="366">
        <f>IF(LN_IF1=0,0,LN_IF2/LN_IF1)</f>
        <v>0.24054647672211499</v>
      </c>
      <c r="E190" s="367">
        <f t="shared" si="20"/>
        <v>-3.1939496862130934E-2</v>
      </c>
      <c r="F190" s="362">
        <f t="shared" si="21"/>
        <v>-0.11721519622460871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770</v>
      </c>
      <c r="D191" s="369">
        <f>LN_ID4+LN_IE4</f>
        <v>779</v>
      </c>
      <c r="E191" s="369">
        <f t="shared" si="20"/>
        <v>9</v>
      </c>
      <c r="F191" s="362">
        <f t="shared" si="21"/>
        <v>1.1688311688311689E-2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613</v>
      </c>
      <c r="C192" s="372">
        <f>IF((C121+C156)=0,0,(C123+C158)/(C121+C156))</f>
        <v>0.92362142857142859</v>
      </c>
      <c r="D192" s="372">
        <f>IF((LN_ID4+LN_IE4)=0,0,(LN_ID6+LN_IE6)/(LN_ID4+LN_IE4))</f>
        <v>0.97698446726572519</v>
      </c>
      <c r="E192" s="373">
        <f t="shared" si="20"/>
        <v>5.3363038694296594E-2</v>
      </c>
      <c r="F192" s="362">
        <f t="shared" si="21"/>
        <v>5.7775877695728173E-2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614</v>
      </c>
      <c r="C193" s="376">
        <f>C123+C158</f>
        <v>711.18849999999998</v>
      </c>
      <c r="D193" s="376">
        <f>LN_IF4*LN_IF5</f>
        <v>761.07089999999994</v>
      </c>
      <c r="E193" s="376">
        <f t="shared" si="20"/>
        <v>49.882399999999961</v>
      </c>
      <c r="F193" s="362">
        <f t="shared" si="21"/>
        <v>7.0139491850613397E-2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615</v>
      </c>
      <c r="C194" s="378">
        <f>IF(C193=0,0,C189/C193)</f>
        <v>7689.8543775665667</v>
      </c>
      <c r="D194" s="378">
        <f>IF(LN_IF6=0,0,LN_IF2/LN_IF6)</f>
        <v>7233.0593641144342</v>
      </c>
      <c r="E194" s="378">
        <f t="shared" si="20"/>
        <v>-456.79501345213248</v>
      </c>
      <c r="F194" s="362">
        <f t="shared" si="21"/>
        <v>-5.9402296977785422E-2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671</v>
      </c>
      <c r="C195" s="378">
        <f>C48-C194</f>
        <v>2896.8684416599945</v>
      </c>
      <c r="D195" s="378">
        <f>LN_IB7-LN_IF7</f>
        <v>3352.4166724082779</v>
      </c>
      <c r="E195" s="378">
        <f t="shared" si="20"/>
        <v>455.54823074828346</v>
      </c>
      <c r="F195" s="362">
        <f t="shared" si="21"/>
        <v>0.15725540870169455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672</v>
      </c>
      <c r="C196" s="378">
        <f>C21-C194</f>
        <v>-719.74576342217824</v>
      </c>
      <c r="D196" s="378">
        <f>LN_IA7-LN_IF7</f>
        <v>-226.59983274604656</v>
      </c>
      <c r="E196" s="378">
        <f t="shared" si="20"/>
        <v>493.14593067613168</v>
      </c>
      <c r="F196" s="362">
        <f t="shared" si="21"/>
        <v>-0.68516684048457421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632</v>
      </c>
      <c r="C197" s="391">
        <f>C127+C162</f>
        <v>-511874.90986957331</v>
      </c>
      <c r="D197" s="391">
        <f>LN_IF9*LN_IF6</f>
        <v>-172458.53864788311</v>
      </c>
      <c r="E197" s="391">
        <f t="shared" si="20"/>
        <v>339416.37122169021</v>
      </c>
      <c r="F197" s="362">
        <f t="shared" si="21"/>
        <v>-0.66308460265843883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3198</v>
      </c>
      <c r="D198" s="369">
        <f>LN_ID11+LN_IE11</f>
        <v>3348</v>
      </c>
      <c r="E198" s="369">
        <f t="shared" si="20"/>
        <v>150</v>
      </c>
      <c r="F198" s="362">
        <f t="shared" si="21"/>
        <v>4.6904315196998121E-2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616</v>
      </c>
      <c r="C199" s="432">
        <f>IF(C198=0,0,C189/C198)</f>
        <v>1710.1113195747341</v>
      </c>
      <c r="D199" s="432">
        <f>IF(LN_IF11=0,0,LN_IF2/LN_IF11)</f>
        <v>1644.2267025089607</v>
      </c>
      <c r="E199" s="432">
        <f t="shared" si="20"/>
        <v>-65.884617065773455</v>
      </c>
      <c r="F199" s="362">
        <f t="shared" si="21"/>
        <v>-3.8526507784392344E-2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617</v>
      </c>
      <c r="C200" s="379">
        <f>IF(C191=0,0,C198/C191)</f>
        <v>4.1532467532467532</v>
      </c>
      <c r="D200" s="379">
        <f>IF(LN_IF4=0,0,LN_IF11/LN_IF4)</f>
        <v>4.2978177150192556</v>
      </c>
      <c r="E200" s="379">
        <f t="shared" si="20"/>
        <v>0.14457096177250239</v>
      </c>
      <c r="F200" s="362">
        <f t="shared" si="21"/>
        <v>3.4809143391127846E-2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619</v>
      </c>
      <c r="C203" s="361">
        <f>C133+C168</f>
        <v>22669478</v>
      </c>
      <c r="D203" s="361">
        <f>LN_ID14+LN_IE14</f>
        <v>28337289</v>
      </c>
      <c r="E203" s="361">
        <f t="shared" ref="E203:E211" si="22">D203-C203</f>
        <v>5667811</v>
      </c>
      <c r="F203" s="362">
        <f t="shared" ref="F203:F211" si="23">IF(C203=0,0,E203/C203)</f>
        <v>0.25001947552563847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620</v>
      </c>
      <c r="C204" s="361">
        <f>C134+C169</f>
        <v>3062467</v>
      </c>
      <c r="D204" s="361">
        <f>LN_ID15+LN_IE15</f>
        <v>4308693</v>
      </c>
      <c r="E204" s="361">
        <f t="shared" si="22"/>
        <v>1246226</v>
      </c>
      <c r="F204" s="362">
        <f t="shared" si="23"/>
        <v>0.40693532371124325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621</v>
      </c>
      <c r="C205" s="366">
        <f>IF(C203=0,0,C204/C203)</f>
        <v>0.13509208284372495</v>
      </c>
      <c r="D205" s="366">
        <f>IF(LN_IF14=0,0,LN_IF15/LN_IF14)</f>
        <v>0.15205028963779846</v>
      </c>
      <c r="E205" s="367">
        <f t="shared" si="22"/>
        <v>1.6958206794073505E-2</v>
      </c>
      <c r="F205" s="362">
        <f t="shared" si="23"/>
        <v>0.12553072272703666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622</v>
      </c>
      <c r="C206" s="366">
        <f>IF(C188=0,0,C203/C188)</f>
        <v>1.1294911447997642</v>
      </c>
      <c r="D206" s="366">
        <f>IF(LN_IF1=0,0,LN_IF14/LN_IF1)</f>
        <v>1.2382551796048165</v>
      </c>
      <c r="E206" s="367">
        <f t="shared" si="22"/>
        <v>0.10876403480505226</v>
      </c>
      <c r="F206" s="362">
        <f t="shared" si="23"/>
        <v>9.6294721128011948E-2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623</v>
      </c>
      <c r="C207" s="376">
        <f>C137+C172</f>
        <v>1023.3888387155189</v>
      </c>
      <c r="D207" s="376">
        <f>LN_ID18+LN_IE18</f>
        <v>1017.4620619803188</v>
      </c>
      <c r="E207" s="376">
        <f t="shared" si="22"/>
        <v>-5.9267767352000646</v>
      </c>
      <c r="F207" s="362">
        <f t="shared" si="23"/>
        <v>-5.7913243832509557E-3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624</v>
      </c>
      <c r="C208" s="378">
        <f>IF(C207=0,0,C204/C207)</f>
        <v>2992.4764509292281</v>
      </c>
      <c r="D208" s="378">
        <f>IF(LN_IF18=0,0,LN_IF15/LN_IF18)</f>
        <v>4234.7456096926635</v>
      </c>
      <c r="E208" s="378">
        <f t="shared" si="22"/>
        <v>1242.2691587634354</v>
      </c>
      <c r="F208" s="362">
        <f t="shared" si="23"/>
        <v>0.41513080524917217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674</v>
      </c>
      <c r="C209" s="378">
        <f>C61-C208</f>
        <v>5116.7775374413504</v>
      </c>
      <c r="D209" s="378">
        <f>LN_IB18-LN_IF19</f>
        <v>4740.2243116406262</v>
      </c>
      <c r="E209" s="378">
        <f t="shared" si="22"/>
        <v>-376.55322580072425</v>
      </c>
      <c r="F209" s="362">
        <f t="shared" si="23"/>
        <v>-7.3591869696375364E-2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675</v>
      </c>
      <c r="C210" s="378">
        <f>C32-C208</f>
        <v>3981.7034588151892</v>
      </c>
      <c r="D210" s="378">
        <f>LN_IA16-LN_IF19</f>
        <v>3314.4559799039898</v>
      </c>
      <c r="E210" s="378">
        <f t="shared" si="22"/>
        <v>-667.24747891119932</v>
      </c>
      <c r="F210" s="362">
        <f t="shared" si="23"/>
        <v>-0.16757839598375013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635</v>
      </c>
      <c r="C211" s="391">
        <f>C141+C176</f>
        <v>4074830.8788264417</v>
      </c>
      <c r="D211" s="353">
        <f>LN_IF21*LN_IF18</f>
        <v>3372333.2156561115</v>
      </c>
      <c r="E211" s="353">
        <f t="shared" si="22"/>
        <v>-702497.66317033023</v>
      </c>
      <c r="F211" s="362">
        <f t="shared" si="23"/>
        <v>-0.17239921951623444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626</v>
      </c>
      <c r="C214" s="361">
        <f>C188+C203</f>
        <v>42740001</v>
      </c>
      <c r="D214" s="361">
        <f>LN_IF1+LN_IF14</f>
        <v>51222143</v>
      </c>
      <c r="E214" s="361">
        <f>D214-C214</f>
        <v>8482142</v>
      </c>
      <c r="F214" s="362">
        <f>IF(C214=0,0,E214/C214)</f>
        <v>0.19845909690081665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627</v>
      </c>
      <c r="C215" s="361">
        <f>C189+C204</f>
        <v>8531403</v>
      </c>
      <c r="D215" s="361">
        <f>LN_IF2+LN_IF15</f>
        <v>9813564</v>
      </c>
      <c r="E215" s="361">
        <f>D215-C215</f>
        <v>1282161</v>
      </c>
      <c r="F215" s="362">
        <f>IF(C215=0,0,E215/C215)</f>
        <v>0.15028723880468428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628</v>
      </c>
      <c r="C216" s="361">
        <f>C214-C215</f>
        <v>34208598</v>
      </c>
      <c r="D216" s="361">
        <f>LN_IF23-LN_IF24</f>
        <v>41408579</v>
      </c>
      <c r="E216" s="361">
        <f>D216-C216</f>
        <v>7199981</v>
      </c>
      <c r="F216" s="362">
        <f>IF(C216=0,0,E216/C216)</f>
        <v>0.21047284662177621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610</v>
      </c>
      <c r="C221" s="361">
        <v>137517</v>
      </c>
      <c r="D221" s="361">
        <v>74098</v>
      </c>
      <c r="E221" s="361">
        <f t="shared" ref="E221:E230" si="24">D221-C221</f>
        <v>-63419</v>
      </c>
      <c r="F221" s="362">
        <f t="shared" ref="F221:F230" si="25">IF(C221=0,0,E221/C221)</f>
        <v>-0.46117207327094106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611</v>
      </c>
      <c r="C222" s="361">
        <v>10408</v>
      </c>
      <c r="D222" s="361">
        <v>20081</v>
      </c>
      <c r="E222" s="361">
        <f t="shared" si="24"/>
        <v>9673</v>
      </c>
      <c r="F222" s="362">
        <f t="shared" si="25"/>
        <v>0.92938124519600307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612</v>
      </c>
      <c r="C223" s="366">
        <f>IF(C221=0,0,C222/C221)</f>
        <v>7.5685188013118382E-2</v>
      </c>
      <c r="D223" s="366">
        <f>IF(LN_IG1=0,0,LN_IG2/LN_IG1)</f>
        <v>0.27100596507328134</v>
      </c>
      <c r="E223" s="367">
        <f t="shared" si="24"/>
        <v>0.19532077706016296</v>
      </c>
      <c r="F223" s="362">
        <f t="shared" si="25"/>
        <v>2.5807001632381272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</v>
      </c>
      <c r="D224" s="369">
        <v>4</v>
      </c>
      <c r="E224" s="369">
        <f t="shared" si="24"/>
        <v>-2</v>
      </c>
      <c r="F224" s="362">
        <f t="shared" si="25"/>
        <v>-0.33333333333333331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613</v>
      </c>
      <c r="C225" s="372">
        <v>0.99019999999999997</v>
      </c>
      <c r="D225" s="372">
        <v>0.58199999999999996</v>
      </c>
      <c r="E225" s="373">
        <f t="shared" si="24"/>
        <v>-0.40820000000000001</v>
      </c>
      <c r="F225" s="362">
        <f t="shared" si="25"/>
        <v>-0.41223995152494447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614</v>
      </c>
      <c r="C226" s="376">
        <f>C224*C225</f>
        <v>5.9412000000000003</v>
      </c>
      <c r="D226" s="376">
        <f>LN_IG3*LN_IG4</f>
        <v>2.3279999999999998</v>
      </c>
      <c r="E226" s="376">
        <f t="shared" si="24"/>
        <v>-3.6132000000000004</v>
      </c>
      <c r="F226" s="362">
        <f t="shared" si="25"/>
        <v>-0.60815996768329639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615</v>
      </c>
      <c r="C227" s="378">
        <f>IF(C226=0,0,C222/C226)</f>
        <v>1751.8346461994208</v>
      </c>
      <c r="D227" s="378">
        <f>IF(LN_IG5=0,0,LN_IG2/LN_IG5)</f>
        <v>8625.8591065292094</v>
      </c>
      <c r="E227" s="378">
        <f t="shared" si="24"/>
        <v>6874.0244603297888</v>
      </c>
      <c r="F227" s="362">
        <f t="shared" si="25"/>
        <v>3.9239002809100061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19</v>
      </c>
      <c r="D228" s="369">
        <v>7</v>
      </c>
      <c r="E228" s="369">
        <f t="shared" si="24"/>
        <v>-12</v>
      </c>
      <c r="F228" s="362">
        <f t="shared" si="25"/>
        <v>-0.63157894736842102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616</v>
      </c>
      <c r="C229" s="378">
        <f>IF(C228=0,0,C222/C228)</f>
        <v>547.78947368421052</v>
      </c>
      <c r="D229" s="378">
        <f>IF(LN_IG6=0,0,LN_IG2/LN_IG6)</f>
        <v>2868.7142857142858</v>
      </c>
      <c r="E229" s="378">
        <f t="shared" si="24"/>
        <v>2320.9248120300754</v>
      </c>
      <c r="F229" s="362">
        <f t="shared" si="25"/>
        <v>4.2368919512462941</v>
      </c>
      <c r="Q229" s="330"/>
      <c r="U229" s="375"/>
    </row>
    <row r="230" spans="1:21" ht="11.25" customHeight="1" x14ac:dyDescent="0.2">
      <c r="A230" s="364">
        <v>10</v>
      </c>
      <c r="B230" s="360" t="s">
        <v>617</v>
      </c>
      <c r="C230" s="379">
        <f>IF(C224=0,0,C228/C224)</f>
        <v>3.1666666666666665</v>
      </c>
      <c r="D230" s="379">
        <f>IF(LN_IG3=0,0,LN_IG6/LN_IG3)</f>
        <v>1.75</v>
      </c>
      <c r="E230" s="379">
        <f t="shared" si="24"/>
        <v>-1.4166666666666665</v>
      </c>
      <c r="F230" s="362">
        <f t="shared" si="25"/>
        <v>-0.44736842105263153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619</v>
      </c>
      <c r="C233" s="361">
        <v>394295</v>
      </c>
      <c r="D233" s="361">
        <v>363756</v>
      </c>
      <c r="E233" s="361">
        <f>D233-C233</f>
        <v>-30539</v>
      </c>
      <c r="F233" s="362">
        <f>IF(C233=0,0,E233/C233)</f>
        <v>-7.7452161452719409E-2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620</v>
      </c>
      <c r="C234" s="361">
        <v>27059</v>
      </c>
      <c r="D234" s="361">
        <v>127693</v>
      </c>
      <c r="E234" s="361">
        <f>D234-C234</f>
        <v>100634</v>
      </c>
      <c r="F234" s="362">
        <f>IF(C234=0,0,E234/C234)</f>
        <v>3.7190583539672568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626</v>
      </c>
      <c r="C237" s="361">
        <f>C221+C233</f>
        <v>531812</v>
      </c>
      <c r="D237" s="361">
        <f>LN_IG1+LN_IG9</f>
        <v>437854</v>
      </c>
      <c r="E237" s="361">
        <f>D237-C237</f>
        <v>-93958</v>
      </c>
      <c r="F237" s="362">
        <f>IF(C237=0,0,E237/C237)</f>
        <v>-0.17667521605379344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627</v>
      </c>
      <c r="C238" s="361">
        <f>C222+C234</f>
        <v>37467</v>
      </c>
      <c r="D238" s="361">
        <f>LN_IG2+LN_IG10</f>
        <v>147774</v>
      </c>
      <c r="E238" s="361">
        <f>D238-C238</f>
        <v>110307</v>
      </c>
      <c r="F238" s="362">
        <f>IF(C238=0,0,E238/C238)</f>
        <v>2.9441108175194173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628</v>
      </c>
      <c r="C239" s="361">
        <f>C237-C238</f>
        <v>494345</v>
      </c>
      <c r="D239" s="361">
        <f>LN_IG13-LN_IG14</f>
        <v>290080</v>
      </c>
      <c r="E239" s="361">
        <f>D239-C239</f>
        <v>-204265</v>
      </c>
      <c r="F239" s="362">
        <f>IF(C239=0,0,E239/C239)</f>
        <v>-0.41320332965843692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681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682</v>
      </c>
      <c r="C243" s="361">
        <v>22912084</v>
      </c>
      <c r="D243" s="361">
        <v>20447859</v>
      </c>
      <c r="E243" s="353">
        <f>D243-C243</f>
        <v>-2464225</v>
      </c>
      <c r="F243" s="415">
        <f>IF(C243=0,0,E243/C243)</f>
        <v>-0.10755132531811598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683</v>
      </c>
      <c r="C244" s="361">
        <v>287530757</v>
      </c>
      <c r="D244" s="361">
        <v>305925000</v>
      </c>
      <c r="E244" s="353">
        <f>D244-C244</f>
        <v>18394243</v>
      </c>
      <c r="F244" s="415">
        <f>IF(C244=0,0,E244/C244)</f>
        <v>6.3973131750910392E-2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684</v>
      </c>
      <c r="C245" s="400">
        <v>1104887</v>
      </c>
      <c r="D245" s="400">
        <v>0</v>
      </c>
      <c r="E245" s="400">
        <f>D245-C245</f>
        <v>-1104887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686</v>
      </c>
      <c r="C248" s="353">
        <v>20038812</v>
      </c>
      <c r="D248" s="353">
        <v>19375204</v>
      </c>
      <c r="E248" s="353">
        <f>D248-C248</f>
        <v>-663608</v>
      </c>
      <c r="F248" s="362">
        <f>IF(C248=0,0,E248/C248)</f>
        <v>-3.3116134828751323E-2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687</v>
      </c>
      <c r="C249" s="353">
        <v>10503632</v>
      </c>
      <c r="D249" s="353">
        <v>9269877</v>
      </c>
      <c r="E249" s="353">
        <f>D249-C249</f>
        <v>-1233755</v>
      </c>
      <c r="F249" s="362">
        <f>IF(C249=0,0,E249/C249)</f>
        <v>-0.11745984627031869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688</v>
      </c>
      <c r="C250" s="353">
        <f>C248+C249</f>
        <v>30542444</v>
      </c>
      <c r="D250" s="353">
        <f>LN_IH4+LN_IH5</f>
        <v>28645081</v>
      </c>
      <c r="E250" s="353">
        <f>D250-C250</f>
        <v>-1897363</v>
      </c>
      <c r="F250" s="362">
        <f>IF(C250=0,0,E250/C250)</f>
        <v>-6.2122173327059223E-2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689</v>
      </c>
      <c r="C251" s="353">
        <f>C250*C313</f>
        <v>9299083.0402689166</v>
      </c>
      <c r="D251" s="353">
        <f>LN_IH6*LN_III10</f>
        <v>8898468.2360083591</v>
      </c>
      <c r="E251" s="353">
        <f>D251-C251</f>
        <v>-400614.80426055752</v>
      </c>
      <c r="F251" s="362">
        <f>IF(C251=0,0,E251/C251)</f>
        <v>-4.3081108376570892E-2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626</v>
      </c>
      <c r="C254" s="353">
        <f>C188+C203</f>
        <v>42740001</v>
      </c>
      <c r="D254" s="353">
        <f>LN_IF23</f>
        <v>51222143</v>
      </c>
      <c r="E254" s="353">
        <f>D254-C254</f>
        <v>8482142</v>
      </c>
      <c r="F254" s="362">
        <f>IF(C254=0,0,E254/C254)</f>
        <v>0.19845909690081665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627</v>
      </c>
      <c r="C255" s="353">
        <f>C189+C204</f>
        <v>8531403</v>
      </c>
      <c r="D255" s="353">
        <f>LN_IF24</f>
        <v>9813564</v>
      </c>
      <c r="E255" s="353">
        <f>D255-C255</f>
        <v>1282161</v>
      </c>
      <c r="F255" s="362">
        <f>IF(C255=0,0,E255/C255)</f>
        <v>0.15028723880468428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691</v>
      </c>
      <c r="C256" s="353">
        <f>C254*C313</f>
        <v>13012803.377495807</v>
      </c>
      <c r="D256" s="353">
        <f>LN_IH8*LN_III10</f>
        <v>15911933.098243915</v>
      </c>
      <c r="E256" s="353">
        <f>D256-C256</f>
        <v>2899129.7207481079</v>
      </c>
      <c r="F256" s="362">
        <f>IF(C256=0,0,E256/C256)</f>
        <v>0.22279055762587097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692</v>
      </c>
      <c r="C257" s="353">
        <f>C256-C255</f>
        <v>4481400.3774958067</v>
      </c>
      <c r="D257" s="353">
        <f>LN_IH10-LN_IH9</f>
        <v>6098369.0982439145</v>
      </c>
      <c r="E257" s="353">
        <f>D257-C257</f>
        <v>1616968.7207481079</v>
      </c>
      <c r="F257" s="362">
        <f>IF(C257=0,0,E257/C257)</f>
        <v>0.36081773207946782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695</v>
      </c>
      <c r="C261" s="361">
        <f>C15+C42+C188+C221</f>
        <v>408731408</v>
      </c>
      <c r="D261" s="361">
        <f>LN_IA1+LN_IB1+LN_IF1+LN_IG1</f>
        <v>423550235</v>
      </c>
      <c r="E261" s="361">
        <f t="shared" ref="E261:E274" si="26">D261-C261</f>
        <v>14818827</v>
      </c>
      <c r="F261" s="415">
        <f t="shared" ref="F261:F274" si="27">IF(C261=0,0,E261/C261)</f>
        <v>3.6255660098428254E-2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696</v>
      </c>
      <c r="C262" s="361">
        <f>C16+C43+C189+C222</f>
        <v>127601946</v>
      </c>
      <c r="D262" s="361">
        <f>+LN_IA2+LN_IB2+LN_IF2+LN_IG2</f>
        <v>131753502</v>
      </c>
      <c r="E262" s="361">
        <f t="shared" si="26"/>
        <v>4151556</v>
      </c>
      <c r="F262" s="415">
        <f t="shared" si="27"/>
        <v>3.2535209141716384E-2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697</v>
      </c>
      <c r="C263" s="366">
        <f>IF(C261=0,0,C262/C261)</f>
        <v>0.31219021465558622</v>
      </c>
      <c r="D263" s="366">
        <f>IF(LN_IIA1=0,0,LN_IIA2/LN_IIA1)</f>
        <v>0.31106936347231634</v>
      </c>
      <c r="E263" s="367">
        <f t="shared" si="26"/>
        <v>-1.1208511832698775E-3</v>
      </c>
      <c r="F263" s="371">
        <f t="shared" si="27"/>
        <v>-3.5902828809237998E-3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698</v>
      </c>
      <c r="C264" s="369">
        <f>C18+C45+C191+C224</f>
        <v>13627</v>
      </c>
      <c r="D264" s="369">
        <f>LN_IA4+LN_IB4+LN_IF4+LN_IG3</f>
        <v>13479</v>
      </c>
      <c r="E264" s="369">
        <f t="shared" si="26"/>
        <v>-148</v>
      </c>
      <c r="F264" s="415">
        <f t="shared" si="27"/>
        <v>-1.0860791076539224E-2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699</v>
      </c>
      <c r="C265" s="439">
        <f>IF(C264=0,0,C266/C264)</f>
        <v>1.0867731122037132</v>
      </c>
      <c r="D265" s="439">
        <f>IF(LN_IIA4=0,0,LN_IIA6/LN_IIA4)</f>
        <v>1.1277108465019658</v>
      </c>
      <c r="E265" s="439">
        <f t="shared" si="26"/>
        <v>4.0937734298252648E-2</v>
      </c>
      <c r="F265" s="415">
        <f t="shared" si="27"/>
        <v>3.7669071711979349E-2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700</v>
      </c>
      <c r="C266" s="376">
        <f>C20+C47+C193+C226</f>
        <v>14809.457200000001</v>
      </c>
      <c r="D266" s="376">
        <f>LN_IA6+LN_IB6+LN_IF6+LN_IG5</f>
        <v>15200.414499999999</v>
      </c>
      <c r="E266" s="376">
        <f t="shared" si="26"/>
        <v>390.95729999999821</v>
      </c>
      <c r="F266" s="415">
        <f t="shared" si="27"/>
        <v>2.639916471752916E-2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701</v>
      </c>
      <c r="C267" s="361">
        <f>C27+C56+C203+C233</f>
        <v>492001556</v>
      </c>
      <c r="D267" s="361">
        <f>LN_IA11+LN_IB13+LN_IF14+LN_IG9</f>
        <v>521449226</v>
      </c>
      <c r="E267" s="361">
        <f t="shared" si="26"/>
        <v>29447670</v>
      </c>
      <c r="F267" s="415">
        <f t="shared" si="27"/>
        <v>5.9852798514320148E-2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622</v>
      </c>
      <c r="C268" s="366">
        <f>IF(C261=0,0,C267/C261)</f>
        <v>1.2037282830978333</v>
      </c>
      <c r="D268" s="366">
        <f>IF(LN_IIA1=0,0,LN_IIA7/LN_IIA1)</f>
        <v>1.2311390312414772</v>
      </c>
      <c r="E268" s="367">
        <f t="shared" si="26"/>
        <v>2.7410748143643859E-2</v>
      </c>
      <c r="F268" s="371">
        <f t="shared" si="27"/>
        <v>2.2771541159688814E-2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702</v>
      </c>
      <c r="C269" s="361">
        <f>C28+C57+C204+C234</f>
        <v>142799576</v>
      </c>
      <c r="D269" s="361">
        <f>LN_IA12+LN_IB14+LN_IF15+LN_IG10</f>
        <v>159549280</v>
      </c>
      <c r="E269" s="361">
        <f t="shared" si="26"/>
        <v>16749704</v>
      </c>
      <c r="F269" s="415">
        <f t="shared" si="27"/>
        <v>0.11729519420982035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621</v>
      </c>
      <c r="C270" s="366">
        <f>IF(C267=0,0,C269/C267)</f>
        <v>0.29024212273019723</v>
      </c>
      <c r="D270" s="366">
        <f>IF(LN_IIA7=0,0,LN_IIA9/LN_IIA7)</f>
        <v>0.30597280050426234</v>
      </c>
      <c r="E270" s="367">
        <f t="shared" si="26"/>
        <v>1.5730677774065116E-2</v>
      </c>
      <c r="F270" s="371">
        <f t="shared" si="27"/>
        <v>5.4198465839805109E-2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703</v>
      </c>
      <c r="C271" s="353">
        <f>C261+C267</f>
        <v>900732964</v>
      </c>
      <c r="D271" s="353">
        <f>LN_IIA1+LN_IIA7</f>
        <v>944999461</v>
      </c>
      <c r="E271" s="353">
        <f t="shared" si="26"/>
        <v>44266497</v>
      </c>
      <c r="F271" s="415">
        <f t="shared" si="27"/>
        <v>4.9144972782410569E-2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704</v>
      </c>
      <c r="C272" s="353">
        <f>C262+C269</f>
        <v>270401522</v>
      </c>
      <c r="D272" s="353">
        <f>LN_IIA2+LN_IIA9</f>
        <v>291302782</v>
      </c>
      <c r="E272" s="353">
        <f t="shared" si="26"/>
        <v>20901260</v>
      </c>
      <c r="F272" s="415">
        <f t="shared" si="27"/>
        <v>7.7297124089412486E-2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705</v>
      </c>
      <c r="C273" s="366">
        <f>IF(C271=0,0,C272/C271)</f>
        <v>0.30020164999756799</v>
      </c>
      <c r="D273" s="366">
        <f>IF(LN_IIA11=0,0,LN_IIA12/LN_IIA11)</f>
        <v>0.30825708799002161</v>
      </c>
      <c r="E273" s="367">
        <f t="shared" si="26"/>
        <v>8.0554379924536179E-3</v>
      </c>
      <c r="F273" s="371">
        <f t="shared" si="27"/>
        <v>2.6833423442272478E-2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53059</v>
      </c>
      <c r="D274" s="421">
        <f>LN_IA8+LN_IB10+LN_IF11+LN_IG6</f>
        <v>52638</v>
      </c>
      <c r="E274" s="442">
        <f t="shared" si="26"/>
        <v>-421</v>
      </c>
      <c r="F274" s="371">
        <f t="shared" si="27"/>
        <v>-7.9345634105429802E-3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707</v>
      </c>
      <c r="C277" s="361">
        <f>C15+C188+C221</f>
        <v>230703844</v>
      </c>
      <c r="D277" s="361">
        <f>LN_IA1+LN_IF1+LN_IG1</f>
        <v>243429513</v>
      </c>
      <c r="E277" s="361">
        <f t="shared" ref="E277:E291" si="28">D277-C277</f>
        <v>12725669</v>
      </c>
      <c r="F277" s="415">
        <f t="shared" ref="F277:F291" si="29">IF(C277=0,0,E277/C277)</f>
        <v>5.5160194903384446E-2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708</v>
      </c>
      <c r="C278" s="361">
        <f>C16+C189+C222</f>
        <v>57647920</v>
      </c>
      <c r="D278" s="361">
        <f>LN_IA2+LN_IF2+LN_IG2</f>
        <v>57586940</v>
      </c>
      <c r="E278" s="361">
        <f t="shared" si="28"/>
        <v>-60980</v>
      </c>
      <c r="F278" s="415">
        <f t="shared" si="29"/>
        <v>-1.0578005242860454E-3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709</v>
      </c>
      <c r="C279" s="366">
        <f>IF(C277=0,0,C278/C277)</f>
        <v>0.2498784545609912</v>
      </c>
      <c r="D279" s="366">
        <f>IF(D277=0,0,LN_IIB2/D277)</f>
        <v>0.23656515305110107</v>
      </c>
      <c r="E279" s="367">
        <f t="shared" si="28"/>
        <v>-1.331330150989013E-2</v>
      </c>
      <c r="F279" s="371">
        <f t="shared" si="29"/>
        <v>-5.327910937051427E-2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710</v>
      </c>
      <c r="C280" s="369">
        <f>C18+C191+C224</f>
        <v>6045</v>
      </c>
      <c r="D280" s="369">
        <f>LN_IA4+LN_IF4+LN_IG3</f>
        <v>6038</v>
      </c>
      <c r="E280" s="369">
        <f t="shared" si="28"/>
        <v>-7</v>
      </c>
      <c r="F280" s="415">
        <f t="shared" si="29"/>
        <v>-1.1579818031430935E-3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711</v>
      </c>
      <c r="C281" s="439">
        <f>IF(C280=0,0,C282/C280)</f>
        <v>1.3567815053763439</v>
      </c>
      <c r="D281" s="439">
        <f>IF(LN_IIB4=0,0,LN_IIB6/LN_IIB4)</f>
        <v>1.3570667273931765</v>
      </c>
      <c r="E281" s="439">
        <f t="shared" si="28"/>
        <v>2.8522201683256476E-4</v>
      </c>
      <c r="F281" s="415">
        <f t="shared" si="29"/>
        <v>2.1021956424254907E-4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712</v>
      </c>
      <c r="C282" s="376">
        <f>C20+C193+C226</f>
        <v>8201.7441999999992</v>
      </c>
      <c r="D282" s="376">
        <f>LN_IA6+LN_IF6+LN_IG5</f>
        <v>8193.9688999999998</v>
      </c>
      <c r="E282" s="376">
        <f t="shared" si="28"/>
        <v>-7.7752999999993335</v>
      </c>
      <c r="F282" s="415">
        <f t="shared" si="29"/>
        <v>-9.4800566933059608E-4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713</v>
      </c>
      <c r="C283" s="361">
        <f>C27+C203+C233</f>
        <v>153306707</v>
      </c>
      <c r="D283" s="361">
        <f>LN_IA11+LN_IF14+LN_IG9</f>
        <v>173237531</v>
      </c>
      <c r="E283" s="361">
        <f t="shared" si="28"/>
        <v>19930824</v>
      </c>
      <c r="F283" s="415">
        <f t="shared" si="29"/>
        <v>0.13000621036103788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714</v>
      </c>
      <c r="C284" s="366">
        <f>IF(C277=0,0,C283/C277)</f>
        <v>0.66451734978460086</v>
      </c>
      <c r="D284" s="366">
        <f>IF(D277=0,0,LN_IIB7/D277)</f>
        <v>0.71165377141431496</v>
      </c>
      <c r="E284" s="367">
        <f t="shared" si="28"/>
        <v>4.7136421629714098E-2</v>
      </c>
      <c r="F284" s="371">
        <f t="shared" si="29"/>
        <v>7.0933319716923987E-2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715</v>
      </c>
      <c r="C285" s="361">
        <f>C28+C204+C234</f>
        <v>25826469</v>
      </c>
      <c r="D285" s="361">
        <f>LN_IA12+LN_IF15+LN_IG10</f>
        <v>30444007</v>
      </c>
      <c r="E285" s="361">
        <f t="shared" si="28"/>
        <v>4617538</v>
      </c>
      <c r="F285" s="415">
        <f t="shared" si="29"/>
        <v>0.1787909140812087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716</v>
      </c>
      <c r="C286" s="366">
        <f>IF(C283=0,0,C285/C283)</f>
        <v>0.16846274703428338</v>
      </c>
      <c r="D286" s="366">
        <f>IF(LN_IIB7=0,0,LN_IIB9/LN_IIB7)</f>
        <v>0.17573563202075421</v>
      </c>
      <c r="E286" s="367">
        <f t="shared" si="28"/>
        <v>7.2728849864708289E-3</v>
      </c>
      <c r="F286" s="371">
        <f t="shared" si="29"/>
        <v>4.3172066908007532E-2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717</v>
      </c>
      <c r="C287" s="353">
        <f>C277+C283</f>
        <v>384010551</v>
      </c>
      <c r="D287" s="353">
        <f>D277+LN_IIB7</f>
        <v>416667044</v>
      </c>
      <c r="E287" s="353">
        <f t="shared" si="28"/>
        <v>32656493</v>
      </c>
      <c r="F287" s="415">
        <f t="shared" si="29"/>
        <v>8.5040613897090556E-2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718</v>
      </c>
      <c r="C288" s="353">
        <f>C278+C285</f>
        <v>83474389</v>
      </c>
      <c r="D288" s="353">
        <f>LN_IIB2+LN_IIB9</f>
        <v>88030947</v>
      </c>
      <c r="E288" s="353">
        <f t="shared" si="28"/>
        <v>4556558</v>
      </c>
      <c r="F288" s="415">
        <f t="shared" si="29"/>
        <v>5.4586299517568194E-2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719</v>
      </c>
      <c r="C289" s="366">
        <f>IF(C287=0,0,C288/C287)</f>
        <v>0.21737524862956176</v>
      </c>
      <c r="D289" s="366">
        <f>IF(LN_IIB11=0,0,LN_IIB12/LN_IIB11)</f>
        <v>0.21127408147019183</v>
      </c>
      <c r="E289" s="367">
        <f t="shared" si="28"/>
        <v>-6.1011671593699246E-3</v>
      </c>
      <c r="F289" s="371">
        <f t="shared" si="29"/>
        <v>-2.8067441890622876E-2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28439</v>
      </c>
      <c r="D290" s="421">
        <f>LN_IA8+LN_IF11+LN_IG6</f>
        <v>28483</v>
      </c>
      <c r="E290" s="442">
        <f t="shared" si="28"/>
        <v>44</v>
      </c>
      <c r="F290" s="371">
        <f t="shared" si="29"/>
        <v>1.5471711382256761E-3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720</v>
      </c>
      <c r="C291" s="361">
        <f>C287-C288</f>
        <v>300536162</v>
      </c>
      <c r="D291" s="429">
        <f>LN_IIB11-LN_IIB12</f>
        <v>328636097</v>
      </c>
      <c r="E291" s="353">
        <f t="shared" si="28"/>
        <v>28099935</v>
      </c>
      <c r="F291" s="415">
        <f t="shared" si="29"/>
        <v>9.3499347343099434E-2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608</v>
      </c>
      <c r="C294" s="379">
        <f>IF(C18=0,0,C22/C18)</f>
        <v>4.7868665780983113</v>
      </c>
      <c r="D294" s="379">
        <f>IF(LN_IA4=0,0,LN_IA8/LN_IA4)</f>
        <v>4.7817316841103708</v>
      </c>
      <c r="E294" s="379">
        <f t="shared" ref="E294:E300" si="30">D294-C294</f>
        <v>-5.1348939879405364E-3</v>
      </c>
      <c r="F294" s="415">
        <f t="shared" ref="F294:F300" si="31">IF(C294=0,0,E294/C294)</f>
        <v>-1.0727046396978306E-3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629</v>
      </c>
      <c r="C295" s="379">
        <f>IF(C45=0,0,C51/C45)</f>
        <v>3.2471643365866525</v>
      </c>
      <c r="D295" s="379">
        <f>IF(LN_IB4=0,0,(LN_IB10)/(LN_IB4))</f>
        <v>3.2462034672759037</v>
      </c>
      <c r="E295" s="379">
        <f t="shared" si="30"/>
        <v>-9.6086931074879089E-4</v>
      </c>
      <c r="F295" s="415">
        <f t="shared" si="31"/>
        <v>-2.9591028083254806E-4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644</v>
      </c>
      <c r="C296" s="379">
        <f>IF(C86=0,0,C93/C86)</f>
        <v>3.0180180180180178</v>
      </c>
      <c r="D296" s="379">
        <f>IF(LN_IC4=0,0,LN_IC11/LN_IC4)</f>
        <v>2.3931034482758622</v>
      </c>
      <c r="E296" s="379">
        <f t="shared" si="30"/>
        <v>-0.62491456974215565</v>
      </c>
      <c r="F296" s="415">
        <f t="shared" si="31"/>
        <v>-0.20706124549665458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3.4990328820116052</v>
      </c>
      <c r="D297" s="379">
        <f>IF(LN_ID4=0,0,LN_ID11/LN_ID4)</f>
        <v>3.3955056179775283</v>
      </c>
      <c r="E297" s="379">
        <f t="shared" si="30"/>
        <v>-0.10352726403407697</v>
      </c>
      <c r="F297" s="415">
        <f t="shared" si="31"/>
        <v>-2.9587393867118738E-2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721</v>
      </c>
      <c r="C298" s="379">
        <f>IF(C156=0,0,C163/C156)</f>
        <v>5.4901185770750986</v>
      </c>
      <c r="D298" s="379">
        <f>IF(LN_IE4=0,0,LN_IE11/LN_IE4)</f>
        <v>5.5</v>
      </c>
      <c r="E298" s="379">
        <f t="shared" si="30"/>
        <v>9.8814229249013508E-3</v>
      </c>
      <c r="F298" s="415">
        <f t="shared" si="31"/>
        <v>1.7998560115191087E-3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3.1666666666666665</v>
      </c>
      <c r="D299" s="379">
        <f>IF(LN_IG3=0,0,LN_IG6/LN_IG3)</f>
        <v>1.75</v>
      </c>
      <c r="E299" s="379">
        <f t="shared" si="30"/>
        <v>-1.4166666666666665</v>
      </c>
      <c r="F299" s="415">
        <f t="shared" si="31"/>
        <v>-0.44736842105263153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722</v>
      </c>
      <c r="C300" s="379">
        <f>IF(C264=0,0,C274/C264)</f>
        <v>3.8936669846628016</v>
      </c>
      <c r="D300" s="379">
        <f>IF(LN_IIA4=0,0,LN_IIA14/LN_IIA4)</f>
        <v>3.905185844647229</v>
      </c>
      <c r="E300" s="379">
        <f t="shared" si="30"/>
        <v>1.1518859984427365E-2</v>
      </c>
      <c r="F300" s="415">
        <f t="shared" si="31"/>
        <v>2.9583577716841953E-3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717</v>
      </c>
      <c r="C304" s="353">
        <f>C35+C66+C214+C221+C233</f>
        <v>900732964</v>
      </c>
      <c r="D304" s="353">
        <f>LN_IIA11</f>
        <v>944999461</v>
      </c>
      <c r="E304" s="353">
        <f t="shared" ref="E304:E316" si="32">D304-C304</f>
        <v>44266497</v>
      </c>
      <c r="F304" s="362">
        <f>IF(C304=0,0,E304/C304)</f>
        <v>4.9144972782410569E-2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720</v>
      </c>
      <c r="C305" s="353">
        <f>C291</f>
        <v>300536162</v>
      </c>
      <c r="D305" s="353">
        <f>LN_IIB14</f>
        <v>328636097</v>
      </c>
      <c r="E305" s="353">
        <f t="shared" si="32"/>
        <v>28099935</v>
      </c>
      <c r="F305" s="362">
        <f>IF(C305=0,0,E305/C305)</f>
        <v>9.3499347343099434E-2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724</v>
      </c>
      <c r="C306" s="353">
        <f>C250</f>
        <v>30542444</v>
      </c>
      <c r="D306" s="353">
        <f>LN_IH6</f>
        <v>28645081</v>
      </c>
      <c r="E306" s="353">
        <f t="shared" si="32"/>
        <v>-1897363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725</v>
      </c>
      <c r="C307" s="353">
        <f>C73-C74</f>
        <v>283829458</v>
      </c>
      <c r="D307" s="353">
        <f>LN_IB32-LN_IB33</f>
        <v>279761982</v>
      </c>
      <c r="E307" s="353">
        <f t="shared" si="32"/>
        <v>-4067476</v>
      </c>
      <c r="F307" s="362">
        <f t="shared" ref="F307:F316" si="33">IF(C307=0,0,E307/C307)</f>
        <v>-1.4330704179409031E-2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726</v>
      </c>
      <c r="C308" s="353">
        <v>12688779</v>
      </c>
      <c r="D308" s="353">
        <v>14396381</v>
      </c>
      <c r="E308" s="353">
        <f t="shared" si="32"/>
        <v>1707602</v>
      </c>
      <c r="F308" s="362">
        <f t="shared" si="33"/>
        <v>0.13457575390035559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727</v>
      </c>
      <c r="C309" s="353">
        <f>C305+C307+C308+C306</f>
        <v>627596843</v>
      </c>
      <c r="D309" s="353">
        <f>LN_III2+LN_III3+LN_III4+LN_III5</f>
        <v>651439541</v>
      </c>
      <c r="E309" s="353">
        <f t="shared" si="32"/>
        <v>23842698</v>
      </c>
      <c r="F309" s="362">
        <f t="shared" si="33"/>
        <v>3.7990468349121377E-2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728</v>
      </c>
      <c r="C310" s="353">
        <f>C304-C309</f>
        <v>273136121</v>
      </c>
      <c r="D310" s="353">
        <f>LN_III1-LN_III6</f>
        <v>293559920</v>
      </c>
      <c r="E310" s="353">
        <f t="shared" si="32"/>
        <v>20423799</v>
      </c>
      <c r="F310" s="362">
        <f t="shared" si="33"/>
        <v>7.4775166774811164E-2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729</v>
      </c>
      <c r="C311" s="353">
        <f>C245</f>
        <v>1104887</v>
      </c>
      <c r="D311" s="353">
        <f>LN_IH3</f>
        <v>0</v>
      </c>
      <c r="E311" s="353">
        <f t="shared" si="32"/>
        <v>-1104887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730</v>
      </c>
      <c r="C312" s="353">
        <f>C310+C311</f>
        <v>274241008</v>
      </c>
      <c r="D312" s="353">
        <f>LN_III7+LN_III8</f>
        <v>293559920</v>
      </c>
      <c r="E312" s="353">
        <f t="shared" si="32"/>
        <v>19318912</v>
      </c>
      <c r="F312" s="362">
        <f t="shared" si="33"/>
        <v>7.0445015283782803E-2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731</v>
      </c>
      <c r="C313" s="448">
        <f>IF(C304=0,0,C312/C304)</f>
        <v>0.30446427405314769</v>
      </c>
      <c r="D313" s="448">
        <f>IF(LN_III1=0,0,LN_III9/LN_III1)</f>
        <v>0.31064559517246115</v>
      </c>
      <c r="E313" s="448">
        <f t="shared" si="32"/>
        <v>6.1813211193134654E-3</v>
      </c>
      <c r="F313" s="362">
        <f t="shared" si="33"/>
        <v>2.0302287151872687E-2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689</v>
      </c>
      <c r="C314" s="353">
        <f>C306*C313</f>
        <v>9299083.0402689166</v>
      </c>
      <c r="D314" s="353">
        <f>D313*LN_III5</f>
        <v>8898468.2360083591</v>
      </c>
      <c r="E314" s="353">
        <f t="shared" si="32"/>
        <v>-400614.80426055752</v>
      </c>
      <c r="F314" s="362">
        <f t="shared" si="33"/>
        <v>-4.3081108376570892E-2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692</v>
      </c>
      <c r="C315" s="353">
        <f>(C214*C313)-C215</f>
        <v>4481400.3774958067</v>
      </c>
      <c r="D315" s="353">
        <f>D313*LN_IH8-LN_IH9</f>
        <v>6098369.0982439145</v>
      </c>
      <c r="E315" s="353">
        <f t="shared" si="32"/>
        <v>1616968.7207481079</v>
      </c>
      <c r="F315" s="362">
        <f t="shared" si="33"/>
        <v>0.36081773207946782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734</v>
      </c>
      <c r="C318" s="353">
        <f>C314+C315+C316</f>
        <v>13780483.417764723</v>
      </c>
      <c r="D318" s="353">
        <f>D314+D315+D316</f>
        <v>14996837.334252274</v>
      </c>
      <c r="E318" s="353">
        <f>D318-C318</f>
        <v>1216353.9164875504</v>
      </c>
      <c r="F318" s="362">
        <f>IF(C318=0,0,E318/C318)</f>
        <v>8.8266418500204558E-2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3614984.2806088105</v>
      </c>
      <c r="D322" s="353">
        <f>LN_ID22</f>
        <v>2170145.191538915</v>
      </c>
      <c r="E322" s="353">
        <f>LN_IV2-C322</f>
        <v>-1444839.0890698954</v>
      </c>
      <c r="F322" s="362">
        <f>IF(C322=0,0,E322/C322)</f>
        <v>-0.39968060077610235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721</v>
      </c>
      <c r="C323" s="353">
        <f>C162+C176</f>
        <v>-1142896.735204912</v>
      </c>
      <c r="D323" s="353">
        <f>LN_IE10+LN_IE22</f>
        <v>1239729.2712887058</v>
      </c>
      <c r="E323" s="353">
        <f>LN_IV3-C323</f>
        <v>2382626.0064936178</v>
      </c>
      <c r="F323" s="362">
        <f>IF(C323=0,0,E323/C323)</f>
        <v>-2.0847255339008668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736</v>
      </c>
      <c r="C324" s="353">
        <f>C92+C106</f>
        <v>5808499.6965220021</v>
      </c>
      <c r="D324" s="353">
        <f>LN_IC10+LN_IC22</f>
        <v>5351834.4440956134</v>
      </c>
      <c r="E324" s="353">
        <f>LN_IV1-C324</f>
        <v>-456665.25242638867</v>
      </c>
      <c r="F324" s="362">
        <f>IF(C324=0,0,E324/C324)</f>
        <v>-7.862017324367418E-2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737</v>
      </c>
      <c r="C325" s="429">
        <f>C324+C322+C323</f>
        <v>8280587.2419258999</v>
      </c>
      <c r="D325" s="429">
        <f>LN_IV1+LN_IV2+LN_IV3</f>
        <v>8761708.9069232345</v>
      </c>
      <c r="E325" s="353">
        <f>LN_IV4-C325</f>
        <v>481121.66499733459</v>
      </c>
      <c r="F325" s="362">
        <f>IF(C325=0,0,E325/C325)</f>
        <v>5.8102360489765852E-2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738</v>
      </c>
      <c r="B327" s="446" t="s">
        <v>739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740</v>
      </c>
      <c r="C329" s="431">
        <v>18373068</v>
      </c>
      <c r="D329" s="431">
        <v>20970294</v>
      </c>
      <c r="E329" s="431">
        <f t="shared" ref="E329:E335" si="34">D329-C329</f>
        <v>2597226</v>
      </c>
      <c r="F329" s="462">
        <f t="shared" ref="F329:F335" si="35">IF(C329=0,0,E329/C329)</f>
        <v>0.14136049569946621</v>
      </c>
    </row>
    <row r="330" spans="1:22" s="333" customFormat="1" ht="11.25" customHeight="1" x14ac:dyDescent="0.2">
      <c r="A330" s="364">
        <v>2</v>
      </c>
      <c r="B330" s="360" t="s">
        <v>741</v>
      </c>
      <c r="C330" s="429">
        <v>7579332</v>
      </c>
      <c r="D330" s="429">
        <v>5707366</v>
      </c>
      <c r="E330" s="431">
        <f t="shared" si="34"/>
        <v>-1871966</v>
      </c>
      <c r="F330" s="463">
        <f t="shared" si="35"/>
        <v>-0.24698297950267914</v>
      </c>
    </row>
    <row r="331" spans="1:22" s="333" customFormat="1" ht="11.25" customHeight="1" x14ac:dyDescent="0.2">
      <c r="A331" s="339">
        <v>3</v>
      </c>
      <c r="B331" s="360" t="s">
        <v>742</v>
      </c>
      <c r="C331" s="429">
        <v>279085742</v>
      </c>
      <c r="D331" s="429">
        <v>297010149</v>
      </c>
      <c r="E331" s="431">
        <f t="shared" si="34"/>
        <v>17924407</v>
      </c>
      <c r="F331" s="462">
        <f t="shared" si="35"/>
        <v>6.4225448679495784E-2</v>
      </c>
    </row>
    <row r="332" spans="1:22" s="333" customFormat="1" ht="11.25" customHeight="1" x14ac:dyDescent="0.2">
      <c r="A332" s="364">
        <v>4</v>
      </c>
      <c r="B332" s="360" t="s">
        <v>743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744</v>
      </c>
      <c r="C333" s="429">
        <v>900732965</v>
      </c>
      <c r="D333" s="429">
        <v>944999461</v>
      </c>
      <c r="E333" s="431">
        <f t="shared" si="34"/>
        <v>44266496</v>
      </c>
      <c r="F333" s="462">
        <f t="shared" si="35"/>
        <v>4.914497161764253E-2</v>
      </c>
    </row>
    <row r="334" spans="1:22" s="333" customFormat="1" ht="11.25" customHeight="1" x14ac:dyDescent="0.2">
      <c r="A334" s="339">
        <v>6</v>
      </c>
      <c r="B334" s="360" t="s">
        <v>745</v>
      </c>
      <c r="C334" s="429">
        <v>2949701</v>
      </c>
      <c r="D334" s="429">
        <v>2922340</v>
      </c>
      <c r="E334" s="429">
        <f t="shared" si="34"/>
        <v>-27361</v>
      </c>
      <c r="F334" s="463">
        <f t="shared" si="35"/>
        <v>-9.2758554172100837E-3</v>
      </c>
    </row>
    <row r="335" spans="1:22" s="333" customFormat="1" ht="11.25" customHeight="1" x14ac:dyDescent="0.2">
      <c r="A335" s="364">
        <v>7</v>
      </c>
      <c r="B335" s="360" t="s">
        <v>746</v>
      </c>
      <c r="C335" s="429">
        <v>33492146</v>
      </c>
      <c r="D335" s="429">
        <v>31567421</v>
      </c>
      <c r="E335" s="429">
        <f t="shared" si="34"/>
        <v>-1924725</v>
      </c>
      <c r="F335" s="462">
        <f t="shared" si="35"/>
        <v>-5.7467950844356165E-2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FILING&amp;RGREENWICH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747</v>
      </c>
      <c r="B5" s="710"/>
      <c r="C5" s="710"/>
      <c r="D5" s="710"/>
      <c r="E5" s="710"/>
    </row>
    <row r="6" spans="1:5" s="338" customFormat="1" ht="15.75" customHeight="1" x14ac:dyDescent="0.25">
      <c r="A6" s="710" t="s">
        <v>748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749</v>
      </c>
      <c r="D9" s="494" t="s">
        <v>750</v>
      </c>
      <c r="E9" s="495" t="s">
        <v>751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629</v>
      </c>
      <c r="C14" s="513">
        <v>178027564</v>
      </c>
      <c r="D14" s="513">
        <v>180120722</v>
      </c>
      <c r="E14" s="514">
        <f t="shared" ref="E14:E22" si="0">D14-C14</f>
        <v>2093158</v>
      </c>
    </row>
    <row r="15" spans="1:5" s="506" customFormat="1" x14ac:dyDescent="0.2">
      <c r="A15" s="512">
        <v>2</v>
      </c>
      <c r="B15" s="511" t="s">
        <v>608</v>
      </c>
      <c r="C15" s="513">
        <v>210495804</v>
      </c>
      <c r="D15" s="515">
        <v>220470561</v>
      </c>
      <c r="E15" s="514">
        <f t="shared" si="0"/>
        <v>9974757</v>
      </c>
    </row>
    <row r="16" spans="1:5" s="506" customFormat="1" x14ac:dyDescent="0.2">
      <c r="A16" s="512">
        <v>3</v>
      </c>
      <c r="B16" s="511" t="s">
        <v>754</v>
      </c>
      <c r="C16" s="513">
        <v>20070523</v>
      </c>
      <c r="D16" s="515">
        <v>22884854</v>
      </c>
      <c r="E16" s="514">
        <f t="shared" si="0"/>
        <v>2814331</v>
      </c>
    </row>
    <row r="17" spans="1:5" s="506" customFormat="1" x14ac:dyDescent="0.2">
      <c r="A17" s="512">
        <v>4</v>
      </c>
      <c r="B17" s="511" t="s">
        <v>114</v>
      </c>
      <c r="C17" s="513">
        <v>9106454</v>
      </c>
      <c r="D17" s="515">
        <v>11488001</v>
      </c>
      <c r="E17" s="514">
        <f t="shared" si="0"/>
        <v>2381547</v>
      </c>
    </row>
    <row r="18" spans="1:5" s="506" customFormat="1" x14ac:dyDescent="0.2">
      <c r="A18" s="512">
        <v>5</v>
      </c>
      <c r="B18" s="511" t="s">
        <v>721</v>
      </c>
      <c r="C18" s="513">
        <v>10964069</v>
      </c>
      <c r="D18" s="515">
        <v>11396853</v>
      </c>
      <c r="E18" s="514">
        <f t="shared" si="0"/>
        <v>432784</v>
      </c>
    </row>
    <row r="19" spans="1:5" s="506" customFormat="1" x14ac:dyDescent="0.2">
      <c r="A19" s="512">
        <v>6</v>
      </c>
      <c r="B19" s="511" t="s">
        <v>418</v>
      </c>
      <c r="C19" s="513">
        <v>137517</v>
      </c>
      <c r="D19" s="515">
        <v>74098</v>
      </c>
      <c r="E19" s="514">
        <f t="shared" si="0"/>
        <v>-63419</v>
      </c>
    </row>
    <row r="20" spans="1:5" s="506" customFormat="1" x14ac:dyDescent="0.2">
      <c r="A20" s="512">
        <v>7</v>
      </c>
      <c r="B20" s="511" t="s">
        <v>736</v>
      </c>
      <c r="C20" s="513">
        <v>8419911</v>
      </c>
      <c r="D20" s="515">
        <v>7142474</v>
      </c>
      <c r="E20" s="514">
        <f t="shared" si="0"/>
        <v>-1277437</v>
      </c>
    </row>
    <row r="21" spans="1:5" s="506" customFormat="1" x14ac:dyDescent="0.2">
      <c r="A21" s="512"/>
      <c r="B21" s="516" t="s">
        <v>755</v>
      </c>
      <c r="C21" s="517">
        <f>SUM(C15+C16+C19)</f>
        <v>230703844</v>
      </c>
      <c r="D21" s="517">
        <f>SUM(D15+D16+D19)</f>
        <v>243429513</v>
      </c>
      <c r="E21" s="517">
        <f t="shared" si="0"/>
        <v>12725669</v>
      </c>
    </row>
    <row r="22" spans="1:5" s="506" customFormat="1" x14ac:dyDescent="0.2">
      <c r="A22" s="512"/>
      <c r="B22" s="516" t="s">
        <v>695</v>
      </c>
      <c r="C22" s="517">
        <f>SUM(C14+C21)</f>
        <v>408731408</v>
      </c>
      <c r="D22" s="517">
        <f>SUM(D14+D21)</f>
        <v>423550235</v>
      </c>
      <c r="E22" s="517">
        <f t="shared" si="0"/>
        <v>14818827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629</v>
      </c>
      <c r="C25" s="513">
        <v>338694849</v>
      </c>
      <c r="D25" s="513">
        <v>348211695</v>
      </c>
      <c r="E25" s="514">
        <f t="shared" ref="E25:E33" si="1">D25-C25</f>
        <v>9516846</v>
      </c>
    </row>
    <row r="26" spans="1:5" s="506" customFormat="1" x14ac:dyDescent="0.2">
      <c r="A26" s="512">
        <v>2</v>
      </c>
      <c r="B26" s="511" t="s">
        <v>608</v>
      </c>
      <c r="C26" s="513">
        <v>130242934</v>
      </c>
      <c r="D26" s="515">
        <v>144536486</v>
      </c>
      <c r="E26" s="514">
        <f t="shared" si="1"/>
        <v>14293552</v>
      </c>
    </row>
    <row r="27" spans="1:5" s="506" customFormat="1" x14ac:dyDescent="0.2">
      <c r="A27" s="512">
        <v>3</v>
      </c>
      <c r="B27" s="511" t="s">
        <v>754</v>
      </c>
      <c r="C27" s="513">
        <v>22669478</v>
      </c>
      <c r="D27" s="515">
        <v>28337289</v>
      </c>
      <c r="E27" s="514">
        <f t="shared" si="1"/>
        <v>5667811</v>
      </c>
    </row>
    <row r="28" spans="1:5" s="506" customFormat="1" x14ac:dyDescent="0.2">
      <c r="A28" s="512">
        <v>4</v>
      </c>
      <c r="B28" s="511" t="s">
        <v>114</v>
      </c>
      <c r="C28" s="513">
        <v>14846248</v>
      </c>
      <c r="D28" s="515">
        <v>19830885</v>
      </c>
      <c r="E28" s="514">
        <f t="shared" si="1"/>
        <v>4984637</v>
      </c>
    </row>
    <row r="29" spans="1:5" s="506" customFormat="1" x14ac:dyDescent="0.2">
      <c r="A29" s="512">
        <v>5</v>
      </c>
      <c r="B29" s="511" t="s">
        <v>721</v>
      </c>
      <c r="C29" s="513">
        <v>7823230</v>
      </c>
      <c r="D29" s="515">
        <v>8506404</v>
      </c>
      <c r="E29" s="514">
        <f t="shared" si="1"/>
        <v>683174</v>
      </c>
    </row>
    <row r="30" spans="1:5" s="506" customFormat="1" x14ac:dyDescent="0.2">
      <c r="A30" s="512">
        <v>6</v>
      </c>
      <c r="B30" s="511" t="s">
        <v>418</v>
      </c>
      <c r="C30" s="513">
        <v>394295</v>
      </c>
      <c r="D30" s="515">
        <v>363756</v>
      </c>
      <c r="E30" s="514">
        <f t="shared" si="1"/>
        <v>-30539</v>
      </c>
    </row>
    <row r="31" spans="1:5" s="506" customFormat="1" x14ac:dyDescent="0.2">
      <c r="A31" s="512">
        <v>7</v>
      </c>
      <c r="B31" s="511" t="s">
        <v>736</v>
      </c>
      <c r="C31" s="514">
        <v>25712243</v>
      </c>
      <c r="D31" s="518">
        <v>26201618</v>
      </c>
      <c r="E31" s="514">
        <f t="shared" si="1"/>
        <v>489375</v>
      </c>
    </row>
    <row r="32" spans="1:5" s="506" customFormat="1" x14ac:dyDescent="0.2">
      <c r="A32" s="512"/>
      <c r="B32" s="516" t="s">
        <v>757</v>
      </c>
      <c r="C32" s="517">
        <f>SUM(C26+C27+C30)</f>
        <v>153306707</v>
      </c>
      <c r="D32" s="517">
        <f>SUM(D26+D27+D30)</f>
        <v>173237531</v>
      </c>
      <c r="E32" s="517">
        <f t="shared" si="1"/>
        <v>19930824</v>
      </c>
    </row>
    <row r="33" spans="1:5" s="506" customFormat="1" x14ac:dyDescent="0.2">
      <c r="A33" s="512"/>
      <c r="B33" s="516" t="s">
        <v>701</v>
      </c>
      <c r="C33" s="517">
        <f>SUM(C25+C32)</f>
        <v>492001556</v>
      </c>
      <c r="D33" s="517">
        <f>SUM(D25+D32)</f>
        <v>521449226</v>
      </c>
      <c r="E33" s="517">
        <f t="shared" si="1"/>
        <v>29447670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758</v>
      </c>
      <c r="C36" s="514">
        <f t="shared" ref="C36:D42" si="2">C14+C25</f>
        <v>516722413</v>
      </c>
      <c r="D36" s="514">
        <f t="shared" si="2"/>
        <v>528332417</v>
      </c>
      <c r="E36" s="514">
        <f t="shared" ref="E36:E44" si="3">D36-C36</f>
        <v>11610004</v>
      </c>
    </row>
    <row r="37" spans="1:5" s="506" customFormat="1" x14ac:dyDescent="0.2">
      <c r="A37" s="512">
        <v>2</v>
      </c>
      <c r="B37" s="511" t="s">
        <v>759</v>
      </c>
      <c r="C37" s="514">
        <f t="shared" si="2"/>
        <v>340738738</v>
      </c>
      <c r="D37" s="514">
        <f t="shared" si="2"/>
        <v>365007047</v>
      </c>
      <c r="E37" s="514">
        <f t="shared" si="3"/>
        <v>24268309</v>
      </c>
    </row>
    <row r="38" spans="1:5" s="506" customFormat="1" x14ac:dyDescent="0.2">
      <c r="A38" s="512">
        <v>3</v>
      </c>
      <c r="B38" s="511" t="s">
        <v>760</v>
      </c>
      <c r="C38" s="514">
        <f t="shared" si="2"/>
        <v>42740001</v>
      </c>
      <c r="D38" s="514">
        <f t="shared" si="2"/>
        <v>51222143</v>
      </c>
      <c r="E38" s="514">
        <f t="shared" si="3"/>
        <v>8482142</v>
      </c>
    </row>
    <row r="39" spans="1:5" s="506" customFormat="1" x14ac:dyDescent="0.2">
      <c r="A39" s="512">
        <v>4</v>
      </c>
      <c r="B39" s="511" t="s">
        <v>761</v>
      </c>
      <c r="C39" s="514">
        <f t="shared" si="2"/>
        <v>23952702</v>
      </c>
      <c r="D39" s="514">
        <f t="shared" si="2"/>
        <v>31318886</v>
      </c>
      <c r="E39" s="514">
        <f t="shared" si="3"/>
        <v>7366184</v>
      </c>
    </row>
    <row r="40" spans="1:5" s="506" customFormat="1" x14ac:dyDescent="0.2">
      <c r="A40" s="512">
        <v>5</v>
      </c>
      <c r="B40" s="511" t="s">
        <v>762</v>
      </c>
      <c r="C40" s="514">
        <f t="shared" si="2"/>
        <v>18787299</v>
      </c>
      <c r="D40" s="514">
        <f t="shared" si="2"/>
        <v>19903257</v>
      </c>
      <c r="E40" s="514">
        <f t="shared" si="3"/>
        <v>1115958</v>
      </c>
    </row>
    <row r="41" spans="1:5" s="506" customFormat="1" x14ac:dyDescent="0.2">
      <c r="A41" s="512">
        <v>6</v>
      </c>
      <c r="B41" s="511" t="s">
        <v>763</v>
      </c>
      <c r="C41" s="514">
        <f t="shared" si="2"/>
        <v>531812</v>
      </c>
      <c r="D41" s="514">
        <f t="shared" si="2"/>
        <v>437854</v>
      </c>
      <c r="E41" s="514">
        <f t="shared" si="3"/>
        <v>-93958</v>
      </c>
    </row>
    <row r="42" spans="1:5" s="506" customFormat="1" x14ac:dyDescent="0.2">
      <c r="A42" s="512">
        <v>7</v>
      </c>
      <c r="B42" s="511" t="s">
        <v>764</v>
      </c>
      <c r="C42" s="514">
        <f t="shared" si="2"/>
        <v>34132154</v>
      </c>
      <c r="D42" s="514">
        <f t="shared" si="2"/>
        <v>33344092</v>
      </c>
      <c r="E42" s="514">
        <f t="shared" si="3"/>
        <v>-788062</v>
      </c>
    </row>
    <row r="43" spans="1:5" s="506" customFormat="1" x14ac:dyDescent="0.2">
      <c r="A43" s="512"/>
      <c r="B43" s="516" t="s">
        <v>765</v>
      </c>
      <c r="C43" s="517">
        <f>SUM(C37+C38+C41)</f>
        <v>384010551</v>
      </c>
      <c r="D43" s="517">
        <f>SUM(D37+D38+D41)</f>
        <v>416667044</v>
      </c>
      <c r="E43" s="517">
        <f t="shared" si="3"/>
        <v>32656493</v>
      </c>
    </row>
    <row r="44" spans="1:5" s="506" customFormat="1" x14ac:dyDescent="0.2">
      <c r="A44" s="512"/>
      <c r="B44" s="516" t="s">
        <v>703</v>
      </c>
      <c r="C44" s="517">
        <f>SUM(C36+C43)</f>
        <v>900732964</v>
      </c>
      <c r="D44" s="517">
        <f>SUM(D36+D43)</f>
        <v>944999461</v>
      </c>
      <c r="E44" s="517">
        <f t="shared" si="3"/>
        <v>44266497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629</v>
      </c>
      <c r="C47" s="513">
        <v>69954026</v>
      </c>
      <c r="D47" s="513">
        <v>74166562</v>
      </c>
      <c r="E47" s="514">
        <f t="shared" ref="E47:E55" si="4">D47-C47</f>
        <v>4212536</v>
      </c>
    </row>
    <row r="48" spans="1:5" s="506" customFormat="1" x14ac:dyDescent="0.2">
      <c r="A48" s="512">
        <v>2</v>
      </c>
      <c r="B48" s="511" t="s">
        <v>608</v>
      </c>
      <c r="C48" s="513">
        <v>52168576</v>
      </c>
      <c r="D48" s="515">
        <v>52061988</v>
      </c>
      <c r="E48" s="514">
        <f t="shared" si="4"/>
        <v>-106588</v>
      </c>
    </row>
    <row r="49" spans="1:5" s="506" customFormat="1" x14ac:dyDescent="0.2">
      <c r="A49" s="512">
        <v>3</v>
      </c>
      <c r="B49" s="511" t="s">
        <v>754</v>
      </c>
      <c r="C49" s="513">
        <v>5468936</v>
      </c>
      <c r="D49" s="515">
        <v>5504871</v>
      </c>
      <c r="E49" s="514">
        <f t="shared" si="4"/>
        <v>35935</v>
      </c>
    </row>
    <row r="50" spans="1:5" s="506" customFormat="1" x14ac:dyDescent="0.2">
      <c r="A50" s="512">
        <v>4</v>
      </c>
      <c r="B50" s="511" t="s">
        <v>114</v>
      </c>
      <c r="C50" s="513">
        <v>2077009</v>
      </c>
      <c r="D50" s="515">
        <v>3265205</v>
      </c>
      <c r="E50" s="514">
        <f t="shared" si="4"/>
        <v>1188196</v>
      </c>
    </row>
    <row r="51" spans="1:5" s="506" customFormat="1" x14ac:dyDescent="0.2">
      <c r="A51" s="512">
        <v>5</v>
      </c>
      <c r="B51" s="511" t="s">
        <v>721</v>
      </c>
      <c r="C51" s="513">
        <v>3391927</v>
      </c>
      <c r="D51" s="515">
        <v>2239666</v>
      </c>
      <c r="E51" s="514">
        <f t="shared" si="4"/>
        <v>-1152261</v>
      </c>
    </row>
    <row r="52" spans="1:5" s="506" customFormat="1" x14ac:dyDescent="0.2">
      <c r="A52" s="512">
        <v>6</v>
      </c>
      <c r="B52" s="511" t="s">
        <v>418</v>
      </c>
      <c r="C52" s="513">
        <v>10408</v>
      </c>
      <c r="D52" s="515">
        <v>20081</v>
      </c>
      <c r="E52" s="514">
        <f t="shared" si="4"/>
        <v>9673</v>
      </c>
    </row>
    <row r="53" spans="1:5" s="506" customFormat="1" x14ac:dyDescent="0.2">
      <c r="A53" s="512">
        <v>7</v>
      </c>
      <c r="B53" s="511" t="s">
        <v>736</v>
      </c>
      <c r="C53" s="513">
        <v>885530</v>
      </c>
      <c r="D53" s="515">
        <v>1006552</v>
      </c>
      <c r="E53" s="514">
        <f t="shared" si="4"/>
        <v>121022</v>
      </c>
    </row>
    <row r="54" spans="1:5" s="506" customFormat="1" x14ac:dyDescent="0.2">
      <c r="A54" s="512"/>
      <c r="B54" s="516" t="s">
        <v>767</v>
      </c>
      <c r="C54" s="517">
        <f>SUM(C48+C49+C52)</f>
        <v>57647920</v>
      </c>
      <c r="D54" s="517">
        <f>SUM(D48+D49+D52)</f>
        <v>57586940</v>
      </c>
      <c r="E54" s="517">
        <f t="shared" si="4"/>
        <v>-60980</v>
      </c>
    </row>
    <row r="55" spans="1:5" s="506" customFormat="1" x14ac:dyDescent="0.2">
      <c r="A55" s="512"/>
      <c r="B55" s="516" t="s">
        <v>696</v>
      </c>
      <c r="C55" s="517">
        <f>SUM(C47+C54)</f>
        <v>127601946</v>
      </c>
      <c r="D55" s="517">
        <f>SUM(D47+D54)</f>
        <v>131753502</v>
      </c>
      <c r="E55" s="517">
        <f t="shared" si="4"/>
        <v>4151556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629</v>
      </c>
      <c r="C58" s="513">
        <v>116973107</v>
      </c>
      <c r="D58" s="513">
        <v>129105273</v>
      </c>
      <c r="E58" s="514">
        <f t="shared" ref="E58:E66" si="5">D58-C58</f>
        <v>12132166</v>
      </c>
    </row>
    <row r="59" spans="1:5" s="506" customFormat="1" x14ac:dyDescent="0.2">
      <c r="A59" s="512">
        <v>2</v>
      </c>
      <c r="B59" s="511" t="s">
        <v>608</v>
      </c>
      <c r="C59" s="513">
        <v>22736943</v>
      </c>
      <c r="D59" s="515">
        <v>26007621</v>
      </c>
      <c r="E59" s="514">
        <f t="shared" si="5"/>
        <v>3270678</v>
      </c>
    </row>
    <row r="60" spans="1:5" s="506" customFormat="1" x14ac:dyDescent="0.2">
      <c r="A60" s="512">
        <v>3</v>
      </c>
      <c r="B60" s="511" t="s">
        <v>754</v>
      </c>
      <c r="C60" s="513">
        <f>C61+C62</f>
        <v>3062467</v>
      </c>
      <c r="D60" s="515">
        <f>D61+D62</f>
        <v>4308693</v>
      </c>
      <c r="E60" s="514">
        <f t="shared" si="5"/>
        <v>1246226</v>
      </c>
    </row>
    <row r="61" spans="1:5" s="506" customFormat="1" x14ac:dyDescent="0.2">
      <c r="A61" s="512">
        <v>4</v>
      </c>
      <c r="B61" s="511" t="s">
        <v>114</v>
      </c>
      <c r="C61" s="513">
        <v>2263307</v>
      </c>
      <c r="D61" s="515">
        <v>3628929</v>
      </c>
      <c r="E61" s="514">
        <f t="shared" si="5"/>
        <v>1365622</v>
      </c>
    </row>
    <row r="62" spans="1:5" s="506" customFormat="1" x14ac:dyDescent="0.2">
      <c r="A62" s="512">
        <v>5</v>
      </c>
      <c r="B62" s="511" t="s">
        <v>721</v>
      </c>
      <c r="C62" s="513">
        <v>799160</v>
      </c>
      <c r="D62" s="515">
        <v>679764</v>
      </c>
      <c r="E62" s="514">
        <f t="shared" si="5"/>
        <v>-119396</v>
      </c>
    </row>
    <row r="63" spans="1:5" s="506" customFormat="1" x14ac:dyDescent="0.2">
      <c r="A63" s="512">
        <v>6</v>
      </c>
      <c r="B63" s="511" t="s">
        <v>418</v>
      </c>
      <c r="C63" s="513">
        <v>27059</v>
      </c>
      <c r="D63" s="515">
        <v>127693</v>
      </c>
      <c r="E63" s="514">
        <f t="shared" si="5"/>
        <v>100634</v>
      </c>
    </row>
    <row r="64" spans="1:5" s="506" customFormat="1" x14ac:dyDescent="0.2">
      <c r="A64" s="512">
        <v>7</v>
      </c>
      <c r="B64" s="511" t="s">
        <v>736</v>
      </c>
      <c r="C64" s="513">
        <v>2704180</v>
      </c>
      <c r="D64" s="515">
        <v>3692459</v>
      </c>
      <c r="E64" s="514">
        <f t="shared" si="5"/>
        <v>988279</v>
      </c>
    </row>
    <row r="65" spans="1:5" s="506" customFormat="1" x14ac:dyDescent="0.2">
      <c r="A65" s="512"/>
      <c r="B65" s="516" t="s">
        <v>769</v>
      </c>
      <c r="C65" s="517">
        <f>SUM(C59+C60+C63)</f>
        <v>25826469</v>
      </c>
      <c r="D65" s="517">
        <f>SUM(D59+D60+D63)</f>
        <v>30444007</v>
      </c>
      <c r="E65" s="517">
        <f t="shared" si="5"/>
        <v>4617538</v>
      </c>
    </row>
    <row r="66" spans="1:5" s="506" customFormat="1" x14ac:dyDescent="0.2">
      <c r="A66" s="512"/>
      <c r="B66" s="516" t="s">
        <v>702</v>
      </c>
      <c r="C66" s="517">
        <f>SUM(C58+C65)</f>
        <v>142799576</v>
      </c>
      <c r="D66" s="517">
        <f>SUM(D58+D65)</f>
        <v>159549280</v>
      </c>
      <c r="E66" s="517">
        <f t="shared" si="5"/>
        <v>16749704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758</v>
      </c>
      <c r="C69" s="514">
        <f t="shared" ref="C69:D75" si="6">C47+C58</f>
        <v>186927133</v>
      </c>
      <c r="D69" s="514">
        <f t="shared" si="6"/>
        <v>203271835</v>
      </c>
      <c r="E69" s="514">
        <f t="shared" ref="E69:E77" si="7">D69-C69</f>
        <v>16344702</v>
      </c>
    </row>
    <row r="70" spans="1:5" s="506" customFormat="1" x14ac:dyDescent="0.2">
      <c r="A70" s="512">
        <v>2</v>
      </c>
      <c r="B70" s="511" t="s">
        <v>759</v>
      </c>
      <c r="C70" s="514">
        <f t="shared" si="6"/>
        <v>74905519</v>
      </c>
      <c r="D70" s="514">
        <f t="shared" si="6"/>
        <v>78069609</v>
      </c>
      <c r="E70" s="514">
        <f t="shared" si="7"/>
        <v>3164090</v>
      </c>
    </row>
    <row r="71" spans="1:5" s="506" customFormat="1" x14ac:dyDescent="0.2">
      <c r="A71" s="512">
        <v>3</v>
      </c>
      <c r="B71" s="511" t="s">
        <v>760</v>
      </c>
      <c r="C71" s="514">
        <f t="shared" si="6"/>
        <v>8531403</v>
      </c>
      <c r="D71" s="514">
        <f t="shared" si="6"/>
        <v>9813564</v>
      </c>
      <c r="E71" s="514">
        <f t="shared" si="7"/>
        <v>1282161</v>
      </c>
    </row>
    <row r="72" spans="1:5" s="506" customFormat="1" x14ac:dyDescent="0.2">
      <c r="A72" s="512">
        <v>4</v>
      </c>
      <c r="B72" s="511" t="s">
        <v>761</v>
      </c>
      <c r="C72" s="514">
        <f t="shared" si="6"/>
        <v>4340316</v>
      </c>
      <c r="D72" s="514">
        <f t="shared" si="6"/>
        <v>6894134</v>
      </c>
      <c r="E72" s="514">
        <f t="shared" si="7"/>
        <v>2553818</v>
      </c>
    </row>
    <row r="73" spans="1:5" s="506" customFormat="1" x14ac:dyDescent="0.2">
      <c r="A73" s="512">
        <v>5</v>
      </c>
      <c r="B73" s="511" t="s">
        <v>762</v>
      </c>
      <c r="C73" s="514">
        <f t="shared" si="6"/>
        <v>4191087</v>
      </c>
      <c r="D73" s="514">
        <f t="shared" si="6"/>
        <v>2919430</v>
      </c>
      <c r="E73" s="514">
        <f t="shared" si="7"/>
        <v>-1271657</v>
      </c>
    </row>
    <row r="74" spans="1:5" s="506" customFormat="1" x14ac:dyDescent="0.2">
      <c r="A74" s="512">
        <v>6</v>
      </c>
      <c r="B74" s="511" t="s">
        <v>763</v>
      </c>
      <c r="C74" s="514">
        <f t="shared" si="6"/>
        <v>37467</v>
      </c>
      <c r="D74" s="514">
        <f t="shared" si="6"/>
        <v>147774</v>
      </c>
      <c r="E74" s="514">
        <f t="shared" si="7"/>
        <v>110307</v>
      </c>
    </row>
    <row r="75" spans="1:5" s="506" customFormat="1" x14ac:dyDescent="0.2">
      <c r="A75" s="512">
        <v>7</v>
      </c>
      <c r="B75" s="511" t="s">
        <v>764</v>
      </c>
      <c r="C75" s="514">
        <f t="shared" si="6"/>
        <v>3589710</v>
      </c>
      <c r="D75" s="514">
        <f t="shared" si="6"/>
        <v>4699011</v>
      </c>
      <c r="E75" s="514">
        <f t="shared" si="7"/>
        <v>1109301</v>
      </c>
    </row>
    <row r="76" spans="1:5" s="506" customFormat="1" x14ac:dyDescent="0.2">
      <c r="A76" s="512"/>
      <c r="B76" s="516" t="s">
        <v>770</v>
      </c>
      <c r="C76" s="517">
        <f>SUM(C70+C71+C74)</f>
        <v>83474389</v>
      </c>
      <c r="D76" s="517">
        <f>SUM(D70+D71+D74)</f>
        <v>88030947</v>
      </c>
      <c r="E76" s="517">
        <f t="shared" si="7"/>
        <v>4556558</v>
      </c>
    </row>
    <row r="77" spans="1:5" s="506" customFormat="1" x14ac:dyDescent="0.2">
      <c r="A77" s="512"/>
      <c r="B77" s="516" t="s">
        <v>704</v>
      </c>
      <c r="C77" s="517">
        <f>SUM(C69+C76)</f>
        <v>270401522</v>
      </c>
      <c r="D77" s="517">
        <f>SUM(D69+D76)</f>
        <v>291302782</v>
      </c>
      <c r="E77" s="517">
        <f t="shared" si="7"/>
        <v>20901260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771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629</v>
      </c>
      <c r="C83" s="523">
        <f t="shared" ref="C83:D89" si="8">IF(C$44=0,0,C14/C$44)</f>
        <v>0.19764743949128968</v>
      </c>
      <c r="D83" s="523">
        <f t="shared" si="8"/>
        <v>0.19060404733923969</v>
      </c>
      <c r="E83" s="523">
        <f t="shared" ref="E83:E91" si="9">D83-C83</f>
        <v>-7.0433921520499931E-3</v>
      </c>
    </row>
    <row r="84" spans="1:5" s="506" customFormat="1" x14ac:dyDescent="0.2">
      <c r="A84" s="512">
        <v>2</v>
      </c>
      <c r="B84" s="511" t="s">
        <v>608</v>
      </c>
      <c r="C84" s="523">
        <f t="shared" si="8"/>
        <v>0.23369390531154136</v>
      </c>
      <c r="D84" s="523">
        <f t="shared" si="8"/>
        <v>0.23330231402110821</v>
      </c>
      <c r="E84" s="523">
        <f t="shared" si="9"/>
        <v>-3.9159129043314644E-4</v>
      </c>
    </row>
    <row r="85" spans="1:5" s="506" customFormat="1" x14ac:dyDescent="0.2">
      <c r="A85" s="512">
        <v>3</v>
      </c>
      <c r="B85" s="511" t="s">
        <v>754</v>
      </c>
      <c r="C85" s="523">
        <f t="shared" si="8"/>
        <v>2.228243419766749E-2</v>
      </c>
      <c r="D85" s="523">
        <f t="shared" si="8"/>
        <v>2.4216790532116506E-2</v>
      </c>
      <c r="E85" s="523">
        <f t="shared" si="9"/>
        <v>1.9343563344490153E-3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1.0110048553746502E-2</v>
      </c>
      <c r="D86" s="523">
        <f t="shared" si="8"/>
        <v>1.2156621748591664E-2</v>
      </c>
      <c r="E86" s="523">
        <f t="shared" si="9"/>
        <v>2.046573194845162E-3</v>
      </c>
    </row>
    <row r="87" spans="1:5" s="506" customFormat="1" x14ac:dyDescent="0.2">
      <c r="A87" s="512">
        <v>5</v>
      </c>
      <c r="B87" s="511" t="s">
        <v>721</v>
      </c>
      <c r="C87" s="523">
        <f t="shared" si="8"/>
        <v>1.2172385643920989E-2</v>
      </c>
      <c r="D87" s="523">
        <f t="shared" si="8"/>
        <v>1.206016878352484E-2</v>
      </c>
      <c r="E87" s="523">
        <f t="shared" si="9"/>
        <v>-1.1221686039614848E-4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1.5267232964286183E-4</v>
      </c>
      <c r="D88" s="523">
        <f t="shared" si="8"/>
        <v>7.8410626733680215E-5</v>
      </c>
      <c r="E88" s="523">
        <f t="shared" si="9"/>
        <v>-7.4261702909181611E-5</v>
      </c>
    </row>
    <row r="89" spans="1:5" s="506" customFormat="1" x14ac:dyDescent="0.2">
      <c r="A89" s="512">
        <v>7</v>
      </c>
      <c r="B89" s="511" t="s">
        <v>736</v>
      </c>
      <c r="C89" s="523">
        <f t="shared" si="8"/>
        <v>9.3478437411778793E-3</v>
      </c>
      <c r="D89" s="523">
        <f t="shared" si="8"/>
        <v>7.5581778559342481E-3</v>
      </c>
      <c r="E89" s="523">
        <f t="shared" si="9"/>
        <v>-1.7896658852436312E-3</v>
      </c>
    </row>
    <row r="90" spans="1:5" s="506" customFormat="1" x14ac:dyDescent="0.2">
      <c r="A90" s="512"/>
      <c r="B90" s="516" t="s">
        <v>773</v>
      </c>
      <c r="C90" s="524">
        <f>SUM(C84+C85+C88)</f>
        <v>0.25612901183885173</v>
      </c>
      <c r="D90" s="524">
        <f>SUM(D84+D85+D88)</f>
        <v>0.25759751517995838</v>
      </c>
      <c r="E90" s="525">
        <f t="shared" si="9"/>
        <v>1.4685033411066528E-3</v>
      </c>
    </row>
    <row r="91" spans="1:5" s="506" customFormat="1" x14ac:dyDescent="0.2">
      <c r="A91" s="512"/>
      <c r="B91" s="516" t="s">
        <v>774</v>
      </c>
      <c r="C91" s="524">
        <f>SUM(C83+C90)</f>
        <v>0.45377645133014144</v>
      </c>
      <c r="D91" s="524">
        <f>SUM(D83+D90)</f>
        <v>0.44820156251919807</v>
      </c>
      <c r="E91" s="525">
        <f t="shared" si="9"/>
        <v>-5.5748888109433681E-3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629</v>
      </c>
      <c r="C95" s="523">
        <f t="shared" ref="C95:D101" si="10">IF(C$44=0,0,C25/C$44)</f>
        <v>0.3760213765197562</v>
      </c>
      <c r="D95" s="523">
        <f t="shared" si="10"/>
        <v>0.36847819429602829</v>
      </c>
      <c r="E95" s="523">
        <f t="shared" ref="E95:E103" si="11">D95-C95</f>
        <v>-7.5431822237279067E-3</v>
      </c>
    </row>
    <row r="96" spans="1:5" s="506" customFormat="1" x14ac:dyDescent="0.2">
      <c r="A96" s="512">
        <v>2</v>
      </c>
      <c r="B96" s="511" t="s">
        <v>608</v>
      </c>
      <c r="C96" s="523">
        <f t="shared" si="10"/>
        <v>0.14459661098847049</v>
      </c>
      <c r="D96" s="523">
        <f t="shared" si="10"/>
        <v>0.15294874967129743</v>
      </c>
      <c r="E96" s="523">
        <f t="shared" si="11"/>
        <v>8.3521386828269428E-3</v>
      </c>
    </row>
    <row r="97" spans="1:5" s="506" customFormat="1" x14ac:dyDescent="0.2">
      <c r="A97" s="512">
        <v>3</v>
      </c>
      <c r="B97" s="511" t="s">
        <v>754</v>
      </c>
      <c r="C97" s="523">
        <f t="shared" si="10"/>
        <v>2.5167812110848869E-2</v>
      </c>
      <c r="D97" s="523">
        <f t="shared" si="10"/>
        <v>2.9986566309798138E-2</v>
      </c>
      <c r="E97" s="523">
        <f t="shared" si="11"/>
        <v>4.8187541989492683E-3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1.6482407764972173E-2</v>
      </c>
      <c r="D98" s="523">
        <f t="shared" si="10"/>
        <v>2.0985075461328755E-2</v>
      </c>
      <c r="E98" s="523">
        <f t="shared" si="11"/>
        <v>4.5026676963565819E-3</v>
      </c>
    </row>
    <row r="99" spans="1:5" s="506" customFormat="1" x14ac:dyDescent="0.2">
      <c r="A99" s="512">
        <v>5</v>
      </c>
      <c r="B99" s="511" t="s">
        <v>721</v>
      </c>
      <c r="C99" s="523">
        <f t="shared" si="10"/>
        <v>8.6854043458766995E-3</v>
      </c>
      <c r="D99" s="523">
        <f t="shared" si="10"/>
        <v>9.0014908484693842E-3</v>
      </c>
      <c r="E99" s="523">
        <f t="shared" si="11"/>
        <v>3.1608650259268463E-4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4.3774905078304652E-4</v>
      </c>
      <c r="D100" s="523">
        <f t="shared" si="10"/>
        <v>3.8492720367805584E-4</v>
      </c>
      <c r="E100" s="523">
        <f t="shared" si="11"/>
        <v>-5.2821847104990687E-5</v>
      </c>
    </row>
    <row r="101" spans="1:5" s="506" customFormat="1" x14ac:dyDescent="0.2">
      <c r="A101" s="512">
        <v>7</v>
      </c>
      <c r="B101" s="511" t="s">
        <v>736</v>
      </c>
      <c r="C101" s="523">
        <f t="shared" si="10"/>
        <v>2.8545910972122477E-2</v>
      </c>
      <c r="D101" s="523">
        <f t="shared" si="10"/>
        <v>2.7726595708608557E-2</v>
      </c>
      <c r="E101" s="523">
        <f t="shared" si="11"/>
        <v>-8.1931526351392003E-4</v>
      </c>
    </row>
    <row r="102" spans="1:5" s="506" customFormat="1" x14ac:dyDescent="0.2">
      <c r="A102" s="512"/>
      <c r="B102" s="516" t="s">
        <v>776</v>
      </c>
      <c r="C102" s="524">
        <f>SUM(C96+C97+C100)</f>
        <v>0.17020217215010242</v>
      </c>
      <c r="D102" s="524">
        <f>SUM(D96+D97+D100)</f>
        <v>0.18332024318477363</v>
      </c>
      <c r="E102" s="525">
        <f t="shared" si="11"/>
        <v>1.3118071034671219E-2</v>
      </c>
    </row>
    <row r="103" spans="1:5" s="506" customFormat="1" x14ac:dyDescent="0.2">
      <c r="A103" s="512"/>
      <c r="B103" s="516" t="s">
        <v>777</v>
      </c>
      <c r="C103" s="524">
        <f>SUM(C95+C102)</f>
        <v>0.54622354866985856</v>
      </c>
      <c r="D103" s="524">
        <f>SUM(D95+D102)</f>
        <v>0.55179843748080193</v>
      </c>
      <c r="E103" s="525">
        <f t="shared" si="11"/>
        <v>5.5748888109433681E-3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629</v>
      </c>
      <c r="C109" s="523">
        <f t="shared" ref="C109:D115" si="12">IF(C$77=0,0,C47/C$77)</f>
        <v>0.25870426128740504</v>
      </c>
      <c r="D109" s="523">
        <f t="shared" si="12"/>
        <v>0.25460299929439051</v>
      </c>
      <c r="E109" s="523">
        <f t="shared" ref="E109:E117" si="13">D109-C109</f>
        <v>-4.1012619930145267E-3</v>
      </c>
    </row>
    <row r="110" spans="1:5" s="506" customFormat="1" x14ac:dyDescent="0.2">
      <c r="A110" s="512">
        <v>2</v>
      </c>
      <c r="B110" s="511" t="s">
        <v>608</v>
      </c>
      <c r="C110" s="523">
        <f t="shared" si="12"/>
        <v>0.19293003831539085</v>
      </c>
      <c r="D110" s="523">
        <f t="shared" si="12"/>
        <v>0.17872121797999169</v>
      </c>
      <c r="E110" s="523">
        <f t="shared" si="13"/>
        <v>-1.4208820335399164E-2</v>
      </c>
    </row>
    <row r="111" spans="1:5" s="506" customFormat="1" x14ac:dyDescent="0.2">
      <c r="A111" s="512">
        <v>3</v>
      </c>
      <c r="B111" s="511" t="s">
        <v>754</v>
      </c>
      <c r="C111" s="523">
        <f t="shared" si="12"/>
        <v>2.0225241187806629E-2</v>
      </c>
      <c r="D111" s="523">
        <f t="shared" si="12"/>
        <v>1.8897419936071878E-2</v>
      </c>
      <c r="E111" s="523">
        <f t="shared" si="13"/>
        <v>-1.327821251734751E-3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7.6812030666010825E-3</v>
      </c>
      <c r="D112" s="523">
        <f t="shared" si="12"/>
        <v>1.1208972937306173E-2</v>
      </c>
      <c r="E112" s="523">
        <f t="shared" si="13"/>
        <v>3.5277698707050905E-3</v>
      </c>
    </row>
    <row r="113" spans="1:5" s="506" customFormat="1" x14ac:dyDescent="0.2">
      <c r="A113" s="512">
        <v>5</v>
      </c>
      <c r="B113" s="511" t="s">
        <v>721</v>
      </c>
      <c r="C113" s="523">
        <f t="shared" si="12"/>
        <v>1.2544038121205546E-2</v>
      </c>
      <c r="D113" s="523">
        <f t="shared" si="12"/>
        <v>7.6884469987657036E-3</v>
      </c>
      <c r="E113" s="523">
        <f t="shared" si="13"/>
        <v>-4.8555911224398424E-3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3.8490907606651712E-5</v>
      </c>
      <c r="D114" s="523">
        <f t="shared" si="12"/>
        <v>6.8935146661249527E-5</v>
      </c>
      <c r="E114" s="523">
        <f t="shared" si="13"/>
        <v>3.0444239054597815E-5</v>
      </c>
    </row>
    <row r="115" spans="1:5" s="506" customFormat="1" x14ac:dyDescent="0.2">
      <c r="A115" s="512">
        <v>7</v>
      </c>
      <c r="B115" s="511" t="s">
        <v>736</v>
      </c>
      <c r="C115" s="523">
        <f t="shared" si="12"/>
        <v>3.2748706199959925E-3</v>
      </c>
      <c r="D115" s="523">
        <f t="shared" si="12"/>
        <v>3.4553463344541625E-3</v>
      </c>
      <c r="E115" s="523">
        <f t="shared" si="13"/>
        <v>1.8047571445816996E-4</v>
      </c>
    </row>
    <row r="116" spans="1:5" s="506" customFormat="1" x14ac:dyDescent="0.2">
      <c r="A116" s="512"/>
      <c r="B116" s="516" t="s">
        <v>773</v>
      </c>
      <c r="C116" s="524">
        <f>SUM(C110+C111+C114)</f>
        <v>0.21319377041080415</v>
      </c>
      <c r="D116" s="524">
        <f>SUM(D110+D111+D114)</f>
        <v>0.19768757306272483</v>
      </c>
      <c r="E116" s="525">
        <f t="shared" si="13"/>
        <v>-1.5506197348079315E-2</v>
      </c>
    </row>
    <row r="117" spans="1:5" s="506" customFormat="1" x14ac:dyDescent="0.2">
      <c r="A117" s="512"/>
      <c r="B117" s="516" t="s">
        <v>774</v>
      </c>
      <c r="C117" s="524">
        <f>SUM(C109+C116)</f>
        <v>0.47189803169820921</v>
      </c>
      <c r="D117" s="524">
        <f>SUM(D109+D116)</f>
        <v>0.45229057235711534</v>
      </c>
      <c r="E117" s="525">
        <f t="shared" si="13"/>
        <v>-1.9607459341093869E-2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780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629</v>
      </c>
      <c r="C121" s="523">
        <f t="shared" ref="C121:D127" si="14">IF(C$77=0,0,C58/C$77)</f>
        <v>0.43259041641045198</v>
      </c>
      <c r="D121" s="523">
        <f t="shared" si="14"/>
        <v>0.44319958811790544</v>
      </c>
      <c r="E121" s="523">
        <f t="shared" ref="E121:E129" si="15">D121-C121</f>
        <v>1.0609171707453458E-2</v>
      </c>
    </row>
    <row r="122" spans="1:5" s="506" customFormat="1" x14ac:dyDescent="0.2">
      <c r="A122" s="512">
        <v>2</v>
      </c>
      <c r="B122" s="511" t="s">
        <v>608</v>
      </c>
      <c r="C122" s="523">
        <f t="shared" si="14"/>
        <v>8.4085854368822668E-2</v>
      </c>
      <c r="D122" s="523">
        <f t="shared" si="14"/>
        <v>8.9280372887067042E-2</v>
      </c>
      <c r="E122" s="523">
        <f t="shared" si="15"/>
        <v>5.1945185182443732E-3</v>
      </c>
    </row>
    <row r="123" spans="1:5" s="506" customFormat="1" x14ac:dyDescent="0.2">
      <c r="A123" s="512">
        <v>3</v>
      </c>
      <c r="B123" s="511" t="s">
        <v>754</v>
      </c>
      <c r="C123" s="523">
        <f t="shared" si="14"/>
        <v>1.1325627819506134E-2</v>
      </c>
      <c r="D123" s="523">
        <f t="shared" si="14"/>
        <v>1.4791115177197313E-2</v>
      </c>
      <c r="E123" s="523">
        <f t="shared" si="15"/>
        <v>3.4654873576911785E-3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8.37017108209916E-3</v>
      </c>
      <c r="D124" s="523">
        <f t="shared" si="14"/>
        <v>1.2457584424991864E-2</v>
      </c>
      <c r="E124" s="523">
        <f t="shared" si="15"/>
        <v>4.0874133428927036E-3</v>
      </c>
    </row>
    <row r="125" spans="1:5" s="506" customFormat="1" x14ac:dyDescent="0.2">
      <c r="A125" s="512">
        <v>5</v>
      </c>
      <c r="B125" s="511" t="s">
        <v>721</v>
      </c>
      <c r="C125" s="523">
        <f t="shared" si="14"/>
        <v>2.9554567374069736E-3</v>
      </c>
      <c r="D125" s="523">
        <f t="shared" si="14"/>
        <v>2.3335307522054493E-3</v>
      </c>
      <c r="E125" s="523">
        <f t="shared" si="15"/>
        <v>-6.2192598520152426E-4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1.0006970301002966E-4</v>
      </c>
      <c r="D126" s="523">
        <f t="shared" si="14"/>
        <v>4.3835146071485165E-4</v>
      </c>
      <c r="E126" s="523">
        <f t="shared" si="15"/>
        <v>3.3828175770482202E-4</v>
      </c>
    </row>
    <row r="127" spans="1:5" s="506" customFormat="1" x14ac:dyDescent="0.2">
      <c r="A127" s="512">
        <v>7</v>
      </c>
      <c r="B127" s="511" t="s">
        <v>736</v>
      </c>
      <c r="C127" s="523">
        <f t="shared" si="14"/>
        <v>1.0000609390061052E-2</v>
      </c>
      <c r="D127" s="523">
        <f t="shared" si="14"/>
        <v>1.2675673656971803E-2</v>
      </c>
      <c r="E127" s="523">
        <f t="shared" si="15"/>
        <v>2.6750642669107517E-3</v>
      </c>
    </row>
    <row r="128" spans="1:5" s="506" customFormat="1" x14ac:dyDescent="0.2">
      <c r="A128" s="512"/>
      <c r="B128" s="516" t="s">
        <v>776</v>
      </c>
      <c r="C128" s="524">
        <f>SUM(C122+C123+C126)</f>
        <v>9.5511551891338836E-2</v>
      </c>
      <c r="D128" s="524">
        <f>SUM(D122+D123+D126)</f>
        <v>0.10450983952497921</v>
      </c>
      <c r="E128" s="525">
        <f t="shared" si="15"/>
        <v>8.99828763364037E-3</v>
      </c>
    </row>
    <row r="129" spans="1:5" s="506" customFormat="1" x14ac:dyDescent="0.2">
      <c r="A129" s="512"/>
      <c r="B129" s="516" t="s">
        <v>777</v>
      </c>
      <c r="C129" s="524">
        <f>SUM(C121+C128)</f>
        <v>0.52810196830179079</v>
      </c>
      <c r="D129" s="524">
        <f>SUM(D121+D128)</f>
        <v>0.54770942764288466</v>
      </c>
      <c r="E129" s="525">
        <f t="shared" si="15"/>
        <v>1.9607459341093869E-2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781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629</v>
      </c>
      <c r="C137" s="530">
        <v>7582</v>
      </c>
      <c r="D137" s="530">
        <v>7441</v>
      </c>
      <c r="E137" s="531">
        <f t="shared" ref="E137:E145" si="16">D137-C137</f>
        <v>-141</v>
      </c>
    </row>
    <row r="138" spans="1:5" s="506" customFormat="1" x14ac:dyDescent="0.2">
      <c r="A138" s="512">
        <v>2</v>
      </c>
      <c r="B138" s="511" t="s">
        <v>608</v>
      </c>
      <c r="C138" s="530">
        <v>5269</v>
      </c>
      <c r="D138" s="530">
        <v>5255</v>
      </c>
      <c r="E138" s="531">
        <f t="shared" si="16"/>
        <v>-14</v>
      </c>
    </row>
    <row r="139" spans="1:5" s="506" customFormat="1" x14ac:dyDescent="0.2">
      <c r="A139" s="512">
        <v>3</v>
      </c>
      <c r="B139" s="511" t="s">
        <v>754</v>
      </c>
      <c r="C139" s="530">
        <f>C140+C141</f>
        <v>770</v>
      </c>
      <c r="D139" s="530">
        <f>D140+D141</f>
        <v>779</v>
      </c>
      <c r="E139" s="531">
        <f t="shared" si="16"/>
        <v>9</v>
      </c>
    </row>
    <row r="140" spans="1:5" s="506" customFormat="1" x14ac:dyDescent="0.2">
      <c r="A140" s="512">
        <v>4</v>
      </c>
      <c r="B140" s="511" t="s">
        <v>114</v>
      </c>
      <c r="C140" s="530">
        <v>517</v>
      </c>
      <c r="D140" s="530">
        <v>445</v>
      </c>
      <c r="E140" s="531">
        <f t="shared" si="16"/>
        <v>-72</v>
      </c>
    </row>
    <row r="141" spans="1:5" s="506" customFormat="1" x14ac:dyDescent="0.2">
      <c r="A141" s="512">
        <v>5</v>
      </c>
      <c r="B141" s="511" t="s">
        <v>721</v>
      </c>
      <c r="C141" s="530">
        <v>253</v>
      </c>
      <c r="D141" s="530">
        <v>334</v>
      </c>
      <c r="E141" s="531">
        <f t="shared" si="16"/>
        <v>81</v>
      </c>
    </row>
    <row r="142" spans="1:5" s="506" customFormat="1" x14ac:dyDescent="0.2">
      <c r="A142" s="512">
        <v>6</v>
      </c>
      <c r="B142" s="511" t="s">
        <v>418</v>
      </c>
      <c r="C142" s="530">
        <v>6</v>
      </c>
      <c r="D142" s="530">
        <v>4</v>
      </c>
      <c r="E142" s="531">
        <f t="shared" si="16"/>
        <v>-2</v>
      </c>
    </row>
    <row r="143" spans="1:5" s="506" customFormat="1" x14ac:dyDescent="0.2">
      <c r="A143" s="512">
        <v>7</v>
      </c>
      <c r="B143" s="511" t="s">
        <v>736</v>
      </c>
      <c r="C143" s="530">
        <v>333</v>
      </c>
      <c r="D143" s="530">
        <v>290</v>
      </c>
      <c r="E143" s="531">
        <f t="shared" si="16"/>
        <v>-43</v>
      </c>
    </row>
    <row r="144" spans="1:5" s="506" customFormat="1" x14ac:dyDescent="0.2">
      <c r="A144" s="512"/>
      <c r="B144" s="516" t="s">
        <v>784</v>
      </c>
      <c r="C144" s="532">
        <f>SUM(C138+C139+C142)</f>
        <v>6045</v>
      </c>
      <c r="D144" s="532">
        <f>SUM(D138+D139+D142)</f>
        <v>6038</v>
      </c>
      <c r="E144" s="533">
        <f t="shared" si="16"/>
        <v>-7</v>
      </c>
    </row>
    <row r="145" spans="1:5" s="506" customFormat="1" x14ac:dyDescent="0.2">
      <c r="A145" s="512"/>
      <c r="B145" s="516" t="s">
        <v>698</v>
      </c>
      <c r="C145" s="532">
        <f>SUM(C137+C144)</f>
        <v>13627</v>
      </c>
      <c r="D145" s="532">
        <f>SUM(D137+D144)</f>
        <v>13479</v>
      </c>
      <c r="E145" s="533">
        <f t="shared" si="16"/>
        <v>-148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629</v>
      </c>
      <c r="C149" s="534">
        <v>24620</v>
      </c>
      <c r="D149" s="534">
        <v>24155</v>
      </c>
      <c r="E149" s="531">
        <f t="shared" ref="E149:E157" si="17">D149-C149</f>
        <v>-465</v>
      </c>
    </row>
    <row r="150" spans="1:5" s="506" customFormat="1" x14ac:dyDescent="0.2">
      <c r="A150" s="512">
        <v>2</v>
      </c>
      <c r="B150" s="511" t="s">
        <v>608</v>
      </c>
      <c r="C150" s="534">
        <v>25222</v>
      </c>
      <c r="D150" s="534">
        <v>25128</v>
      </c>
      <c r="E150" s="531">
        <f t="shared" si="17"/>
        <v>-94</v>
      </c>
    </row>
    <row r="151" spans="1:5" s="506" customFormat="1" x14ac:dyDescent="0.2">
      <c r="A151" s="512">
        <v>3</v>
      </c>
      <c r="B151" s="511" t="s">
        <v>754</v>
      </c>
      <c r="C151" s="534">
        <f>C152+C153</f>
        <v>3198</v>
      </c>
      <c r="D151" s="534">
        <f>D152+D153</f>
        <v>3348</v>
      </c>
      <c r="E151" s="531">
        <f t="shared" si="17"/>
        <v>150</v>
      </c>
    </row>
    <row r="152" spans="1:5" s="506" customFormat="1" x14ac:dyDescent="0.2">
      <c r="A152" s="512">
        <v>4</v>
      </c>
      <c r="B152" s="511" t="s">
        <v>114</v>
      </c>
      <c r="C152" s="534">
        <v>1809</v>
      </c>
      <c r="D152" s="534">
        <v>1511</v>
      </c>
      <c r="E152" s="531">
        <f t="shared" si="17"/>
        <v>-298</v>
      </c>
    </row>
    <row r="153" spans="1:5" s="506" customFormat="1" x14ac:dyDescent="0.2">
      <c r="A153" s="512">
        <v>5</v>
      </c>
      <c r="B153" s="511" t="s">
        <v>721</v>
      </c>
      <c r="C153" s="535">
        <v>1389</v>
      </c>
      <c r="D153" s="534">
        <v>1837</v>
      </c>
      <c r="E153" s="531">
        <f t="shared" si="17"/>
        <v>448</v>
      </c>
    </row>
    <row r="154" spans="1:5" s="506" customFormat="1" x14ac:dyDescent="0.2">
      <c r="A154" s="512">
        <v>6</v>
      </c>
      <c r="B154" s="511" t="s">
        <v>418</v>
      </c>
      <c r="C154" s="534">
        <v>19</v>
      </c>
      <c r="D154" s="534">
        <v>7</v>
      </c>
      <c r="E154" s="531">
        <f t="shared" si="17"/>
        <v>-12</v>
      </c>
    </row>
    <row r="155" spans="1:5" s="506" customFormat="1" x14ac:dyDescent="0.2">
      <c r="A155" s="512">
        <v>7</v>
      </c>
      <c r="B155" s="511" t="s">
        <v>736</v>
      </c>
      <c r="C155" s="534">
        <v>1005</v>
      </c>
      <c r="D155" s="534">
        <v>694</v>
      </c>
      <c r="E155" s="531">
        <f t="shared" si="17"/>
        <v>-311</v>
      </c>
    </row>
    <row r="156" spans="1:5" s="506" customFormat="1" x14ac:dyDescent="0.2">
      <c r="A156" s="512"/>
      <c r="B156" s="516" t="s">
        <v>785</v>
      </c>
      <c r="C156" s="532">
        <f>SUM(C150+C151+C154)</f>
        <v>28439</v>
      </c>
      <c r="D156" s="532">
        <f>SUM(D150+D151+D154)</f>
        <v>28483</v>
      </c>
      <c r="E156" s="533">
        <f t="shared" si="17"/>
        <v>44</v>
      </c>
    </row>
    <row r="157" spans="1:5" s="506" customFormat="1" x14ac:dyDescent="0.2">
      <c r="A157" s="512"/>
      <c r="B157" s="516" t="s">
        <v>786</v>
      </c>
      <c r="C157" s="532">
        <f>SUM(C149+C156)</f>
        <v>53059</v>
      </c>
      <c r="D157" s="532">
        <f>SUM(D149+D156)</f>
        <v>52638</v>
      </c>
      <c r="E157" s="533">
        <f t="shared" si="17"/>
        <v>-421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629</v>
      </c>
      <c r="C161" s="536">
        <f t="shared" ref="C161:D169" si="18">IF(C137=0,0,C149/C137)</f>
        <v>3.2471643365866525</v>
      </c>
      <c r="D161" s="536">
        <f t="shared" si="18"/>
        <v>3.2462034672759037</v>
      </c>
      <c r="E161" s="537">
        <f t="shared" ref="E161:E169" si="19">D161-C161</f>
        <v>-9.6086931074879089E-4</v>
      </c>
    </row>
    <row r="162" spans="1:5" s="506" customFormat="1" x14ac:dyDescent="0.2">
      <c r="A162" s="512">
        <v>2</v>
      </c>
      <c r="B162" s="511" t="s">
        <v>608</v>
      </c>
      <c r="C162" s="536">
        <f t="shared" si="18"/>
        <v>4.7868665780983113</v>
      </c>
      <c r="D162" s="536">
        <f t="shared" si="18"/>
        <v>4.7817316841103708</v>
      </c>
      <c r="E162" s="537">
        <f t="shared" si="19"/>
        <v>-5.1348939879405364E-3</v>
      </c>
    </row>
    <row r="163" spans="1:5" s="506" customFormat="1" x14ac:dyDescent="0.2">
      <c r="A163" s="512">
        <v>3</v>
      </c>
      <c r="B163" s="511" t="s">
        <v>754</v>
      </c>
      <c r="C163" s="536">
        <f t="shared" si="18"/>
        <v>4.1532467532467532</v>
      </c>
      <c r="D163" s="536">
        <f t="shared" si="18"/>
        <v>4.2978177150192556</v>
      </c>
      <c r="E163" s="537">
        <f t="shared" si="19"/>
        <v>0.14457096177250239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3.4990328820116052</v>
      </c>
      <c r="D164" s="536">
        <f t="shared" si="18"/>
        <v>3.3955056179775283</v>
      </c>
      <c r="E164" s="537">
        <f t="shared" si="19"/>
        <v>-0.10352726403407697</v>
      </c>
    </row>
    <row r="165" spans="1:5" s="506" customFormat="1" x14ac:dyDescent="0.2">
      <c r="A165" s="512">
        <v>5</v>
      </c>
      <c r="B165" s="511" t="s">
        <v>721</v>
      </c>
      <c r="C165" s="536">
        <f t="shared" si="18"/>
        <v>5.4901185770750986</v>
      </c>
      <c r="D165" s="536">
        <f t="shared" si="18"/>
        <v>5.5</v>
      </c>
      <c r="E165" s="537">
        <f t="shared" si="19"/>
        <v>9.8814229249013508E-3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3.1666666666666665</v>
      </c>
      <c r="D166" s="536">
        <f t="shared" si="18"/>
        <v>1.75</v>
      </c>
      <c r="E166" s="537">
        <f t="shared" si="19"/>
        <v>-1.4166666666666665</v>
      </c>
    </row>
    <row r="167" spans="1:5" s="506" customFormat="1" x14ac:dyDescent="0.2">
      <c r="A167" s="512">
        <v>7</v>
      </c>
      <c r="B167" s="511" t="s">
        <v>736</v>
      </c>
      <c r="C167" s="536">
        <f t="shared" si="18"/>
        <v>3.0180180180180178</v>
      </c>
      <c r="D167" s="536">
        <f t="shared" si="18"/>
        <v>2.3931034482758622</v>
      </c>
      <c r="E167" s="537">
        <f t="shared" si="19"/>
        <v>-0.62491456974215565</v>
      </c>
    </row>
    <row r="168" spans="1:5" s="506" customFormat="1" x14ac:dyDescent="0.2">
      <c r="A168" s="512"/>
      <c r="B168" s="516" t="s">
        <v>788</v>
      </c>
      <c r="C168" s="538">
        <f t="shared" si="18"/>
        <v>4.7045492142266339</v>
      </c>
      <c r="D168" s="538">
        <f t="shared" si="18"/>
        <v>4.7172904935409079</v>
      </c>
      <c r="E168" s="539">
        <f t="shared" si="19"/>
        <v>1.2741279314274045E-2</v>
      </c>
    </row>
    <row r="169" spans="1:5" s="506" customFormat="1" x14ac:dyDescent="0.2">
      <c r="A169" s="512"/>
      <c r="B169" s="516" t="s">
        <v>722</v>
      </c>
      <c r="C169" s="538">
        <f t="shared" si="18"/>
        <v>3.8936669846628016</v>
      </c>
      <c r="D169" s="538">
        <f t="shared" si="18"/>
        <v>3.905185844647229</v>
      </c>
      <c r="E169" s="539">
        <f t="shared" si="19"/>
        <v>1.1518859984427365E-2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629</v>
      </c>
      <c r="C173" s="541">
        <f t="shared" ref="C173:D181" si="20">IF(C137=0,0,C203/C137)</f>
        <v>0.87150000000000005</v>
      </c>
      <c r="D173" s="541">
        <f t="shared" si="20"/>
        <v>0.94159999999999999</v>
      </c>
      <c r="E173" s="542">
        <f t="shared" ref="E173:E181" si="21">D173-C173</f>
        <v>7.009999999999994E-2</v>
      </c>
    </row>
    <row r="174" spans="1:5" s="506" customFormat="1" x14ac:dyDescent="0.2">
      <c r="A174" s="512">
        <v>2</v>
      </c>
      <c r="B174" s="511" t="s">
        <v>608</v>
      </c>
      <c r="C174" s="541">
        <f t="shared" si="20"/>
        <v>1.4205000000000001</v>
      </c>
      <c r="D174" s="541">
        <f t="shared" si="20"/>
        <v>1.4139999999999999</v>
      </c>
      <c r="E174" s="542">
        <f t="shared" si="21"/>
        <v>-6.5000000000001723E-3</v>
      </c>
    </row>
    <row r="175" spans="1:5" s="506" customFormat="1" x14ac:dyDescent="0.2">
      <c r="A175" s="512">
        <v>0</v>
      </c>
      <c r="B175" s="511" t="s">
        <v>754</v>
      </c>
      <c r="C175" s="541">
        <f t="shared" si="20"/>
        <v>0.92362142857142859</v>
      </c>
      <c r="D175" s="541">
        <f t="shared" si="20"/>
        <v>0.97698446726572519</v>
      </c>
      <c r="E175" s="542">
        <f t="shared" si="21"/>
        <v>5.3363038694296594E-2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0.87909999999999999</v>
      </c>
      <c r="D176" s="541">
        <f t="shared" si="20"/>
        <v>0.97989999999999999</v>
      </c>
      <c r="E176" s="542">
        <f t="shared" si="21"/>
        <v>0.1008</v>
      </c>
    </row>
    <row r="177" spans="1:5" s="506" customFormat="1" x14ac:dyDescent="0.2">
      <c r="A177" s="512">
        <v>5</v>
      </c>
      <c r="B177" s="511" t="s">
        <v>721</v>
      </c>
      <c r="C177" s="541">
        <f t="shared" si="20"/>
        <v>1.0145999999999999</v>
      </c>
      <c r="D177" s="541">
        <f t="shared" si="20"/>
        <v>0.97309999999999997</v>
      </c>
      <c r="E177" s="542">
        <f t="shared" si="21"/>
        <v>-4.1499999999999981E-2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0.99020000000000008</v>
      </c>
      <c r="D178" s="541">
        <f t="shared" si="20"/>
        <v>0.58199999999999996</v>
      </c>
      <c r="E178" s="542">
        <f t="shared" si="21"/>
        <v>-0.40820000000000012</v>
      </c>
    </row>
    <row r="179" spans="1:5" s="506" customFormat="1" x14ac:dyDescent="0.2">
      <c r="A179" s="512">
        <v>7</v>
      </c>
      <c r="B179" s="511" t="s">
        <v>736</v>
      </c>
      <c r="C179" s="541">
        <f t="shared" si="20"/>
        <v>0.99360000000000004</v>
      </c>
      <c r="D179" s="541">
        <f t="shared" si="20"/>
        <v>0.99399999999999999</v>
      </c>
      <c r="E179" s="542">
        <f t="shared" si="21"/>
        <v>3.9999999999995595E-4</v>
      </c>
    </row>
    <row r="180" spans="1:5" s="506" customFormat="1" x14ac:dyDescent="0.2">
      <c r="A180" s="512"/>
      <c r="B180" s="516" t="s">
        <v>790</v>
      </c>
      <c r="C180" s="543">
        <f t="shared" si="20"/>
        <v>1.3567815053763439</v>
      </c>
      <c r="D180" s="543">
        <f t="shared" si="20"/>
        <v>1.3570667273931765</v>
      </c>
      <c r="E180" s="544">
        <f t="shared" si="21"/>
        <v>2.8522201683256476E-4</v>
      </c>
    </row>
    <row r="181" spans="1:5" s="506" customFormat="1" x14ac:dyDescent="0.2">
      <c r="A181" s="512"/>
      <c r="B181" s="516" t="s">
        <v>699</v>
      </c>
      <c r="C181" s="543">
        <f t="shared" si="20"/>
        <v>1.0867731122037132</v>
      </c>
      <c r="D181" s="543">
        <f t="shared" si="20"/>
        <v>1.1277108465019658</v>
      </c>
      <c r="E181" s="544">
        <f t="shared" si="21"/>
        <v>4.0937734298252648E-2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791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792</v>
      </c>
      <c r="C185" s="513">
        <v>464749003</v>
      </c>
      <c r="D185" s="513">
        <v>474455885</v>
      </c>
      <c r="E185" s="514">
        <f>D185-C185</f>
        <v>9706882</v>
      </c>
    </row>
    <row r="186" spans="1:5" s="506" customFormat="1" ht="25.5" x14ac:dyDescent="0.2">
      <c r="A186" s="512">
        <v>2</v>
      </c>
      <c r="B186" s="511" t="s">
        <v>793</v>
      </c>
      <c r="C186" s="513">
        <v>180919545</v>
      </c>
      <c r="D186" s="513">
        <v>194693903</v>
      </c>
      <c r="E186" s="514">
        <f>D186-C186</f>
        <v>13774358</v>
      </c>
    </row>
    <row r="187" spans="1:5" s="506" customFormat="1" x14ac:dyDescent="0.2">
      <c r="A187" s="512"/>
      <c r="B187" s="511" t="s">
        <v>641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725</v>
      </c>
      <c r="C188" s="546">
        <f>+C185-C186</f>
        <v>283829458</v>
      </c>
      <c r="D188" s="546">
        <f>+D185-D186</f>
        <v>279761982</v>
      </c>
      <c r="E188" s="514">
        <f t="shared" ref="E188:E197" si="22">D188-C188</f>
        <v>-4067476</v>
      </c>
    </row>
    <row r="189" spans="1:5" s="506" customFormat="1" x14ac:dyDescent="0.2">
      <c r="A189" s="512">
        <v>4</v>
      </c>
      <c r="B189" s="511" t="s">
        <v>643</v>
      </c>
      <c r="C189" s="547">
        <f>IF(C185=0,0,+C188/C185)</f>
        <v>0.61071558232046386</v>
      </c>
      <c r="D189" s="547">
        <f>IF(D185=0,0,+D188/D185)</f>
        <v>0.58964803861585569</v>
      </c>
      <c r="E189" s="523">
        <f t="shared" si="22"/>
        <v>-2.1067543704608171E-2</v>
      </c>
    </row>
    <row r="190" spans="1:5" s="506" customFormat="1" x14ac:dyDescent="0.2">
      <c r="A190" s="512">
        <v>5</v>
      </c>
      <c r="B190" s="511" t="s">
        <v>740</v>
      </c>
      <c r="C190" s="513">
        <v>18373068</v>
      </c>
      <c r="D190" s="513">
        <v>20970294</v>
      </c>
      <c r="E190" s="546">
        <f t="shared" si="22"/>
        <v>2597226</v>
      </c>
    </row>
    <row r="191" spans="1:5" s="506" customFormat="1" x14ac:dyDescent="0.2">
      <c r="A191" s="512">
        <v>6</v>
      </c>
      <c r="B191" s="511" t="s">
        <v>726</v>
      </c>
      <c r="C191" s="513">
        <v>12688779</v>
      </c>
      <c r="D191" s="513">
        <v>14396381</v>
      </c>
      <c r="E191" s="546">
        <f t="shared" si="22"/>
        <v>1707602</v>
      </c>
    </row>
    <row r="192" spans="1:5" ht="29.25" x14ac:dyDescent="0.2">
      <c r="A192" s="512">
        <v>7</v>
      </c>
      <c r="B192" s="548" t="s">
        <v>794</v>
      </c>
      <c r="C192" s="513">
        <v>1104887</v>
      </c>
      <c r="D192" s="513">
        <v>0</v>
      </c>
      <c r="E192" s="546">
        <f t="shared" si="22"/>
        <v>-1104887</v>
      </c>
    </row>
    <row r="193" spans="1:5" s="506" customFormat="1" x14ac:dyDescent="0.2">
      <c r="A193" s="512">
        <v>8</v>
      </c>
      <c r="B193" s="511" t="s">
        <v>795</v>
      </c>
      <c r="C193" s="513">
        <v>20038812</v>
      </c>
      <c r="D193" s="513">
        <v>19375204</v>
      </c>
      <c r="E193" s="546">
        <f t="shared" si="22"/>
        <v>-663608</v>
      </c>
    </row>
    <row r="194" spans="1:5" s="506" customFormat="1" x14ac:dyDescent="0.2">
      <c r="A194" s="512">
        <v>9</v>
      </c>
      <c r="B194" s="511" t="s">
        <v>796</v>
      </c>
      <c r="C194" s="513">
        <v>10503632</v>
      </c>
      <c r="D194" s="513">
        <v>9269877</v>
      </c>
      <c r="E194" s="546">
        <f t="shared" si="22"/>
        <v>-1233755</v>
      </c>
    </row>
    <row r="195" spans="1:5" s="506" customFormat="1" x14ac:dyDescent="0.2">
      <c r="A195" s="512">
        <v>10</v>
      </c>
      <c r="B195" s="511" t="s">
        <v>797</v>
      </c>
      <c r="C195" s="513">
        <f>+C193+C194</f>
        <v>30542444</v>
      </c>
      <c r="D195" s="513">
        <f>+D193+D194</f>
        <v>28645081</v>
      </c>
      <c r="E195" s="549">
        <f t="shared" si="22"/>
        <v>-1897363</v>
      </c>
    </row>
    <row r="196" spans="1:5" s="506" customFormat="1" x14ac:dyDescent="0.2">
      <c r="A196" s="512">
        <v>11</v>
      </c>
      <c r="B196" s="511" t="s">
        <v>798</v>
      </c>
      <c r="C196" s="513">
        <v>464749003</v>
      </c>
      <c r="D196" s="513">
        <v>474455885</v>
      </c>
      <c r="E196" s="546">
        <f t="shared" si="22"/>
        <v>9706882</v>
      </c>
    </row>
    <row r="197" spans="1:5" s="506" customFormat="1" x14ac:dyDescent="0.2">
      <c r="A197" s="512">
        <v>12</v>
      </c>
      <c r="B197" s="511" t="s">
        <v>683</v>
      </c>
      <c r="C197" s="513">
        <v>287530757</v>
      </c>
      <c r="D197" s="513">
        <v>305925000</v>
      </c>
      <c r="E197" s="546">
        <f t="shared" si="22"/>
        <v>18394243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629</v>
      </c>
      <c r="C203" s="553">
        <v>6607.7130000000006</v>
      </c>
      <c r="D203" s="553">
        <v>7006.4456</v>
      </c>
      <c r="E203" s="554">
        <f t="shared" ref="E203:E211" si="23">D203-C203</f>
        <v>398.73259999999937</v>
      </c>
    </row>
    <row r="204" spans="1:5" s="506" customFormat="1" x14ac:dyDescent="0.2">
      <c r="A204" s="512">
        <v>2</v>
      </c>
      <c r="B204" s="511" t="s">
        <v>608</v>
      </c>
      <c r="C204" s="553">
        <v>7484.6145000000006</v>
      </c>
      <c r="D204" s="553">
        <v>7430.57</v>
      </c>
      <c r="E204" s="554">
        <f t="shared" si="23"/>
        <v>-54.04450000000088</v>
      </c>
    </row>
    <row r="205" spans="1:5" s="506" customFormat="1" x14ac:dyDescent="0.2">
      <c r="A205" s="512">
        <v>3</v>
      </c>
      <c r="B205" s="511" t="s">
        <v>754</v>
      </c>
      <c r="C205" s="553">
        <f>C206+C207</f>
        <v>711.18849999999998</v>
      </c>
      <c r="D205" s="553">
        <f>D206+D207</f>
        <v>761.07089999999994</v>
      </c>
      <c r="E205" s="554">
        <f t="shared" si="23"/>
        <v>49.882399999999961</v>
      </c>
    </row>
    <row r="206" spans="1:5" s="506" customFormat="1" x14ac:dyDescent="0.2">
      <c r="A206" s="512">
        <v>4</v>
      </c>
      <c r="B206" s="511" t="s">
        <v>114</v>
      </c>
      <c r="C206" s="553">
        <v>454.49470000000002</v>
      </c>
      <c r="D206" s="553">
        <v>436.05549999999999</v>
      </c>
      <c r="E206" s="554">
        <f t="shared" si="23"/>
        <v>-18.439200000000028</v>
      </c>
    </row>
    <row r="207" spans="1:5" s="506" customFormat="1" x14ac:dyDescent="0.2">
      <c r="A207" s="512">
        <v>5</v>
      </c>
      <c r="B207" s="511" t="s">
        <v>721</v>
      </c>
      <c r="C207" s="553">
        <v>256.69380000000001</v>
      </c>
      <c r="D207" s="553">
        <v>325.0154</v>
      </c>
      <c r="E207" s="554">
        <f t="shared" si="23"/>
        <v>68.321599999999989</v>
      </c>
    </row>
    <row r="208" spans="1:5" s="506" customFormat="1" x14ac:dyDescent="0.2">
      <c r="A208" s="512">
        <v>6</v>
      </c>
      <c r="B208" s="511" t="s">
        <v>418</v>
      </c>
      <c r="C208" s="553">
        <v>5.9412000000000003</v>
      </c>
      <c r="D208" s="553">
        <v>2.3279999999999998</v>
      </c>
      <c r="E208" s="554">
        <f t="shared" si="23"/>
        <v>-3.6132000000000004</v>
      </c>
    </row>
    <row r="209" spans="1:5" s="506" customFormat="1" x14ac:dyDescent="0.2">
      <c r="A209" s="512">
        <v>7</v>
      </c>
      <c r="B209" s="511" t="s">
        <v>736</v>
      </c>
      <c r="C209" s="553">
        <v>330.86880000000002</v>
      </c>
      <c r="D209" s="553">
        <v>288.26</v>
      </c>
      <c r="E209" s="554">
        <f t="shared" si="23"/>
        <v>-42.608800000000031</v>
      </c>
    </row>
    <row r="210" spans="1:5" s="506" customFormat="1" x14ac:dyDescent="0.2">
      <c r="A210" s="512"/>
      <c r="B210" s="516" t="s">
        <v>801</v>
      </c>
      <c r="C210" s="555">
        <f>C204+C205+C208</f>
        <v>8201.7441999999992</v>
      </c>
      <c r="D210" s="555">
        <f>D204+D205+D208</f>
        <v>8193.9688999999998</v>
      </c>
      <c r="E210" s="556">
        <f t="shared" si="23"/>
        <v>-7.7752999999993335</v>
      </c>
    </row>
    <row r="211" spans="1:5" s="506" customFormat="1" x14ac:dyDescent="0.2">
      <c r="A211" s="512"/>
      <c r="B211" s="516" t="s">
        <v>700</v>
      </c>
      <c r="C211" s="555">
        <f>C210+C203</f>
        <v>14809.457200000001</v>
      </c>
      <c r="D211" s="555">
        <f>D210+D203</f>
        <v>15200.414499999999</v>
      </c>
      <c r="E211" s="556">
        <f t="shared" si="23"/>
        <v>390.95729999999821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629</v>
      </c>
      <c r="C215" s="557">
        <f>IF(C14*C137=0,0,C25/C14*C137)</f>
        <v>14424.6446304124</v>
      </c>
      <c r="D215" s="557">
        <f>IF(D14*D137=0,0,D25/D14*D137)</f>
        <v>14385.036844872297</v>
      </c>
      <c r="E215" s="557">
        <f t="shared" ref="E215:E223" si="24">D215-C215</f>
        <v>-39.607785540103578</v>
      </c>
    </row>
    <row r="216" spans="1:5" s="506" customFormat="1" x14ac:dyDescent="0.2">
      <c r="A216" s="512">
        <v>2</v>
      </c>
      <c r="B216" s="511" t="s">
        <v>608</v>
      </c>
      <c r="C216" s="557">
        <f>IF(C15*C138=0,0,C26/C15*C138)</f>
        <v>3260.1600896804571</v>
      </c>
      <c r="D216" s="557">
        <f>IF(D15*D138=0,0,D26/D15*D138)</f>
        <v>3445.0823297446959</v>
      </c>
      <c r="E216" s="557">
        <f t="shared" si="24"/>
        <v>184.92224006423885</v>
      </c>
    </row>
    <row r="217" spans="1:5" s="506" customFormat="1" x14ac:dyDescent="0.2">
      <c r="A217" s="512">
        <v>3</v>
      </c>
      <c r="B217" s="511" t="s">
        <v>754</v>
      </c>
      <c r="C217" s="557">
        <f>C218+C219</f>
        <v>1023.3888387155189</v>
      </c>
      <c r="D217" s="557">
        <f>D218+D219</f>
        <v>1017.4620619803188</v>
      </c>
      <c r="E217" s="557">
        <f t="shared" si="24"/>
        <v>-5.9267767352000646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842.86487539496704</v>
      </c>
      <c r="D218" s="557">
        <f t="shared" si="25"/>
        <v>768.1705307128716</v>
      </c>
      <c r="E218" s="557">
        <f t="shared" si="24"/>
        <v>-74.694344682095448</v>
      </c>
    </row>
    <row r="219" spans="1:5" s="506" customFormat="1" x14ac:dyDescent="0.2">
      <c r="A219" s="512">
        <v>5</v>
      </c>
      <c r="B219" s="511" t="s">
        <v>721</v>
      </c>
      <c r="C219" s="557">
        <f t="shared" si="25"/>
        <v>180.5239633205519</v>
      </c>
      <c r="D219" s="557">
        <f t="shared" si="25"/>
        <v>249.29153126744725</v>
      </c>
      <c r="E219" s="557">
        <f t="shared" si="24"/>
        <v>68.767567946895355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17.203473025153254</v>
      </c>
      <c r="D220" s="557">
        <f t="shared" si="25"/>
        <v>19.63648141650247</v>
      </c>
      <c r="E220" s="557">
        <f t="shared" si="24"/>
        <v>2.4330083913492153</v>
      </c>
    </row>
    <row r="221" spans="1:5" s="506" customFormat="1" x14ac:dyDescent="0.2">
      <c r="A221" s="512">
        <v>7</v>
      </c>
      <c r="B221" s="511" t="s">
        <v>736</v>
      </c>
      <c r="C221" s="557">
        <f t="shared" si="25"/>
        <v>1016.8963685008073</v>
      </c>
      <c r="D221" s="557">
        <f t="shared" si="25"/>
        <v>1063.8427553253957</v>
      </c>
      <c r="E221" s="557">
        <f t="shared" si="24"/>
        <v>46.946386824588444</v>
      </c>
    </row>
    <row r="222" spans="1:5" s="506" customFormat="1" x14ac:dyDescent="0.2">
      <c r="A222" s="512"/>
      <c r="B222" s="516" t="s">
        <v>803</v>
      </c>
      <c r="C222" s="558">
        <f>C216+C218+C219+C220</f>
        <v>4300.7524014211294</v>
      </c>
      <c r="D222" s="558">
        <f>D216+D218+D219+D220</f>
        <v>4482.1808731415176</v>
      </c>
      <c r="E222" s="558">
        <f t="shared" si="24"/>
        <v>181.42847172038819</v>
      </c>
    </row>
    <row r="223" spans="1:5" s="506" customFormat="1" x14ac:dyDescent="0.2">
      <c r="A223" s="512"/>
      <c r="B223" s="516" t="s">
        <v>804</v>
      </c>
      <c r="C223" s="558">
        <f>C215+C222</f>
        <v>18725.39703183353</v>
      </c>
      <c r="D223" s="558">
        <f>D215+D222</f>
        <v>18867.217718013813</v>
      </c>
      <c r="E223" s="558">
        <f t="shared" si="24"/>
        <v>141.82068618028279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629</v>
      </c>
      <c r="C227" s="560">
        <f t="shared" ref="C227:D235" si="26">IF(C203=0,0,C47/C203)</f>
        <v>10586.722819226561</v>
      </c>
      <c r="D227" s="560">
        <f t="shared" si="26"/>
        <v>10585.476036522712</v>
      </c>
      <c r="E227" s="560">
        <f t="shared" ref="E227:E235" si="27">D227-C227</f>
        <v>-1.2467827038490213</v>
      </c>
    </row>
    <row r="228" spans="1:5" s="506" customFormat="1" x14ac:dyDescent="0.2">
      <c r="A228" s="512">
        <v>2</v>
      </c>
      <c r="B228" s="511" t="s">
        <v>608</v>
      </c>
      <c r="C228" s="560">
        <f t="shared" si="26"/>
        <v>6970.1086141443884</v>
      </c>
      <c r="D228" s="560">
        <f t="shared" si="26"/>
        <v>7006.4595313683876</v>
      </c>
      <c r="E228" s="560">
        <f t="shared" si="27"/>
        <v>36.350917223999204</v>
      </c>
    </row>
    <row r="229" spans="1:5" s="506" customFormat="1" x14ac:dyDescent="0.2">
      <c r="A229" s="512">
        <v>3</v>
      </c>
      <c r="B229" s="511" t="s">
        <v>754</v>
      </c>
      <c r="C229" s="560">
        <f t="shared" si="26"/>
        <v>7689.8543775665667</v>
      </c>
      <c r="D229" s="560">
        <f t="shared" si="26"/>
        <v>7233.0593641144342</v>
      </c>
      <c r="E229" s="560">
        <f t="shared" si="27"/>
        <v>-456.79501345213248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4569.9300783925528</v>
      </c>
      <c r="D230" s="560">
        <f t="shared" si="26"/>
        <v>7488.0491130142836</v>
      </c>
      <c r="E230" s="560">
        <f t="shared" si="27"/>
        <v>2918.1190346217309</v>
      </c>
    </row>
    <row r="231" spans="1:5" s="506" customFormat="1" x14ac:dyDescent="0.2">
      <c r="A231" s="512">
        <v>5</v>
      </c>
      <c r="B231" s="511" t="s">
        <v>721</v>
      </c>
      <c r="C231" s="560">
        <f t="shared" si="26"/>
        <v>13213.903101672109</v>
      </c>
      <c r="D231" s="560">
        <f t="shared" si="26"/>
        <v>6890.9534748199621</v>
      </c>
      <c r="E231" s="560">
        <f t="shared" si="27"/>
        <v>-6322.949626852147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1751.8346461994208</v>
      </c>
      <c r="D232" s="560">
        <f t="shared" si="26"/>
        <v>8625.8591065292094</v>
      </c>
      <c r="E232" s="560">
        <f t="shared" si="27"/>
        <v>6874.0244603297888</v>
      </c>
    </row>
    <row r="233" spans="1:5" s="506" customFormat="1" x14ac:dyDescent="0.2">
      <c r="A233" s="512">
        <v>7</v>
      </c>
      <c r="B233" s="511" t="s">
        <v>736</v>
      </c>
      <c r="C233" s="560">
        <f t="shared" si="26"/>
        <v>2676.3780688901461</v>
      </c>
      <c r="D233" s="560">
        <f t="shared" si="26"/>
        <v>3491.8198848261986</v>
      </c>
      <c r="E233" s="560">
        <f t="shared" si="27"/>
        <v>815.44181593605254</v>
      </c>
    </row>
    <row r="234" spans="1:5" x14ac:dyDescent="0.2">
      <c r="A234" s="512"/>
      <c r="B234" s="516" t="s">
        <v>806</v>
      </c>
      <c r="C234" s="561">
        <f t="shared" si="26"/>
        <v>7028.7390821089011</v>
      </c>
      <c r="D234" s="561">
        <f t="shared" si="26"/>
        <v>7027.9666304322927</v>
      </c>
      <c r="E234" s="561">
        <f t="shared" si="27"/>
        <v>-0.77245167660839797</v>
      </c>
    </row>
    <row r="235" spans="1:5" s="506" customFormat="1" x14ac:dyDescent="0.2">
      <c r="A235" s="512"/>
      <c r="B235" s="516" t="s">
        <v>807</v>
      </c>
      <c r="C235" s="561">
        <f t="shared" si="26"/>
        <v>8616.2473260667502</v>
      </c>
      <c r="D235" s="561">
        <f t="shared" si="26"/>
        <v>8667.7571851741286</v>
      </c>
      <c r="E235" s="561">
        <f t="shared" si="27"/>
        <v>51.509859107378361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629</v>
      </c>
      <c r="C239" s="560">
        <f t="shared" ref="C239:D247" si="28">IF(C215=0,0,C58/C215)</f>
        <v>8109.2539883705786</v>
      </c>
      <c r="D239" s="560">
        <f t="shared" si="28"/>
        <v>8974.9699213332897</v>
      </c>
      <c r="E239" s="562">
        <f t="shared" ref="E239:E247" si="29">D239-C239</f>
        <v>865.71593296271112</v>
      </c>
    </row>
    <row r="240" spans="1:5" s="506" customFormat="1" x14ac:dyDescent="0.2">
      <c r="A240" s="512">
        <v>2</v>
      </c>
      <c r="B240" s="511" t="s">
        <v>608</v>
      </c>
      <c r="C240" s="560">
        <f t="shared" si="28"/>
        <v>6974.1799097444173</v>
      </c>
      <c r="D240" s="560">
        <f t="shared" si="28"/>
        <v>7549.2015895966533</v>
      </c>
      <c r="E240" s="562">
        <f t="shared" si="29"/>
        <v>575.02167985223605</v>
      </c>
    </row>
    <row r="241" spans="1:5" x14ac:dyDescent="0.2">
      <c r="A241" s="512">
        <v>3</v>
      </c>
      <c r="B241" s="511" t="s">
        <v>754</v>
      </c>
      <c r="C241" s="560">
        <f t="shared" si="28"/>
        <v>2992.4764509292281</v>
      </c>
      <c r="D241" s="560">
        <f t="shared" si="28"/>
        <v>4234.7456096926635</v>
      </c>
      <c r="E241" s="562">
        <f t="shared" si="29"/>
        <v>1242.2691587634354</v>
      </c>
    </row>
    <row r="242" spans="1:5" x14ac:dyDescent="0.2">
      <c r="A242" s="512">
        <v>4</v>
      </c>
      <c r="B242" s="511" t="s">
        <v>114</v>
      </c>
      <c r="C242" s="560">
        <f t="shared" si="28"/>
        <v>2685.2548564672516</v>
      </c>
      <c r="D242" s="560">
        <f t="shared" si="28"/>
        <v>4724.119000806123</v>
      </c>
      <c r="E242" s="562">
        <f t="shared" si="29"/>
        <v>2038.8641443388715</v>
      </c>
    </row>
    <row r="243" spans="1:5" x14ac:dyDescent="0.2">
      <c r="A243" s="512">
        <v>5</v>
      </c>
      <c r="B243" s="511" t="s">
        <v>721</v>
      </c>
      <c r="C243" s="560">
        <f t="shared" si="28"/>
        <v>4426.891506813151</v>
      </c>
      <c r="D243" s="560">
        <f t="shared" si="28"/>
        <v>2726.7833630125579</v>
      </c>
      <c r="E243" s="562">
        <f t="shared" si="29"/>
        <v>-1700.1081438005931</v>
      </c>
    </row>
    <row r="244" spans="1:5" x14ac:dyDescent="0.2">
      <c r="A244" s="512">
        <v>6</v>
      </c>
      <c r="B244" s="511" t="s">
        <v>418</v>
      </c>
      <c r="C244" s="560">
        <f t="shared" si="28"/>
        <v>1572.8800783677195</v>
      </c>
      <c r="D244" s="560">
        <f t="shared" si="28"/>
        <v>6502.8452547861752</v>
      </c>
      <c r="E244" s="562">
        <f t="shared" si="29"/>
        <v>4929.9651764184555</v>
      </c>
    </row>
    <row r="245" spans="1:5" x14ac:dyDescent="0.2">
      <c r="A245" s="512">
        <v>7</v>
      </c>
      <c r="B245" s="511" t="s">
        <v>736</v>
      </c>
      <c r="C245" s="560">
        <f t="shared" si="28"/>
        <v>2659.2483597780233</v>
      </c>
      <c r="D245" s="560">
        <f t="shared" si="28"/>
        <v>3470.8691500846794</v>
      </c>
      <c r="E245" s="562">
        <f t="shared" si="29"/>
        <v>811.62079030665609</v>
      </c>
    </row>
    <row r="246" spans="1:5" ht="25.5" x14ac:dyDescent="0.2">
      <c r="A246" s="512"/>
      <c r="B246" s="516" t="s">
        <v>809</v>
      </c>
      <c r="C246" s="561">
        <f t="shared" si="28"/>
        <v>6005.1048257197899</v>
      </c>
      <c r="D246" s="561">
        <f t="shared" si="28"/>
        <v>6792.2308049701905</v>
      </c>
      <c r="E246" s="563">
        <f t="shared" si="29"/>
        <v>787.12597925040063</v>
      </c>
    </row>
    <row r="247" spans="1:5" x14ac:dyDescent="0.2">
      <c r="A247" s="512"/>
      <c r="B247" s="516" t="s">
        <v>810</v>
      </c>
      <c r="C247" s="561">
        <f t="shared" si="28"/>
        <v>7625.9838847335523</v>
      </c>
      <c r="D247" s="561">
        <f t="shared" si="28"/>
        <v>8456.4286258099128</v>
      </c>
      <c r="E247" s="563">
        <f t="shared" si="29"/>
        <v>830.44474107636051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738</v>
      </c>
      <c r="B249" s="550" t="s">
        <v>735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3614984.2806088105</v>
      </c>
      <c r="D251" s="546">
        <f>((IF((IF(D15=0,0,D26/D15)*D138)=0,0,D59/(IF(D15=0,0,D26/D15)*D138)))-(IF((IF(D17=0,0,D28/D17)*D140)=0,0,D61/(IF(D17=0,0,D28/D17)*D140))))*(IF(D17=0,0,D28/D17)*D140)</f>
        <v>2170145.191538915</v>
      </c>
      <c r="E251" s="546">
        <f>D251-C251</f>
        <v>-1444839.0890698954</v>
      </c>
    </row>
    <row r="252" spans="1:5" x14ac:dyDescent="0.2">
      <c r="A252" s="512">
        <v>2</v>
      </c>
      <c r="B252" s="511" t="s">
        <v>721</v>
      </c>
      <c r="C252" s="546">
        <f>IF(C231=0,0,(C228-C231)*C207)+IF(C243=0,0,(C240-C243)*C219)</f>
        <v>-1142896.735204912</v>
      </c>
      <c r="D252" s="546">
        <f>IF(D231=0,0,(D228-D231)*D207)+IF(D243=0,0,(D240-D243)*D219)</f>
        <v>1239729.2712887058</v>
      </c>
      <c r="E252" s="546">
        <f>D252-C252</f>
        <v>2382626.0064936178</v>
      </c>
    </row>
    <row r="253" spans="1:5" x14ac:dyDescent="0.2">
      <c r="A253" s="512">
        <v>3</v>
      </c>
      <c r="B253" s="511" t="s">
        <v>736</v>
      </c>
      <c r="C253" s="546">
        <f>IF(C233=0,0,(C228-C233)*C209+IF(C221=0,0,(C240-C245)*C221))</f>
        <v>5808499.6965220021</v>
      </c>
      <c r="D253" s="546">
        <f>IF(D233=0,0,(D228-D233)*D209+IF(D221=0,0,(D240-D245)*D221))</f>
        <v>5351834.4440956134</v>
      </c>
      <c r="E253" s="546">
        <f>D253-C253</f>
        <v>-456665.25242638867</v>
      </c>
    </row>
    <row r="254" spans="1:5" ht="15" customHeight="1" x14ac:dyDescent="0.2">
      <c r="A254" s="512"/>
      <c r="B254" s="516" t="s">
        <v>737</v>
      </c>
      <c r="C254" s="564">
        <f>+C251+C252+C253</f>
        <v>8280587.2419259008</v>
      </c>
      <c r="D254" s="564">
        <f>+D251+D252+D253</f>
        <v>8761708.9069232345</v>
      </c>
      <c r="E254" s="564">
        <f>D254-C254</f>
        <v>481121.66499733366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811</v>
      </c>
      <c r="B256" s="550" t="s">
        <v>812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703</v>
      </c>
      <c r="C258" s="546">
        <f>+C44</f>
        <v>900732964</v>
      </c>
      <c r="D258" s="549">
        <f>+D44</f>
        <v>944999461</v>
      </c>
      <c r="E258" s="546">
        <f t="shared" ref="E258:E271" si="30">D258-C258</f>
        <v>44266497</v>
      </c>
    </row>
    <row r="259" spans="1:5" x14ac:dyDescent="0.2">
      <c r="A259" s="512">
        <v>2</v>
      </c>
      <c r="B259" s="511" t="s">
        <v>720</v>
      </c>
      <c r="C259" s="546">
        <f>+(C43-C76)</f>
        <v>300536162</v>
      </c>
      <c r="D259" s="549">
        <f>+(D43-D76)</f>
        <v>328636097</v>
      </c>
      <c r="E259" s="546">
        <f t="shared" si="30"/>
        <v>28099935</v>
      </c>
    </row>
    <row r="260" spans="1:5" x14ac:dyDescent="0.2">
      <c r="A260" s="512">
        <v>3</v>
      </c>
      <c r="B260" s="511" t="s">
        <v>724</v>
      </c>
      <c r="C260" s="546">
        <f>C195</f>
        <v>30542444</v>
      </c>
      <c r="D260" s="546">
        <f>D195</f>
        <v>28645081</v>
      </c>
      <c r="E260" s="546">
        <f t="shared" si="30"/>
        <v>-1897363</v>
      </c>
    </row>
    <row r="261" spans="1:5" x14ac:dyDescent="0.2">
      <c r="A261" s="512">
        <v>4</v>
      </c>
      <c r="B261" s="511" t="s">
        <v>725</v>
      </c>
      <c r="C261" s="546">
        <f>C188</f>
        <v>283829458</v>
      </c>
      <c r="D261" s="546">
        <f>D188</f>
        <v>279761982</v>
      </c>
      <c r="E261" s="546">
        <f t="shared" si="30"/>
        <v>-4067476</v>
      </c>
    </row>
    <row r="262" spans="1:5" x14ac:dyDescent="0.2">
      <c r="A262" s="512">
        <v>5</v>
      </c>
      <c r="B262" s="511" t="s">
        <v>726</v>
      </c>
      <c r="C262" s="546">
        <f>C191</f>
        <v>12688779</v>
      </c>
      <c r="D262" s="546">
        <f>D191</f>
        <v>14396381</v>
      </c>
      <c r="E262" s="546">
        <f t="shared" si="30"/>
        <v>1707602</v>
      </c>
    </row>
    <row r="263" spans="1:5" x14ac:dyDescent="0.2">
      <c r="A263" s="512">
        <v>6</v>
      </c>
      <c r="B263" s="511" t="s">
        <v>727</v>
      </c>
      <c r="C263" s="546">
        <f>+C259+C260+C261+C262</f>
        <v>627596843</v>
      </c>
      <c r="D263" s="546">
        <f>+D259+D260+D261+D262</f>
        <v>651439541</v>
      </c>
      <c r="E263" s="546">
        <f t="shared" si="30"/>
        <v>23842698</v>
      </c>
    </row>
    <row r="264" spans="1:5" x14ac:dyDescent="0.2">
      <c r="A264" s="512">
        <v>7</v>
      </c>
      <c r="B264" s="511" t="s">
        <v>627</v>
      </c>
      <c r="C264" s="546">
        <f>+C258-C263</f>
        <v>273136121</v>
      </c>
      <c r="D264" s="546">
        <f>+D258-D263</f>
        <v>293559920</v>
      </c>
      <c r="E264" s="546">
        <f t="shared" si="30"/>
        <v>20423799</v>
      </c>
    </row>
    <row r="265" spans="1:5" x14ac:dyDescent="0.2">
      <c r="A265" s="512">
        <v>8</v>
      </c>
      <c r="B265" s="511" t="s">
        <v>813</v>
      </c>
      <c r="C265" s="565">
        <f>C192</f>
        <v>1104887</v>
      </c>
      <c r="D265" s="565">
        <f>D192</f>
        <v>0</v>
      </c>
      <c r="E265" s="546">
        <f t="shared" si="30"/>
        <v>-1104887</v>
      </c>
    </row>
    <row r="266" spans="1:5" x14ac:dyDescent="0.2">
      <c r="A266" s="512">
        <v>9</v>
      </c>
      <c r="B266" s="511" t="s">
        <v>814</v>
      </c>
      <c r="C266" s="546">
        <f>+C264+C265</f>
        <v>274241008</v>
      </c>
      <c r="D266" s="546">
        <f>+D264+D265</f>
        <v>293559920</v>
      </c>
      <c r="E266" s="565">
        <f t="shared" si="30"/>
        <v>19318912</v>
      </c>
    </row>
    <row r="267" spans="1:5" x14ac:dyDescent="0.2">
      <c r="A267" s="512">
        <v>10</v>
      </c>
      <c r="B267" s="511" t="s">
        <v>815</v>
      </c>
      <c r="C267" s="566">
        <f>IF(C258=0,0,C266/C258)</f>
        <v>0.30446427405314769</v>
      </c>
      <c r="D267" s="566">
        <f>IF(D258=0,0,D266/D258)</f>
        <v>0.31064559517246115</v>
      </c>
      <c r="E267" s="567">
        <f t="shared" si="30"/>
        <v>6.1813211193134654E-3</v>
      </c>
    </row>
    <row r="268" spans="1:5" x14ac:dyDescent="0.2">
      <c r="A268" s="512">
        <v>11</v>
      </c>
      <c r="B268" s="511" t="s">
        <v>689</v>
      </c>
      <c r="C268" s="546">
        <f>+C260*C267</f>
        <v>9299083.0402689166</v>
      </c>
      <c r="D268" s="568">
        <f>+D260*D267</f>
        <v>8898468.2360083591</v>
      </c>
      <c r="E268" s="546">
        <f t="shared" si="30"/>
        <v>-400614.80426055752</v>
      </c>
    </row>
    <row r="269" spans="1:5" x14ac:dyDescent="0.2">
      <c r="A269" s="512">
        <v>12</v>
      </c>
      <c r="B269" s="511" t="s">
        <v>816</v>
      </c>
      <c r="C269" s="546">
        <f>((C17+C18+C28+C29)*C267)-(C50+C51+C61+C62)</f>
        <v>4481400.3774958067</v>
      </c>
      <c r="D269" s="568">
        <f>((D17+D18+D28+D29)*D267)-(D50+D51+D61+D62)</f>
        <v>6098369.0982439145</v>
      </c>
      <c r="E269" s="546">
        <f t="shared" si="30"/>
        <v>1616968.7207481079</v>
      </c>
    </row>
    <row r="270" spans="1:5" s="569" customFormat="1" x14ac:dyDescent="0.2">
      <c r="A270" s="570">
        <v>13</v>
      </c>
      <c r="B270" s="571" t="s">
        <v>817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818</v>
      </c>
      <c r="C271" s="546">
        <f>+C268+C269+C270</f>
        <v>13780483.417764723</v>
      </c>
      <c r="D271" s="546">
        <f>+D268+D269+D270</f>
        <v>14996837.334252274</v>
      </c>
      <c r="E271" s="549">
        <f t="shared" si="30"/>
        <v>1216353.9164875504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819</v>
      </c>
      <c r="B273" s="550" t="s">
        <v>820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821</v>
      </c>
      <c r="C275" s="340"/>
      <c r="D275" s="340"/>
      <c r="E275" s="520"/>
    </row>
    <row r="276" spans="1:5" x14ac:dyDescent="0.2">
      <c r="A276" s="512">
        <v>1</v>
      </c>
      <c r="B276" s="511" t="s">
        <v>629</v>
      </c>
      <c r="C276" s="547">
        <f t="shared" ref="C276:D284" si="31">IF(C14=0,0,+C47/C14)</f>
        <v>0.39293929787187337</v>
      </c>
      <c r="D276" s="547">
        <f t="shared" si="31"/>
        <v>0.41176029707453649</v>
      </c>
      <c r="E276" s="574">
        <f t="shared" ref="E276:E284" si="32">D276-C276</f>
        <v>1.8820999202663113E-2</v>
      </c>
    </row>
    <row r="277" spans="1:5" x14ac:dyDescent="0.2">
      <c r="A277" s="512">
        <v>2</v>
      </c>
      <c r="B277" s="511" t="s">
        <v>608</v>
      </c>
      <c r="C277" s="547">
        <f t="shared" si="31"/>
        <v>0.24783665521427686</v>
      </c>
      <c r="D277" s="547">
        <f t="shared" si="31"/>
        <v>0.23614031625746168</v>
      </c>
      <c r="E277" s="574">
        <f t="shared" si="32"/>
        <v>-1.1696338956815183E-2</v>
      </c>
    </row>
    <row r="278" spans="1:5" x14ac:dyDescent="0.2">
      <c r="A278" s="512">
        <v>3</v>
      </c>
      <c r="B278" s="511" t="s">
        <v>754</v>
      </c>
      <c r="C278" s="547">
        <f t="shared" si="31"/>
        <v>0.27248597358424592</v>
      </c>
      <c r="D278" s="547">
        <f t="shared" si="31"/>
        <v>0.24054647672211499</v>
      </c>
      <c r="E278" s="574">
        <f t="shared" si="32"/>
        <v>-3.1939496862130934E-2</v>
      </c>
    </row>
    <row r="279" spans="1:5" x14ac:dyDescent="0.2">
      <c r="A279" s="512">
        <v>4</v>
      </c>
      <c r="B279" s="511" t="s">
        <v>114</v>
      </c>
      <c r="C279" s="547">
        <f t="shared" si="31"/>
        <v>0.22808098520016681</v>
      </c>
      <c r="D279" s="547">
        <f t="shared" si="31"/>
        <v>0.28422742999413042</v>
      </c>
      <c r="E279" s="574">
        <f t="shared" si="32"/>
        <v>5.6146444793963607E-2</v>
      </c>
    </row>
    <row r="280" spans="1:5" x14ac:dyDescent="0.2">
      <c r="A280" s="512">
        <v>5</v>
      </c>
      <c r="B280" s="511" t="s">
        <v>721</v>
      </c>
      <c r="C280" s="547">
        <f t="shared" si="31"/>
        <v>0.30936753499088704</v>
      </c>
      <c r="D280" s="547">
        <f t="shared" si="31"/>
        <v>0.19651617863282084</v>
      </c>
      <c r="E280" s="574">
        <f t="shared" si="32"/>
        <v>-0.1128513563580662</v>
      </c>
    </row>
    <row r="281" spans="1:5" x14ac:dyDescent="0.2">
      <c r="A281" s="512">
        <v>6</v>
      </c>
      <c r="B281" s="511" t="s">
        <v>418</v>
      </c>
      <c r="C281" s="547">
        <f t="shared" si="31"/>
        <v>7.5685188013118382E-2</v>
      </c>
      <c r="D281" s="547">
        <f t="shared" si="31"/>
        <v>0.27100596507328134</v>
      </c>
      <c r="E281" s="574">
        <f t="shared" si="32"/>
        <v>0.19532077706016296</v>
      </c>
    </row>
    <row r="282" spans="1:5" x14ac:dyDescent="0.2">
      <c r="A282" s="512">
        <v>7</v>
      </c>
      <c r="B282" s="511" t="s">
        <v>736</v>
      </c>
      <c r="C282" s="547">
        <f t="shared" si="31"/>
        <v>0.10517094539360333</v>
      </c>
      <c r="D282" s="547">
        <f t="shared" si="31"/>
        <v>0.14092483920837515</v>
      </c>
      <c r="E282" s="574">
        <f t="shared" si="32"/>
        <v>3.5753893814771814E-2</v>
      </c>
    </row>
    <row r="283" spans="1:5" ht="29.25" customHeight="1" x14ac:dyDescent="0.2">
      <c r="A283" s="512"/>
      <c r="B283" s="516" t="s">
        <v>822</v>
      </c>
      <c r="C283" s="575">
        <f t="shared" si="31"/>
        <v>0.2498784545609912</v>
      </c>
      <c r="D283" s="575">
        <f t="shared" si="31"/>
        <v>0.23656515305110107</v>
      </c>
      <c r="E283" s="576">
        <f t="shared" si="32"/>
        <v>-1.331330150989013E-2</v>
      </c>
    </row>
    <row r="284" spans="1:5" x14ac:dyDescent="0.2">
      <c r="A284" s="512"/>
      <c r="B284" s="516" t="s">
        <v>823</v>
      </c>
      <c r="C284" s="575">
        <f t="shared" si="31"/>
        <v>0.31219021465558622</v>
      </c>
      <c r="D284" s="575">
        <f t="shared" si="31"/>
        <v>0.31106936347231634</v>
      </c>
      <c r="E284" s="576">
        <f t="shared" si="32"/>
        <v>-1.1208511832698775E-3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824</v>
      </c>
      <c r="C286" s="520"/>
      <c r="D286" s="520"/>
      <c r="E286" s="520"/>
    </row>
    <row r="287" spans="1:5" x14ac:dyDescent="0.2">
      <c r="A287" s="512">
        <v>1</v>
      </c>
      <c r="B287" s="511" t="s">
        <v>629</v>
      </c>
      <c r="C287" s="547">
        <f t="shared" ref="C287:D295" si="33">IF(C25=0,0,+C58/C25)</f>
        <v>0.34536429280033132</v>
      </c>
      <c r="D287" s="547">
        <f t="shared" si="33"/>
        <v>0.37076661942672545</v>
      </c>
      <c r="E287" s="574">
        <f t="shared" ref="E287:E295" si="34">D287-C287</f>
        <v>2.5402326626394134E-2</v>
      </c>
    </row>
    <row r="288" spans="1:5" x14ac:dyDescent="0.2">
      <c r="A288" s="512">
        <v>2</v>
      </c>
      <c r="B288" s="511" t="s">
        <v>608</v>
      </c>
      <c r="C288" s="547">
        <f t="shared" si="33"/>
        <v>0.17457333232373282</v>
      </c>
      <c r="D288" s="547">
        <f t="shared" si="33"/>
        <v>0.17993810227266768</v>
      </c>
      <c r="E288" s="574">
        <f t="shared" si="34"/>
        <v>5.3647699489348666E-3</v>
      </c>
    </row>
    <row r="289" spans="1:5" x14ac:dyDescent="0.2">
      <c r="A289" s="512">
        <v>3</v>
      </c>
      <c r="B289" s="511" t="s">
        <v>754</v>
      </c>
      <c r="C289" s="547">
        <f t="shared" si="33"/>
        <v>0.13509208284372495</v>
      </c>
      <c r="D289" s="547">
        <f t="shared" si="33"/>
        <v>0.15205028963779846</v>
      </c>
      <c r="E289" s="574">
        <f t="shared" si="34"/>
        <v>1.6958206794073505E-2</v>
      </c>
    </row>
    <row r="290" spans="1:5" x14ac:dyDescent="0.2">
      <c r="A290" s="512">
        <v>4</v>
      </c>
      <c r="B290" s="511" t="s">
        <v>114</v>
      </c>
      <c r="C290" s="547">
        <f t="shared" si="33"/>
        <v>0.15244976373828592</v>
      </c>
      <c r="D290" s="547">
        <f t="shared" si="33"/>
        <v>0.18299379982285208</v>
      </c>
      <c r="E290" s="574">
        <f t="shared" si="34"/>
        <v>3.0544036084566156E-2</v>
      </c>
    </row>
    <row r="291" spans="1:5" x14ac:dyDescent="0.2">
      <c r="A291" s="512">
        <v>5</v>
      </c>
      <c r="B291" s="511" t="s">
        <v>721</v>
      </c>
      <c r="C291" s="547">
        <f t="shared" si="33"/>
        <v>0.10215218010975007</v>
      </c>
      <c r="D291" s="547">
        <f t="shared" si="33"/>
        <v>7.9912028631605084E-2</v>
      </c>
      <c r="E291" s="574">
        <f t="shared" si="34"/>
        <v>-2.2240151478144982E-2</v>
      </c>
    </row>
    <row r="292" spans="1:5" x14ac:dyDescent="0.2">
      <c r="A292" s="512">
        <v>6</v>
      </c>
      <c r="B292" s="511" t="s">
        <v>418</v>
      </c>
      <c r="C292" s="547">
        <f t="shared" si="33"/>
        <v>6.8626282352046056E-2</v>
      </c>
      <c r="D292" s="547">
        <f t="shared" si="33"/>
        <v>0.35104025775519854</v>
      </c>
      <c r="E292" s="574">
        <f t="shared" si="34"/>
        <v>0.2824139754031525</v>
      </c>
    </row>
    <row r="293" spans="1:5" x14ac:dyDescent="0.2">
      <c r="A293" s="512">
        <v>7</v>
      </c>
      <c r="B293" s="511" t="s">
        <v>736</v>
      </c>
      <c r="C293" s="547">
        <f t="shared" si="33"/>
        <v>0.10517091021580653</v>
      </c>
      <c r="D293" s="547">
        <f t="shared" si="33"/>
        <v>0.14092484670221511</v>
      </c>
      <c r="E293" s="574">
        <f t="shared" si="34"/>
        <v>3.575393648640858E-2</v>
      </c>
    </row>
    <row r="294" spans="1:5" ht="29.25" customHeight="1" x14ac:dyDescent="0.2">
      <c r="A294" s="512"/>
      <c r="B294" s="516" t="s">
        <v>825</v>
      </c>
      <c r="C294" s="575">
        <f t="shared" si="33"/>
        <v>0.16846274703428338</v>
      </c>
      <c r="D294" s="575">
        <f t="shared" si="33"/>
        <v>0.17573563202075421</v>
      </c>
      <c r="E294" s="576">
        <f t="shared" si="34"/>
        <v>7.2728849864708289E-3</v>
      </c>
    </row>
    <row r="295" spans="1:5" x14ac:dyDescent="0.2">
      <c r="A295" s="512"/>
      <c r="B295" s="516" t="s">
        <v>826</v>
      </c>
      <c r="C295" s="575">
        <f t="shared" si="33"/>
        <v>0.29024212273019723</v>
      </c>
      <c r="D295" s="575">
        <f t="shared" si="33"/>
        <v>0.30597280050426234</v>
      </c>
      <c r="E295" s="576">
        <f t="shared" si="34"/>
        <v>1.5730677774065116E-2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827</v>
      </c>
      <c r="B297" s="501" t="s">
        <v>828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627</v>
      </c>
      <c r="C301" s="514">
        <f>+C48+C47+C50+C51+C52+C59+C58+C61+C62+C63</f>
        <v>270401522</v>
      </c>
      <c r="D301" s="514">
        <f>+D48+D47+D50+D51+D52+D59+D58+D61+D62+D63</f>
        <v>291302782</v>
      </c>
      <c r="E301" s="514">
        <f>D301-C301</f>
        <v>20901260</v>
      </c>
    </row>
    <row r="302" spans="1:5" ht="25.5" x14ac:dyDescent="0.2">
      <c r="A302" s="512">
        <v>2</v>
      </c>
      <c r="B302" s="511" t="s">
        <v>830</v>
      </c>
      <c r="C302" s="546">
        <f>C265</f>
        <v>1104887</v>
      </c>
      <c r="D302" s="546">
        <f>D265</f>
        <v>0</v>
      </c>
      <c r="E302" s="514">
        <f>D302-C302</f>
        <v>-1104887</v>
      </c>
    </row>
    <row r="303" spans="1:5" x14ac:dyDescent="0.2">
      <c r="A303" s="512"/>
      <c r="B303" s="516" t="s">
        <v>831</v>
      </c>
      <c r="C303" s="517">
        <f>+C301+C302</f>
        <v>271506409</v>
      </c>
      <c r="D303" s="517">
        <f>+D301+D302</f>
        <v>291302782</v>
      </c>
      <c r="E303" s="517">
        <f>D303-C303</f>
        <v>19796373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832</v>
      </c>
      <c r="C305" s="513">
        <v>7579332</v>
      </c>
      <c r="D305" s="578">
        <v>5707366</v>
      </c>
      <c r="E305" s="579">
        <f>D305-C305</f>
        <v>-1871966</v>
      </c>
    </row>
    <row r="306" spans="1:5" x14ac:dyDescent="0.2">
      <c r="A306" s="512">
        <v>4</v>
      </c>
      <c r="B306" s="516" t="s">
        <v>833</v>
      </c>
      <c r="C306" s="580">
        <f>+C303+C305</f>
        <v>279085741</v>
      </c>
      <c r="D306" s="580">
        <f>+D303+D305</f>
        <v>297010148</v>
      </c>
      <c r="E306" s="580">
        <f>D306-C306</f>
        <v>17924407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834</v>
      </c>
      <c r="C308" s="513">
        <v>279085742</v>
      </c>
      <c r="D308" s="513">
        <v>297010149</v>
      </c>
      <c r="E308" s="514">
        <f>D308-C308</f>
        <v>17924407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835</v>
      </c>
      <c r="C310" s="581">
        <f>C306-C308</f>
        <v>-1</v>
      </c>
      <c r="D310" s="582">
        <f>D306-D308</f>
        <v>-1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837</v>
      </c>
      <c r="C314" s="514">
        <f>+C14+C15+C16+C19+C25+C26+C27+C30</f>
        <v>900732964</v>
      </c>
      <c r="D314" s="514">
        <f>+D14+D15+D16+D19+D25+D26+D27+D30</f>
        <v>944999461</v>
      </c>
      <c r="E314" s="514">
        <f>D314-C314</f>
        <v>44266497</v>
      </c>
    </row>
    <row r="315" spans="1:5" x14ac:dyDescent="0.2">
      <c r="A315" s="512">
        <v>2</v>
      </c>
      <c r="B315" s="583" t="s">
        <v>838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839</v>
      </c>
      <c r="C316" s="581">
        <f>C314+C315</f>
        <v>900732964</v>
      </c>
      <c r="D316" s="581">
        <f>D314+D315</f>
        <v>944999461</v>
      </c>
      <c r="E316" s="517">
        <f>D316-C316</f>
        <v>44266497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840</v>
      </c>
      <c r="C318" s="513">
        <v>900732965</v>
      </c>
      <c r="D318" s="513">
        <v>944999461</v>
      </c>
      <c r="E318" s="514">
        <f>D318-C318</f>
        <v>44266496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835</v>
      </c>
      <c r="C320" s="581">
        <f>C316-C318</f>
        <v>-1</v>
      </c>
      <c r="D320" s="581">
        <f>D316-D318</f>
        <v>0</v>
      </c>
      <c r="E320" s="517">
        <f>D320-C320</f>
        <v>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841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842</v>
      </c>
      <c r="C324" s="513">
        <f>+C193+C194</f>
        <v>30542444</v>
      </c>
      <c r="D324" s="513">
        <f>+D193+D194</f>
        <v>28645081</v>
      </c>
      <c r="E324" s="514">
        <f>D324-C324</f>
        <v>-1897363</v>
      </c>
    </row>
    <row r="325" spans="1:5" x14ac:dyDescent="0.2">
      <c r="A325" s="512">
        <v>2</v>
      </c>
      <c r="B325" s="511" t="s">
        <v>843</v>
      </c>
      <c r="C325" s="513">
        <v>2949701</v>
      </c>
      <c r="D325" s="513">
        <v>2922340</v>
      </c>
      <c r="E325" s="514">
        <f>D325-C325</f>
        <v>-27361</v>
      </c>
    </row>
    <row r="326" spans="1:5" x14ac:dyDescent="0.2">
      <c r="A326" s="512"/>
      <c r="B326" s="516" t="s">
        <v>844</v>
      </c>
      <c r="C326" s="581">
        <f>C324+C325</f>
        <v>33492145</v>
      </c>
      <c r="D326" s="581">
        <f>D324+D325</f>
        <v>31567421</v>
      </c>
      <c r="E326" s="517">
        <f>D326-C326</f>
        <v>-1924724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845</v>
      </c>
      <c r="C328" s="513">
        <v>33492146</v>
      </c>
      <c r="D328" s="513">
        <v>31567421</v>
      </c>
      <c r="E328" s="514">
        <f>D328-C328</f>
        <v>-1924725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846</v>
      </c>
      <c r="C330" s="581">
        <f>C326-C328</f>
        <v>-1</v>
      </c>
      <c r="D330" s="581">
        <f>D326-D328</f>
        <v>0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FILING&amp;RGREENWICH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847</v>
      </c>
      <c r="B5" s="696"/>
      <c r="C5" s="697"/>
      <c r="D5" s="585"/>
    </row>
    <row r="6" spans="1:58" s="338" customFormat="1" ht="15.75" customHeight="1" x14ac:dyDescent="0.25">
      <c r="A6" s="695" t="s">
        <v>848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629</v>
      </c>
      <c r="C14" s="513">
        <v>180120722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608</v>
      </c>
      <c r="C15" s="515">
        <v>220470561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754</v>
      </c>
      <c r="C16" s="515">
        <v>22884854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11488001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721</v>
      </c>
      <c r="C18" s="515">
        <v>11396853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74098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736</v>
      </c>
      <c r="C20" s="515">
        <v>7142474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755</v>
      </c>
      <c r="C21" s="517">
        <f>SUM(C15+C16+C19)</f>
        <v>243429513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695</v>
      </c>
      <c r="C22" s="517">
        <f>SUM(C14+C21)</f>
        <v>423550235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629</v>
      </c>
      <c r="C25" s="513">
        <v>348211695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608</v>
      </c>
      <c r="C26" s="515">
        <v>144536486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754</v>
      </c>
      <c r="C27" s="515">
        <v>28337289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19830885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721</v>
      </c>
      <c r="C29" s="515">
        <v>8506404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363756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736</v>
      </c>
      <c r="C31" s="518">
        <v>26201618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757</v>
      </c>
      <c r="C32" s="517">
        <f>SUM(C26+C27+C30)</f>
        <v>173237531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701</v>
      </c>
      <c r="C33" s="517">
        <f>SUM(C25+C32)</f>
        <v>521449226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851</v>
      </c>
      <c r="C36" s="514">
        <f>SUM(C14+C25)</f>
        <v>528332417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852</v>
      </c>
      <c r="C37" s="518">
        <f>SUM(C21+C32)</f>
        <v>416667044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626</v>
      </c>
      <c r="C38" s="517">
        <f>SUM(+C36+C37)</f>
        <v>944999461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629</v>
      </c>
      <c r="C41" s="513">
        <v>74166562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608</v>
      </c>
      <c r="C42" s="515">
        <v>52061988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754</v>
      </c>
      <c r="C43" s="515">
        <v>5504871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3265205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721</v>
      </c>
      <c r="C45" s="515">
        <v>2239666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20081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736</v>
      </c>
      <c r="C47" s="515">
        <v>1006552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767</v>
      </c>
      <c r="C48" s="517">
        <f>SUM(C42+C43+C46)</f>
        <v>57586940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696</v>
      </c>
      <c r="C49" s="517">
        <f>SUM(C41+C48)</f>
        <v>131753502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629</v>
      </c>
      <c r="C52" s="513">
        <v>129105273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608</v>
      </c>
      <c r="C53" s="515">
        <v>26007621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754</v>
      </c>
      <c r="C54" s="515">
        <v>4308693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3628929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721</v>
      </c>
      <c r="C56" s="515">
        <v>679764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127693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736</v>
      </c>
      <c r="C58" s="515">
        <v>3692459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769</v>
      </c>
      <c r="C59" s="517">
        <f>SUM(C53+C54+C57)</f>
        <v>30444007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702</v>
      </c>
      <c r="C60" s="517">
        <f>SUM(C52+C59)</f>
        <v>159549280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853</v>
      </c>
      <c r="C63" s="514">
        <f>SUM(C41+C52)</f>
        <v>203271835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854</v>
      </c>
      <c r="C64" s="518">
        <f>SUM(C48+C59)</f>
        <v>88030947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627</v>
      </c>
      <c r="C65" s="517">
        <f>SUM(+C63+C64)</f>
        <v>291302782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629</v>
      </c>
      <c r="C70" s="530">
        <v>7441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608</v>
      </c>
      <c r="C71" s="530">
        <v>5255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754</v>
      </c>
      <c r="C72" s="530">
        <v>779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445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721</v>
      </c>
      <c r="C74" s="530">
        <v>334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736</v>
      </c>
      <c r="C76" s="545">
        <v>290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784</v>
      </c>
      <c r="C77" s="532">
        <f>SUM(C71+C72+C75)</f>
        <v>6038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698</v>
      </c>
      <c r="C78" s="596">
        <f>SUM(C70+C77)</f>
        <v>13479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629</v>
      </c>
      <c r="C81" s="541">
        <v>0.94159999999999999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608</v>
      </c>
      <c r="C82" s="541">
        <v>1.4139999999999999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754</v>
      </c>
      <c r="C83" s="541">
        <f>((C73*C84)+(C74*C85))/(C73+C74)</f>
        <v>0.97698446726572519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0.97989999999999999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721</v>
      </c>
      <c r="C85" s="541">
        <v>0.97309999999999997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0.58199999999999996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736</v>
      </c>
      <c r="C87" s="541">
        <v>0.99399999999999999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790</v>
      </c>
      <c r="C88" s="543">
        <f>((C71*C82)+(C73*C84)+(C74*C85)+(C75*C86))/(C71+C73+C74+C75)</f>
        <v>1.3570667273931765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699</v>
      </c>
      <c r="C89" s="543">
        <f>((C70*C81)+(C71*C82)+(C73*C84)+(C74*C85)+(C75*C86))/(C70+C71+C73+C74+C75)</f>
        <v>1.1277108465019658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791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792</v>
      </c>
      <c r="C92" s="513">
        <v>474455885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793</v>
      </c>
      <c r="C93" s="546">
        <v>194693903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641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725</v>
      </c>
      <c r="C95" s="513">
        <f>+C92-C93</f>
        <v>279761982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643</v>
      </c>
      <c r="C96" s="597">
        <f>(+C92-C93)/C92</f>
        <v>0.58964803861585569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740</v>
      </c>
      <c r="C98" s="513">
        <v>20970294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726</v>
      </c>
      <c r="C99" s="513">
        <v>14396381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795</v>
      </c>
      <c r="C103" s="513">
        <v>19375204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796</v>
      </c>
      <c r="C104" s="513">
        <v>9269877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797</v>
      </c>
      <c r="C105" s="578">
        <f>+C103+C104</f>
        <v>28645081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798</v>
      </c>
      <c r="C107" s="513">
        <v>20447859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683</v>
      </c>
      <c r="C108" s="513">
        <v>305925000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627</v>
      </c>
      <c r="C114" s="514">
        <f>+C65</f>
        <v>291302782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831</v>
      </c>
      <c r="C116" s="517">
        <f>+C114+C115</f>
        <v>291302782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832</v>
      </c>
      <c r="C118" s="578">
        <v>5707366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833</v>
      </c>
      <c r="C119" s="580">
        <f>+C116+C118</f>
        <v>297010148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834</v>
      </c>
      <c r="C121" s="513">
        <v>297010149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835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837</v>
      </c>
      <c r="C127" s="514">
        <f>+C38</f>
        <v>944999461</v>
      </c>
      <c r="D127" s="588"/>
      <c r="AR127" s="507"/>
    </row>
    <row r="128" spans="1:58" s="506" customFormat="1" x14ac:dyDescent="0.2">
      <c r="A128" s="512">
        <v>2</v>
      </c>
      <c r="B128" s="583" t="s">
        <v>838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839</v>
      </c>
      <c r="C129" s="581">
        <f>C127+C128</f>
        <v>944999461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840</v>
      </c>
      <c r="C131" s="513">
        <v>944999461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841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842</v>
      </c>
      <c r="C137" s="513">
        <f>C105</f>
        <v>28645081</v>
      </c>
      <c r="D137" s="588"/>
      <c r="AR137" s="507"/>
    </row>
    <row r="138" spans="1:44" s="506" customFormat="1" x14ac:dyDescent="0.2">
      <c r="A138" s="512">
        <v>2</v>
      </c>
      <c r="B138" s="511" t="s">
        <v>858</v>
      </c>
      <c r="C138" s="513">
        <v>2922340</v>
      </c>
      <c r="D138" s="588"/>
      <c r="AR138" s="507"/>
    </row>
    <row r="139" spans="1:44" s="506" customFormat="1" x14ac:dyDescent="0.2">
      <c r="A139" s="512"/>
      <c r="B139" s="516" t="s">
        <v>844</v>
      </c>
      <c r="C139" s="581">
        <f>C137+C138</f>
        <v>31567421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859</v>
      </c>
      <c r="C141" s="513">
        <v>31567421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846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FILING&amp;RGREENWICH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603</v>
      </c>
      <c r="D8" s="35" t="s">
        <v>603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605</v>
      </c>
      <c r="D9" s="607" t="s">
        <v>606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861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862</v>
      </c>
      <c r="C12" s="49">
        <v>3520</v>
      </c>
      <c r="D12" s="49">
        <v>4101</v>
      </c>
      <c r="E12" s="49">
        <f>+D12-C12</f>
        <v>581</v>
      </c>
      <c r="F12" s="70">
        <f>IF(C12=0,0,+E12/C12)</f>
        <v>0.16505681818181819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863</v>
      </c>
      <c r="C13" s="49">
        <v>3454</v>
      </c>
      <c r="D13" s="49">
        <v>3978</v>
      </c>
      <c r="E13" s="49">
        <f>+D13-C13</f>
        <v>524</v>
      </c>
      <c r="F13" s="70">
        <f>IF(C13=0,0,+E13/C13)</f>
        <v>0.15170816444701796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864</v>
      </c>
      <c r="C15" s="51">
        <v>20038812</v>
      </c>
      <c r="D15" s="51">
        <v>19375204</v>
      </c>
      <c r="E15" s="51">
        <f>+D15-C15</f>
        <v>-663608</v>
      </c>
      <c r="F15" s="70">
        <f>IF(C15=0,0,+E15/C15)</f>
        <v>-3.3116134828751323E-2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865</v>
      </c>
      <c r="C16" s="27">
        <f>IF(C13=0,0,+C15/+C13)</f>
        <v>5801.6247828604519</v>
      </c>
      <c r="D16" s="27">
        <f>IF(D13=0,0,+D15/+D13)</f>
        <v>4870.5892408245345</v>
      </c>
      <c r="E16" s="27">
        <f>+D16-C16</f>
        <v>-931.03554203591739</v>
      </c>
      <c r="F16" s="28">
        <f>IF(C16=0,0,+E16/C16)</f>
        <v>-0.16047841369997676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866</v>
      </c>
      <c r="C18" s="210">
        <v>0.33168300000000001</v>
      </c>
      <c r="D18" s="210">
        <v>0.31130000000000002</v>
      </c>
      <c r="E18" s="210">
        <f>+D18-C18</f>
        <v>-2.0382999999999984E-2</v>
      </c>
      <c r="F18" s="70">
        <f>IF(C18=0,0,+E18/C18)</f>
        <v>-6.1453255065830881E-2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867</v>
      </c>
      <c r="C19" s="27">
        <f>+C15*C18</f>
        <v>6646533.2805960001</v>
      </c>
      <c r="D19" s="27">
        <f>+D15*D18</f>
        <v>6031501.0052000005</v>
      </c>
      <c r="E19" s="27">
        <f>+D19-C19</f>
        <v>-615032.27539599966</v>
      </c>
      <c r="F19" s="28">
        <f>IF(C19=0,0,+E19/C19)</f>
        <v>-9.2534295614156492E-2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868</v>
      </c>
      <c r="C20" s="27">
        <f>IF(C13=0,0,+C19/C13)</f>
        <v>1924.3003128535033</v>
      </c>
      <c r="D20" s="27">
        <f>IF(D13=0,0,+D19/D13)</f>
        <v>1516.2144306686778</v>
      </c>
      <c r="E20" s="27">
        <f>+D20-C20</f>
        <v>-408.08588218482555</v>
      </c>
      <c r="F20" s="28">
        <f>IF(C20=0,0,+E20/C20)</f>
        <v>-0.21206974787614299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869</v>
      </c>
      <c r="C22" s="51">
        <v>4809315</v>
      </c>
      <c r="D22" s="51">
        <v>3875040</v>
      </c>
      <c r="E22" s="51">
        <f>+D22-C22</f>
        <v>-934275</v>
      </c>
      <c r="F22" s="70">
        <f>IF(C22=0,0,+E22/C22)</f>
        <v>-0.19426363213888048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870</v>
      </c>
      <c r="C23" s="49">
        <v>13025228</v>
      </c>
      <c r="D23" s="49">
        <v>6975073</v>
      </c>
      <c r="E23" s="49">
        <f>+D23-C23</f>
        <v>-6050155</v>
      </c>
      <c r="F23" s="70">
        <f>IF(C23=0,0,+E23/C23)</f>
        <v>-0.46449513206217963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871</v>
      </c>
      <c r="C24" s="49">
        <v>2204269</v>
      </c>
      <c r="D24" s="49">
        <v>8525091</v>
      </c>
      <c r="E24" s="49">
        <f>+D24-C24</f>
        <v>6320822</v>
      </c>
      <c r="F24" s="70">
        <f>IF(C24=0,0,+E24/C24)</f>
        <v>2.8675365846908885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864</v>
      </c>
      <c r="C25" s="27">
        <f>+C22+C23+C24</f>
        <v>20038812</v>
      </c>
      <c r="D25" s="27">
        <f>+D22+D23+D24</f>
        <v>19375204</v>
      </c>
      <c r="E25" s="27">
        <f>+E22+E23+E24</f>
        <v>-663608</v>
      </c>
      <c r="F25" s="28">
        <f>IF(C25=0,0,+E25/C25)</f>
        <v>-3.3116134828751323E-2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872</v>
      </c>
      <c r="C27" s="49">
        <v>1788</v>
      </c>
      <c r="D27" s="49">
        <v>2049</v>
      </c>
      <c r="E27" s="49">
        <f>+D27-C27</f>
        <v>261</v>
      </c>
      <c r="F27" s="70">
        <f>IF(C27=0,0,+E27/C27)</f>
        <v>0.14597315436241612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873</v>
      </c>
      <c r="C28" s="49">
        <v>564</v>
      </c>
      <c r="D28" s="49">
        <v>618</v>
      </c>
      <c r="E28" s="49">
        <f>+D28-C28</f>
        <v>54</v>
      </c>
      <c r="F28" s="70">
        <f>IF(C28=0,0,+E28/C28)</f>
        <v>9.5744680851063829E-2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874</v>
      </c>
      <c r="C29" s="49">
        <v>1789</v>
      </c>
      <c r="D29" s="49">
        <v>5466</v>
      </c>
      <c r="E29" s="49">
        <f>+D29-C29</f>
        <v>3677</v>
      </c>
      <c r="F29" s="70">
        <f>IF(C29=0,0,+E29/C29)</f>
        <v>2.0553381777529345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875</v>
      </c>
      <c r="C30" s="49">
        <v>13405</v>
      </c>
      <c r="D30" s="49">
        <v>15183</v>
      </c>
      <c r="E30" s="49">
        <f>+D30-C30</f>
        <v>1778</v>
      </c>
      <c r="F30" s="70">
        <f>IF(C30=0,0,+E30/C30)</f>
        <v>0.13263707571801567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877</v>
      </c>
      <c r="C33" s="51">
        <v>9138160</v>
      </c>
      <c r="D33" s="51">
        <v>8405178</v>
      </c>
      <c r="E33" s="51">
        <f>+D33-C33</f>
        <v>-732982</v>
      </c>
      <c r="F33" s="70">
        <f>IF(C33=0,0,+E33/C33)</f>
        <v>-8.0211114710182357E-2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878</v>
      </c>
      <c r="C34" s="49">
        <v>504174</v>
      </c>
      <c r="D34" s="49">
        <v>302645</v>
      </c>
      <c r="E34" s="49">
        <f>+D34-C34</f>
        <v>-201529</v>
      </c>
      <c r="F34" s="70">
        <f>IF(C34=0,0,+E34/C34)</f>
        <v>-0.39972112802326182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879</v>
      </c>
      <c r="C35" s="49">
        <v>861298</v>
      </c>
      <c r="D35" s="49">
        <v>562054</v>
      </c>
      <c r="E35" s="49">
        <f>+D35-C35</f>
        <v>-299244</v>
      </c>
      <c r="F35" s="70">
        <f>IF(C35=0,0,+E35/C35)</f>
        <v>-0.34743375695752227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880</v>
      </c>
      <c r="C36" s="27">
        <f>+C33+C34+C35</f>
        <v>10503632</v>
      </c>
      <c r="D36" s="27">
        <f>+D33+D34+D35</f>
        <v>9269877</v>
      </c>
      <c r="E36" s="27">
        <f>+E33+E34+E35</f>
        <v>-1233755</v>
      </c>
      <c r="F36" s="28">
        <f>IF(C36=0,0,+E36/C36)</f>
        <v>-0.11745984627031869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881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882</v>
      </c>
      <c r="C39" s="51">
        <f>+C25</f>
        <v>20038812</v>
      </c>
      <c r="D39" s="51">
        <f>+D25</f>
        <v>19375204</v>
      </c>
      <c r="E39" s="51">
        <f>+D39-C39</f>
        <v>-663608</v>
      </c>
      <c r="F39" s="70">
        <f>IF(C39=0,0,+E39/C39)</f>
        <v>-3.3116134828751323E-2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883</v>
      </c>
      <c r="C40" s="49">
        <f>+C36</f>
        <v>10503632</v>
      </c>
      <c r="D40" s="49">
        <f>+D36</f>
        <v>9269877</v>
      </c>
      <c r="E40" s="49">
        <f>+D40-C40</f>
        <v>-1233755</v>
      </c>
      <c r="F40" s="70">
        <f>IF(C40=0,0,+E40/C40)</f>
        <v>-0.11745984627031869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884</v>
      </c>
      <c r="C41" s="27">
        <f>+C39+C40</f>
        <v>30542444</v>
      </c>
      <c r="D41" s="27">
        <f>+D39+D40</f>
        <v>28645081</v>
      </c>
      <c r="E41" s="27">
        <f>+E39+E40</f>
        <v>-1897363</v>
      </c>
      <c r="F41" s="28">
        <f>IF(C41=0,0,+E41/C41)</f>
        <v>-6.2122173327059223E-2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885</v>
      </c>
      <c r="C43" s="51">
        <f t="shared" ref="C43:D45" si="0">+C22+C33</f>
        <v>13947475</v>
      </c>
      <c r="D43" s="51">
        <f t="shared" si="0"/>
        <v>12280218</v>
      </c>
      <c r="E43" s="51">
        <f>+D43-C43</f>
        <v>-1667257</v>
      </c>
      <c r="F43" s="70">
        <f>IF(C43=0,0,+E43/C43)</f>
        <v>-0.11953826767927528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886</v>
      </c>
      <c r="C44" s="49">
        <f t="shared" si="0"/>
        <v>13529402</v>
      </c>
      <c r="D44" s="49">
        <f t="shared" si="0"/>
        <v>7277718</v>
      </c>
      <c r="E44" s="49">
        <f>+D44-C44</f>
        <v>-6251684</v>
      </c>
      <c r="F44" s="70">
        <f>IF(C44=0,0,+E44/C44)</f>
        <v>-0.46208132480652137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887</v>
      </c>
      <c r="C45" s="49">
        <f t="shared" si="0"/>
        <v>3065567</v>
      </c>
      <c r="D45" s="49">
        <f t="shared" si="0"/>
        <v>9087145</v>
      </c>
      <c r="E45" s="49">
        <f>+D45-C45</f>
        <v>6021578</v>
      </c>
      <c r="F45" s="70">
        <f>IF(C45=0,0,+E45/C45)</f>
        <v>1.9642624023549313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884</v>
      </c>
      <c r="C46" s="27">
        <f>+C43+C44+C45</f>
        <v>30542444</v>
      </c>
      <c r="D46" s="27">
        <f>+D43+D44+D45</f>
        <v>28645081</v>
      </c>
      <c r="E46" s="27">
        <f>+E43+E44+E45</f>
        <v>-1897363</v>
      </c>
      <c r="F46" s="28">
        <f>IF(C46=0,0,+E46/C46)</f>
        <v>-6.2122173327059223E-2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FILING&amp;RGREENWICH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sqref="A1:E1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605</v>
      </c>
      <c r="D9" s="35" t="s">
        <v>606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891</v>
      </c>
      <c r="D10" s="35" t="s">
        <v>891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892</v>
      </c>
      <c r="D11" s="605" t="s">
        <v>892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464749003</v>
      </c>
      <c r="D15" s="51">
        <v>474455885</v>
      </c>
      <c r="E15" s="51">
        <f>+D15-C15</f>
        <v>9706882</v>
      </c>
      <c r="F15" s="70">
        <f>+E15/C15</f>
        <v>2.0886289023410772E-2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894</v>
      </c>
      <c r="C17" s="51">
        <v>283829458</v>
      </c>
      <c r="D17" s="51">
        <v>279761982</v>
      </c>
      <c r="E17" s="51">
        <f>+D17-C17</f>
        <v>-4067476</v>
      </c>
      <c r="F17" s="70">
        <f>+E17/C17</f>
        <v>-1.4330704179409031E-2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895</v>
      </c>
      <c r="C19" s="27">
        <f>+C15-C17</f>
        <v>180919545</v>
      </c>
      <c r="D19" s="27">
        <f>+D15-D17</f>
        <v>194693903</v>
      </c>
      <c r="E19" s="27">
        <f>+D19-C19</f>
        <v>13774358</v>
      </c>
      <c r="F19" s="28">
        <f>+E19/C19</f>
        <v>7.6135267751198471E-2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896</v>
      </c>
      <c r="C21" s="628">
        <f>+C17/C15</f>
        <v>0.61071558232046386</v>
      </c>
      <c r="D21" s="628">
        <f>+D17/D15</f>
        <v>0.58964803861585569</v>
      </c>
      <c r="E21" s="628">
        <f>+D21-C21</f>
        <v>-2.1067543704608171E-2</v>
      </c>
      <c r="F21" s="28">
        <f>+E21/C21</f>
        <v>-3.4496489551748971E-2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897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FILING&amp;R&amp;12GREENWICH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899</v>
      </c>
      <c r="B6" s="632" t="s">
        <v>900</v>
      </c>
      <c r="C6" s="632" t="s">
        <v>901</v>
      </c>
      <c r="D6" s="632" t="s">
        <v>902</v>
      </c>
      <c r="E6" s="632" t="s">
        <v>903</v>
      </c>
    </row>
    <row r="7" spans="1:6" ht="37.5" customHeight="1" x14ac:dyDescent="0.25">
      <c r="A7" s="633" t="s">
        <v>8</v>
      </c>
      <c r="B7" s="634" t="s">
        <v>904</v>
      </c>
      <c r="C7" s="631" t="s">
        <v>905</v>
      </c>
      <c r="D7" s="631" t="s">
        <v>906</v>
      </c>
      <c r="E7" s="631" t="s">
        <v>907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909</v>
      </c>
      <c r="C10" s="641">
        <v>362534490</v>
      </c>
      <c r="D10" s="641">
        <v>408731408</v>
      </c>
      <c r="E10" s="641">
        <v>423550235</v>
      </c>
    </row>
    <row r="11" spans="1:6" ht="26.1" customHeight="1" x14ac:dyDescent="0.25">
      <c r="A11" s="639">
        <v>2</v>
      </c>
      <c r="B11" s="640" t="s">
        <v>910</v>
      </c>
      <c r="C11" s="641">
        <v>467346952</v>
      </c>
      <c r="D11" s="641">
        <v>492001556</v>
      </c>
      <c r="E11" s="641">
        <v>521449226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829881442</v>
      </c>
      <c r="D12" s="641">
        <f>+D11+D10</f>
        <v>900732964</v>
      </c>
      <c r="E12" s="641">
        <f>+E11+E10</f>
        <v>944999461</v>
      </c>
    </row>
    <row r="13" spans="1:6" ht="26.1" customHeight="1" x14ac:dyDescent="0.25">
      <c r="A13" s="639">
        <v>4</v>
      </c>
      <c r="B13" s="640" t="s">
        <v>484</v>
      </c>
      <c r="C13" s="641">
        <v>269158231</v>
      </c>
      <c r="D13" s="641">
        <v>279086000</v>
      </c>
      <c r="E13" s="641">
        <v>297010000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911</v>
      </c>
      <c r="C16" s="641">
        <v>283532000</v>
      </c>
      <c r="D16" s="641">
        <v>287530757</v>
      </c>
      <c r="E16" s="641">
        <v>305925000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50149</v>
      </c>
      <c r="D19" s="644">
        <v>53059</v>
      </c>
      <c r="E19" s="644">
        <v>52638</v>
      </c>
    </row>
    <row r="20" spans="1:5" ht="26.1" customHeight="1" x14ac:dyDescent="0.25">
      <c r="A20" s="639">
        <v>2</v>
      </c>
      <c r="B20" s="640" t="s">
        <v>373</v>
      </c>
      <c r="C20" s="645">
        <v>12931</v>
      </c>
      <c r="D20" s="645">
        <v>13627</v>
      </c>
      <c r="E20" s="645">
        <v>13479</v>
      </c>
    </row>
    <row r="21" spans="1:5" ht="26.1" customHeight="1" x14ac:dyDescent="0.25">
      <c r="A21" s="639">
        <v>3</v>
      </c>
      <c r="B21" s="640" t="s">
        <v>913</v>
      </c>
      <c r="C21" s="646">
        <f>IF(C20=0,0,+C19/C20)</f>
        <v>3.8781996751991339</v>
      </c>
      <c r="D21" s="646">
        <f>IF(D20=0,0,+D19/D20)</f>
        <v>3.8936669846628016</v>
      </c>
      <c r="E21" s="646">
        <f>IF(E20=0,0,+E19/E20)</f>
        <v>3.905185844647229</v>
      </c>
    </row>
    <row r="22" spans="1:5" ht="26.1" customHeight="1" x14ac:dyDescent="0.25">
      <c r="A22" s="639">
        <v>4</v>
      </c>
      <c r="B22" s="640" t="s">
        <v>914</v>
      </c>
      <c r="C22" s="645">
        <f>IF(C10=0,0,C19*(C12/C10))</f>
        <v>114796.59338028225</v>
      </c>
      <c r="D22" s="645">
        <f>IF(D10=0,0,D19*(D12/D10))</f>
        <v>116927.61897288793</v>
      </c>
      <c r="E22" s="645">
        <f>IF(E10=0,0,E19*(E12/E10))</f>
        <v>117442.69632648888</v>
      </c>
    </row>
    <row r="23" spans="1:5" ht="26.1" customHeight="1" x14ac:dyDescent="0.25">
      <c r="A23" s="639">
        <v>0</v>
      </c>
      <c r="B23" s="640" t="s">
        <v>915</v>
      </c>
      <c r="C23" s="645">
        <f>IF(C10=0,0,C20*(C12/C10))</f>
        <v>29600.4855331199</v>
      </c>
      <c r="D23" s="645">
        <f>IF(D10=0,0,D20*(D12/D10))</f>
        <v>30030.205313774171</v>
      </c>
      <c r="E23" s="645">
        <f>IF(E10=0,0,E20*(E12/E10))</f>
        <v>30073.52300210387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1.0744528033408089</v>
      </c>
      <c r="D26" s="647">
        <v>1.0867731122037132</v>
      </c>
      <c r="E26" s="647">
        <v>1.1277108465019658</v>
      </c>
    </row>
    <row r="27" spans="1:5" ht="26.1" customHeight="1" x14ac:dyDescent="0.25">
      <c r="A27" s="639">
        <v>2</v>
      </c>
      <c r="B27" s="640" t="s">
        <v>917</v>
      </c>
      <c r="C27" s="645">
        <f>C19*C26</f>
        <v>53882.73363473823</v>
      </c>
      <c r="D27" s="645">
        <f>D19*D26</f>
        <v>57663.094560416816</v>
      </c>
      <c r="E27" s="645">
        <f>E19*E26</f>
        <v>59360.443538170475</v>
      </c>
    </row>
    <row r="28" spans="1:5" ht="26.1" customHeight="1" x14ac:dyDescent="0.25">
      <c r="A28" s="639">
        <v>3</v>
      </c>
      <c r="B28" s="640" t="s">
        <v>918</v>
      </c>
      <c r="C28" s="645">
        <f>C20*C26</f>
        <v>13893.7492</v>
      </c>
      <c r="D28" s="645">
        <f>D20*D26</f>
        <v>14809.457199999999</v>
      </c>
      <c r="E28" s="645">
        <f>E20*E26</f>
        <v>15200.414499999997</v>
      </c>
    </row>
    <row r="29" spans="1:5" ht="26.1" customHeight="1" x14ac:dyDescent="0.25">
      <c r="A29" s="639">
        <v>4</v>
      </c>
      <c r="B29" s="640" t="s">
        <v>919</v>
      </c>
      <c r="C29" s="645">
        <f>C22*C26</f>
        <v>123343.52157141922</v>
      </c>
      <c r="D29" s="645">
        <f>D22*D26</f>
        <v>127073.79237373536</v>
      </c>
      <c r="E29" s="645">
        <f>E22*E26</f>
        <v>132441.40248981808</v>
      </c>
    </row>
    <row r="30" spans="1:5" ht="26.1" customHeight="1" x14ac:dyDescent="0.25">
      <c r="A30" s="639">
        <v>5</v>
      </c>
      <c r="B30" s="640" t="s">
        <v>920</v>
      </c>
      <c r="C30" s="645">
        <f>C23*C26</f>
        <v>31804.324661309736</v>
      </c>
      <c r="D30" s="645">
        <f>D23*D26</f>
        <v>32636.01968896684</v>
      </c>
      <c r="E30" s="645">
        <f>E23*E26</f>
        <v>33914.238081998898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921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922</v>
      </c>
      <c r="C33" s="641">
        <f>IF(C19=0,0,C12/C19)</f>
        <v>16548.314861712097</v>
      </c>
      <c r="D33" s="641">
        <f>IF(D19=0,0,D12/D19)</f>
        <v>16976.063702670614</v>
      </c>
      <c r="E33" s="641">
        <f>IF(E19=0,0,E12/E19)</f>
        <v>17952.799517458869</v>
      </c>
    </row>
    <row r="34" spans="1:5" ht="26.1" customHeight="1" x14ac:dyDescent="0.25">
      <c r="A34" s="639">
        <v>2</v>
      </c>
      <c r="B34" s="640" t="s">
        <v>923</v>
      </c>
      <c r="C34" s="641">
        <f>IF(C20=0,0,C12/C20)</f>
        <v>64177.669321784859</v>
      </c>
      <c r="D34" s="641">
        <f>IF(D20=0,0,D12/D20)</f>
        <v>66099.138768621124</v>
      </c>
      <c r="E34" s="641">
        <f>IF(E20=0,0,E12/E20)</f>
        <v>70109.018547369982</v>
      </c>
    </row>
    <row r="35" spans="1:5" ht="26.1" customHeight="1" x14ac:dyDescent="0.25">
      <c r="A35" s="639">
        <v>3</v>
      </c>
      <c r="B35" s="640" t="s">
        <v>924</v>
      </c>
      <c r="C35" s="641">
        <f>IF(C22=0,0,C12/C22)</f>
        <v>7229.1469421125039</v>
      </c>
      <c r="D35" s="641">
        <f>IF(D22=0,0,D12/D22)</f>
        <v>7703.3379445522914</v>
      </c>
      <c r="E35" s="641">
        <f>IF(E22=0,0,E12/E22)</f>
        <v>8046.4727953189713</v>
      </c>
    </row>
    <row r="36" spans="1:5" ht="26.1" customHeight="1" x14ac:dyDescent="0.25">
      <c r="A36" s="639">
        <v>4</v>
      </c>
      <c r="B36" s="640" t="s">
        <v>925</v>
      </c>
      <c r="C36" s="641">
        <f>IF(C23=0,0,C12/C23)</f>
        <v>28036.075322867524</v>
      </c>
      <c r="D36" s="641">
        <f>IF(D23=0,0,D12/D23)</f>
        <v>29994.232626403467</v>
      </c>
      <c r="E36" s="641">
        <f>IF(E23=0,0,E12/E23)</f>
        <v>31422.971659618666</v>
      </c>
    </row>
    <row r="37" spans="1:5" ht="26.1" customHeight="1" x14ac:dyDescent="0.25">
      <c r="A37" s="639">
        <v>5</v>
      </c>
      <c r="B37" s="640" t="s">
        <v>926</v>
      </c>
      <c r="C37" s="641">
        <f>IF(C29=0,0,C12/C29)</f>
        <v>6728.212648926813</v>
      </c>
      <c r="D37" s="641">
        <f>IF(D29=0,0,D12/D29)</f>
        <v>7088.266960278198</v>
      </c>
      <c r="E37" s="641">
        <f>IF(E29=0,0,E12/E29)</f>
        <v>7135.226924772639</v>
      </c>
    </row>
    <row r="38" spans="1:5" ht="26.1" customHeight="1" x14ac:dyDescent="0.25">
      <c r="A38" s="639">
        <v>6</v>
      </c>
      <c r="B38" s="640" t="s">
        <v>927</v>
      </c>
      <c r="C38" s="641">
        <f>IF(C30=0,0,C12/C30)</f>
        <v>26093.352109738669</v>
      </c>
      <c r="D38" s="641">
        <f>IF(D30=0,0,D12/D30)</f>
        <v>27599.351041711379</v>
      </c>
      <c r="E38" s="641">
        <f>IF(E30=0,0,E12/E30)</f>
        <v>27864.387184967887</v>
      </c>
    </row>
    <row r="39" spans="1:5" ht="26.1" customHeight="1" x14ac:dyDescent="0.25">
      <c r="A39" s="639">
        <v>7</v>
      </c>
      <c r="B39" s="640" t="s">
        <v>928</v>
      </c>
      <c r="C39" s="641">
        <f>IF(C22=0,0,C10/C22)</f>
        <v>3158.0596542533799</v>
      </c>
      <c r="D39" s="641">
        <f>IF(D22=0,0,D10/D22)</f>
        <v>3495.5933558757642</v>
      </c>
      <c r="E39" s="641">
        <f>IF(E22=0,0,E10/E22)</f>
        <v>3606.4416796301825</v>
      </c>
    </row>
    <row r="40" spans="1:5" ht="26.1" customHeight="1" x14ac:dyDescent="0.25">
      <c r="A40" s="639">
        <v>8</v>
      </c>
      <c r="B40" s="640" t="s">
        <v>929</v>
      </c>
      <c r="C40" s="641">
        <f>IF(C23=0,0,C10/C23)</f>
        <v>12247.585925384947</v>
      </c>
      <c r="D40" s="641">
        <f>IF(D23=0,0,D10/D23)</f>
        <v>13610.676441580112</v>
      </c>
      <c r="E40" s="641">
        <f>IF(E23=0,0,E10/E23)</f>
        <v>14083.824996837566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930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931</v>
      </c>
      <c r="C43" s="641">
        <f>IF(C19=0,0,C13/C19)</f>
        <v>5367.170452052882</v>
      </c>
      <c r="D43" s="641">
        <f>IF(D19=0,0,D13/D19)</f>
        <v>5259.9182042631792</v>
      </c>
      <c r="E43" s="641">
        <f>IF(E19=0,0,E13/E19)</f>
        <v>5642.5016148029945</v>
      </c>
    </row>
    <row r="44" spans="1:5" ht="26.1" customHeight="1" x14ac:dyDescent="0.25">
      <c r="A44" s="639">
        <v>2</v>
      </c>
      <c r="B44" s="640" t="s">
        <v>932</v>
      </c>
      <c r="C44" s="641">
        <f>IF(C20=0,0,C13/C20)</f>
        <v>20814.958703889875</v>
      </c>
      <c r="D44" s="641">
        <f>IF(D20=0,0,D13/D20)</f>
        <v>20480.369853966389</v>
      </c>
      <c r="E44" s="641">
        <f>IF(E20=0,0,E13/E20)</f>
        <v>22035.017434527785</v>
      </c>
    </row>
    <row r="45" spans="1:5" ht="26.1" customHeight="1" x14ac:dyDescent="0.25">
      <c r="A45" s="639">
        <v>3</v>
      </c>
      <c r="B45" s="640" t="s">
        <v>933</v>
      </c>
      <c r="C45" s="641">
        <f>IF(C22=0,0,C13/C22)</f>
        <v>2344.6534698845103</v>
      </c>
      <c r="D45" s="641">
        <f>IF(D22=0,0,D13/D22)</f>
        <v>2386.827017017355</v>
      </c>
      <c r="E45" s="641">
        <f>IF(E22=0,0,E13/E22)</f>
        <v>2528.9780402718002</v>
      </c>
    </row>
    <row r="46" spans="1:5" ht="26.1" customHeight="1" x14ac:dyDescent="0.25">
      <c r="A46" s="639">
        <v>4</v>
      </c>
      <c r="B46" s="640" t="s">
        <v>934</v>
      </c>
      <c r="C46" s="641">
        <f>IF(C23=0,0,C13/C23)</f>
        <v>9093.0343253606297</v>
      </c>
      <c r="D46" s="641">
        <f>IF(D23=0,0,D13/D23)</f>
        <v>9293.5095542616764</v>
      </c>
      <c r="E46" s="641">
        <f>IF(E23=0,0,E13/E23)</f>
        <v>9876.1292442931244</v>
      </c>
    </row>
    <row r="47" spans="1:5" ht="26.1" customHeight="1" x14ac:dyDescent="0.25">
      <c r="A47" s="639">
        <v>5</v>
      </c>
      <c r="B47" s="640" t="s">
        <v>935</v>
      </c>
      <c r="C47" s="641">
        <f>IF(C29=0,0,C13/C29)</f>
        <v>2182.1837707475388</v>
      </c>
      <c r="D47" s="641">
        <f>IF(D29=0,0,D13/D29)</f>
        <v>2196.2514440364162</v>
      </c>
      <c r="E47" s="641">
        <f>IF(E29=0,0,E13/E29)</f>
        <v>2242.5766747889411</v>
      </c>
    </row>
    <row r="48" spans="1:5" ht="26.1" customHeight="1" x14ac:dyDescent="0.25">
      <c r="A48" s="639">
        <v>6</v>
      </c>
      <c r="B48" s="640" t="s">
        <v>936</v>
      </c>
      <c r="C48" s="641">
        <f>IF(C30=0,0,C13/C30)</f>
        <v>8462.9443909379261</v>
      </c>
      <c r="D48" s="641">
        <f>IF(D30=0,0,D13/D30)</f>
        <v>8551.4717376625977</v>
      </c>
      <c r="E48" s="641">
        <f>IF(E30=0,0,E13/E30)</f>
        <v>8757.6786859218246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938</v>
      </c>
      <c r="C51" s="641">
        <f>IF(C19=0,0,C16/C19)</f>
        <v>5653.7917007318192</v>
      </c>
      <c r="D51" s="641">
        <f>IF(D19=0,0,D16/D19)</f>
        <v>5419.0760662658549</v>
      </c>
      <c r="E51" s="641">
        <f>IF(E19=0,0,E16/E19)</f>
        <v>5811.8659523538126</v>
      </c>
    </row>
    <row r="52" spans="1:6" ht="26.1" customHeight="1" x14ac:dyDescent="0.25">
      <c r="A52" s="639">
        <v>2</v>
      </c>
      <c r="B52" s="640" t="s">
        <v>939</v>
      </c>
      <c r="C52" s="641">
        <f>IF(C20=0,0,C16/C20)</f>
        <v>21926.533137421698</v>
      </c>
      <c r="D52" s="641">
        <f>IF(D20=0,0,D16/D20)</f>
        <v>21100.07756659573</v>
      </c>
      <c r="E52" s="641">
        <f>IF(E20=0,0,E16/E20)</f>
        <v>22696.416648119295</v>
      </c>
    </row>
    <row r="53" spans="1:6" ht="26.1" customHeight="1" x14ac:dyDescent="0.25">
      <c r="A53" s="639">
        <v>3</v>
      </c>
      <c r="B53" s="640" t="s">
        <v>940</v>
      </c>
      <c r="C53" s="641">
        <f>IF(C22=0,0,C16/C22)</f>
        <v>2469.8642324755619</v>
      </c>
      <c r="D53" s="641">
        <f>IF(D22=0,0,D16/D22)</f>
        <v>2459.0491068382221</v>
      </c>
      <c r="E53" s="641">
        <f>IF(E22=0,0,E16/E22)</f>
        <v>2604.8874009971064</v>
      </c>
    </row>
    <row r="54" spans="1:6" ht="26.1" customHeight="1" x14ac:dyDescent="0.25">
      <c r="A54" s="639">
        <v>4</v>
      </c>
      <c r="B54" s="640" t="s">
        <v>941</v>
      </c>
      <c r="C54" s="641">
        <f>IF(C23=0,0,C16/C23)</f>
        <v>9578.6266641726816</v>
      </c>
      <c r="D54" s="641">
        <f>IF(D23=0,0,D16/D23)</f>
        <v>9574.7183209605355</v>
      </c>
      <c r="E54" s="641">
        <f>IF(E23=0,0,E16/E23)</f>
        <v>10172.569405273809</v>
      </c>
    </row>
    <row r="55" spans="1:6" ht="26.1" customHeight="1" x14ac:dyDescent="0.25">
      <c r="A55" s="639">
        <v>5</v>
      </c>
      <c r="B55" s="640" t="s">
        <v>942</v>
      </c>
      <c r="C55" s="641">
        <f>IF(C29=0,0,C16/C29)</f>
        <v>2298.7182171203644</v>
      </c>
      <c r="D55" s="641">
        <f>IF(D29=0,0,D16/D29)</f>
        <v>2262.7069801643001</v>
      </c>
      <c r="E55" s="641">
        <f>IF(E29=0,0,E16/E29)</f>
        <v>2309.8894624248569</v>
      </c>
    </row>
    <row r="56" spans="1:6" ht="26.1" customHeight="1" x14ac:dyDescent="0.25">
      <c r="A56" s="639">
        <v>6</v>
      </c>
      <c r="B56" s="640" t="s">
        <v>943</v>
      </c>
      <c r="C56" s="641">
        <f>IF(C30=0,0,C16/C30)</f>
        <v>8914.8882430105295</v>
      </c>
      <c r="D56" s="641">
        <f>IF(D30=0,0,D16/D30)</f>
        <v>8810.2274646318056</v>
      </c>
      <c r="E56" s="641">
        <f>IF(E30=0,0,E16/E30)</f>
        <v>9020.547631361349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945</v>
      </c>
      <c r="C59" s="649">
        <v>34682247</v>
      </c>
      <c r="D59" s="649">
        <v>32654133</v>
      </c>
      <c r="E59" s="649">
        <v>31538096</v>
      </c>
    </row>
    <row r="60" spans="1:6" ht="26.1" customHeight="1" x14ac:dyDescent="0.25">
      <c r="A60" s="639">
        <v>2</v>
      </c>
      <c r="B60" s="640" t="s">
        <v>946</v>
      </c>
      <c r="C60" s="649">
        <v>9364207</v>
      </c>
      <c r="D60" s="649">
        <v>9208466</v>
      </c>
      <c r="E60" s="649">
        <v>8830667</v>
      </c>
    </row>
    <row r="61" spans="1:6" ht="26.1" customHeight="1" x14ac:dyDescent="0.25">
      <c r="A61" s="650">
        <v>3</v>
      </c>
      <c r="B61" s="651" t="s">
        <v>947</v>
      </c>
      <c r="C61" s="652">
        <f>C59+C60</f>
        <v>44046454</v>
      </c>
      <c r="D61" s="652">
        <f>D59+D60</f>
        <v>41862599</v>
      </c>
      <c r="E61" s="652">
        <f>E59+E60</f>
        <v>40368763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949</v>
      </c>
      <c r="C64" s="641">
        <v>16001525</v>
      </c>
      <c r="D64" s="641">
        <v>16407798</v>
      </c>
      <c r="E64" s="649">
        <v>17349745</v>
      </c>
      <c r="F64" s="653"/>
    </row>
    <row r="65" spans="1:6" ht="26.1" customHeight="1" x14ac:dyDescent="0.25">
      <c r="A65" s="639">
        <v>2</v>
      </c>
      <c r="B65" s="640" t="s">
        <v>950</v>
      </c>
      <c r="C65" s="649">
        <v>4320412</v>
      </c>
      <c r="D65" s="649">
        <v>4626999</v>
      </c>
      <c r="E65" s="649">
        <v>4857929</v>
      </c>
      <c r="F65" s="653"/>
    </row>
    <row r="66" spans="1:6" ht="26.1" customHeight="1" x14ac:dyDescent="0.25">
      <c r="A66" s="650">
        <v>3</v>
      </c>
      <c r="B66" s="651" t="s">
        <v>951</v>
      </c>
      <c r="C66" s="654">
        <f>C64+C65</f>
        <v>20321937</v>
      </c>
      <c r="D66" s="654">
        <f>D64+D65</f>
        <v>21034797</v>
      </c>
      <c r="E66" s="654">
        <f>E64+E65</f>
        <v>22207674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953</v>
      </c>
      <c r="C69" s="649">
        <v>71813474</v>
      </c>
      <c r="D69" s="649">
        <v>69278749</v>
      </c>
      <c r="E69" s="649">
        <v>77070980</v>
      </c>
    </row>
    <row r="70" spans="1:6" ht="26.1" customHeight="1" x14ac:dyDescent="0.25">
      <c r="A70" s="639">
        <v>2</v>
      </c>
      <c r="B70" s="640" t="s">
        <v>954</v>
      </c>
      <c r="C70" s="649">
        <v>20460705</v>
      </c>
      <c r="D70" s="649">
        <v>19548935</v>
      </c>
      <c r="E70" s="649">
        <v>24661908</v>
      </c>
    </row>
    <row r="71" spans="1:6" ht="26.1" customHeight="1" x14ac:dyDescent="0.25">
      <c r="A71" s="650">
        <v>3</v>
      </c>
      <c r="B71" s="651" t="s">
        <v>955</v>
      </c>
      <c r="C71" s="652">
        <f>C69+C70</f>
        <v>92274179</v>
      </c>
      <c r="D71" s="652">
        <f>D69+D70</f>
        <v>88827684</v>
      </c>
      <c r="E71" s="652">
        <f>E69+E70</f>
        <v>101732888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957</v>
      </c>
      <c r="C75" s="641">
        <f t="shared" ref="C75:E76" si="0">+C59+C64+C69</f>
        <v>122497246</v>
      </c>
      <c r="D75" s="641">
        <f t="shared" si="0"/>
        <v>118340680</v>
      </c>
      <c r="E75" s="641">
        <f t="shared" si="0"/>
        <v>125958821</v>
      </c>
    </row>
    <row r="76" spans="1:6" ht="26.1" customHeight="1" x14ac:dyDescent="0.25">
      <c r="A76" s="639">
        <v>2</v>
      </c>
      <c r="B76" s="640" t="s">
        <v>958</v>
      </c>
      <c r="C76" s="641">
        <f t="shared" si="0"/>
        <v>34145324</v>
      </c>
      <c r="D76" s="641">
        <f t="shared" si="0"/>
        <v>33384400</v>
      </c>
      <c r="E76" s="641">
        <f t="shared" si="0"/>
        <v>38350504</v>
      </c>
    </row>
    <row r="77" spans="1:6" ht="26.1" customHeight="1" x14ac:dyDescent="0.25">
      <c r="A77" s="650">
        <v>3</v>
      </c>
      <c r="B77" s="651" t="s">
        <v>956</v>
      </c>
      <c r="C77" s="654">
        <f>C75+C76</f>
        <v>156642570</v>
      </c>
      <c r="D77" s="654">
        <f>D75+D76</f>
        <v>151725080</v>
      </c>
      <c r="E77" s="654">
        <f>E75+E76</f>
        <v>164309325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338.2</v>
      </c>
      <c r="D80" s="646">
        <v>351.9</v>
      </c>
      <c r="E80" s="646">
        <v>361.7</v>
      </c>
    </row>
    <row r="81" spans="1:5" ht="26.1" customHeight="1" x14ac:dyDescent="0.25">
      <c r="A81" s="639">
        <v>2</v>
      </c>
      <c r="B81" s="640" t="s">
        <v>584</v>
      </c>
      <c r="C81" s="646">
        <v>60.1</v>
      </c>
      <c r="D81" s="646">
        <v>51.3</v>
      </c>
      <c r="E81" s="646">
        <v>61.7</v>
      </c>
    </row>
    <row r="82" spans="1:5" ht="26.1" customHeight="1" x14ac:dyDescent="0.25">
      <c r="A82" s="639">
        <v>3</v>
      </c>
      <c r="B82" s="640" t="s">
        <v>960</v>
      </c>
      <c r="C82" s="646">
        <v>1041.8</v>
      </c>
      <c r="D82" s="646">
        <v>1058.5</v>
      </c>
      <c r="E82" s="646">
        <v>1189.5999999999999</v>
      </c>
    </row>
    <row r="83" spans="1:5" ht="26.1" customHeight="1" x14ac:dyDescent="0.25">
      <c r="A83" s="650">
        <v>4</v>
      </c>
      <c r="B83" s="651" t="s">
        <v>959</v>
      </c>
      <c r="C83" s="656">
        <f>C80+C81+C82</f>
        <v>1440.1</v>
      </c>
      <c r="D83" s="656">
        <f>D80+D81+D82</f>
        <v>1461.7</v>
      </c>
      <c r="E83" s="656">
        <f>E80+E81+E82</f>
        <v>1613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961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962</v>
      </c>
      <c r="C86" s="649">
        <f>IF(C80=0,0,C59/C80)</f>
        <v>102549.5180366647</v>
      </c>
      <c r="D86" s="649">
        <f>IF(D80=0,0,D59/D80)</f>
        <v>92793.785166240414</v>
      </c>
      <c r="E86" s="649">
        <f>IF(E80=0,0,E59/E80)</f>
        <v>87194.072435720213</v>
      </c>
    </row>
    <row r="87" spans="1:5" ht="26.1" customHeight="1" x14ac:dyDescent="0.25">
      <c r="A87" s="639">
        <v>2</v>
      </c>
      <c r="B87" s="640" t="s">
        <v>963</v>
      </c>
      <c r="C87" s="649">
        <f>IF(C80=0,0,C60/C80)</f>
        <v>27688.370786516854</v>
      </c>
      <c r="D87" s="649">
        <f>IF(D80=0,0,D60/D80)</f>
        <v>26167.848820687697</v>
      </c>
      <c r="E87" s="649">
        <f>IF(E80=0,0,E60/E80)</f>
        <v>24414.340613768316</v>
      </c>
    </row>
    <row r="88" spans="1:5" ht="26.1" customHeight="1" x14ac:dyDescent="0.25">
      <c r="A88" s="650">
        <v>3</v>
      </c>
      <c r="B88" s="651" t="s">
        <v>964</v>
      </c>
      <c r="C88" s="652">
        <f>+C86+C87</f>
        <v>130237.88882318155</v>
      </c>
      <c r="D88" s="652">
        <f>+D86+D87</f>
        <v>118961.63398692811</v>
      </c>
      <c r="E88" s="652">
        <f>+E86+E87</f>
        <v>111608.41304948853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965</v>
      </c>
    </row>
    <row r="91" spans="1:5" ht="26.1" customHeight="1" x14ac:dyDescent="0.25">
      <c r="A91" s="639">
        <v>1</v>
      </c>
      <c r="B91" s="640" t="s">
        <v>966</v>
      </c>
      <c r="C91" s="641">
        <f>IF(C81=0,0,C64/C81)</f>
        <v>266248.33610648918</v>
      </c>
      <c r="D91" s="641">
        <f>IF(D81=0,0,D64/D81)</f>
        <v>319840.11695906433</v>
      </c>
      <c r="E91" s="641">
        <f>IF(E81=0,0,E64/E81)</f>
        <v>281195.21880064829</v>
      </c>
    </row>
    <row r="92" spans="1:5" ht="26.1" customHeight="1" x14ac:dyDescent="0.25">
      <c r="A92" s="639">
        <v>2</v>
      </c>
      <c r="B92" s="640" t="s">
        <v>967</v>
      </c>
      <c r="C92" s="641">
        <f>IF(C81=0,0,C65/C81)</f>
        <v>71887.05490848585</v>
      </c>
      <c r="D92" s="641">
        <f>IF(D81=0,0,D65/D81)</f>
        <v>90194.912280701756</v>
      </c>
      <c r="E92" s="641">
        <f>IF(E81=0,0,E65/E81)</f>
        <v>78734.667747163694</v>
      </c>
    </row>
    <row r="93" spans="1:5" ht="26.1" customHeight="1" x14ac:dyDescent="0.25">
      <c r="A93" s="650">
        <v>3</v>
      </c>
      <c r="B93" s="651" t="s">
        <v>968</v>
      </c>
      <c r="C93" s="654">
        <f>+C91+C92</f>
        <v>338135.39101497503</v>
      </c>
      <c r="D93" s="654">
        <f>+D91+D92</f>
        <v>410035.02923976607</v>
      </c>
      <c r="E93" s="654">
        <f>+E91+E92</f>
        <v>359929.88654781197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969</v>
      </c>
      <c r="B95" s="642" t="s">
        <v>970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971</v>
      </c>
      <c r="C96" s="649">
        <f>IF(C82=0,0,C69/C82)</f>
        <v>68932.111729698605</v>
      </c>
      <c r="D96" s="649">
        <f>IF(D82=0,0,D69/D82)</f>
        <v>65449.928200283422</v>
      </c>
      <c r="E96" s="649">
        <f>IF(E82=0,0,E69/E82)</f>
        <v>64787.306657700072</v>
      </c>
    </row>
    <row r="97" spans="1:5" ht="26.1" customHeight="1" x14ac:dyDescent="0.25">
      <c r="A97" s="639">
        <v>2</v>
      </c>
      <c r="B97" s="640" t="s">
        <v>972</v>
      </c>
      <c r="C97" s="649">
        <f>IF(C82=0,0,C70/C82)</f>
        <v>19639.762910347476</v>
      </c>
      <c r="D97" s="649">
        <f>IF(D82=0,0,D70/D82)</f>
        <v>18468.526216343882</v>
      </c>
      <c r="E97" s="649">
        <f>IF(E82=0,0,E70/E82)</f>
        <v>20731.260928043041</v>
      </c>
    </row>
    <row r="98" spans="1:5" ht="26.1" customHeight="1" x14ac:dyDescent="0.25">
      <c r="A98" s="650">
        <v>3</v>
      </c>
      <c r="B98" s="651" t="s">
        <v>973</v>
      </c>
      <c r="C98" s="654">
        <f>+C96+C97</f>
        <v>88571.87464004608</v>
      </c>
      <c r="D98" s="654">
        <f>+D96+D97</f>
        <v>83918.454416627297</v>
      </c>
      <c r="E98" s="654">
        <f>+E96+E97</f>
        <v>85518.56758574312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974</v>
      </c>
      <c r="B100" s="642" t="s">
        <v>975</v>
      </c>
    </row>
    <row r="101" spans="1:5" ht="26.1" customHeight="1" x14ac:dyDescent="0.25">
      <c r="A101" s="639">
        <v>1</v>
      </c>
      <c r="B101" s="640" t="s">
        <v>976</v>
      </c>
      <c r="C101" s="641">
        <f>IF(C83=0,0,C75/C83)</f>
        <v>85061.624887160622</v>
      </c>
      <c r="D101" s="641">
        <f>IF(D83=0,0,D75/D83)</f>
        <v>80960.990627351712</v>
      </c>
      <c r="E101" s="641">
        <f>IF(E83=0,0,E75/E83)</f>
        <v>78089.783632982027</v>
      </c>
    </row>
    <row r="102" spans="1:5" ht="26.1" customHeight="1" x14ac:dyDescent="0.25">
      <c r="A102" s="639">
        <v>2</v>
      </c>
      <c r="B102" s="640" t="s">
        <v>977</v>
      </c>
      <c r="C102" s="658">
        <f>IF(C83=0,0,C76/C83)</f>
        <v>23710.384001111037</v>
      </c>
      <c r="D102" s="658">
        <f>IF(D83=0,0,D76/D83)</f>
        <v>22839.433536293356</v>
      </c>
      <c r="E102" s="658">
        <f>IF(E83=0,0,E76/E83)</f>
        <v>23775.885926844388</v>
      </c>
    </row>
    <row r="103" spans="1:5" ht="26.1" customHeight="1" x14ac:dyDescent="0.25">
      <c r="A103" s="650">
        <v>3</v>
      </c>
      <c r="B103" s="651" t="s">
        <v>975</v>
      </c>
      <c r="C103" s="654">
        <f>+C101+C102</f>
        <v>108772.00888827167</v>
      </c>
      <c r="D103" s="654">
        <f>+D101+D102</f>
        <v>103800.42416364508</v>
      </c>
      <c r="E103" s="654">
        <f>+E101+E102</f>
        <v>101865.66955982642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978</v>
      </c>
      <c r="B107" s="634" t="s">
        <v>979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980</v>
      </c>
      <c r="C108" s="641">
        <f>IF(C19=0,0,C77/C19)</f>
        <v>3123.5432411413985</v>
      </c>
      <c r="D108" s="641">
        <f>IF(D19=0,0,D77/D19)</f>
        <v>2859.5540813057164</v>
      </c>
      <c r="E108" s="641">
        <f>IF(E19=0,0,E77/E19)</f>
        <v>3121.4963524450018</v>
      </c>
    </row>
    <row r="109" spans="1:5" ht="26.1" customHeight="1" x14ac:dyDescent="0.25">
      <c r="A109" s="639">
        <v>2</v>
      </c>
      <c r="B109" s="640" t="s">
        <v>981</v>
      </c>
      <c r="C109" s="641">
        <f>IF(C20=0,0,C77/C20)</f>
        <v>12113.724383265022</v>
      </c>
      <c r="D109" s="641">
        <f>IF(D20=0,0,D77/D20)</f>
        <v>11134.151317237836</v>
      </c>
      <c r="E109" s="641">
        <f>IF(E20=0,0,E77/E20)</f>
        <v>12190.023369686178</v>
      </c>
    </row>
    <row r="110" spans="1:5" ht="26.1" customHeight="1" x14ac:dyDescent="0.25">
      <c r="A110" s="639">
        <v>3</v>
      </c>
      <c r="B110" s="640" t="s">
        <v>982</v>
      </c>
      <c r="C110" s="641">
        <f>IF(C22=0,0,C77/C22)</f>
        <v>1364.5228084521304</v>
      </c>
      <c r="D110" s="641">
        <f>IF(D22=0,0,D77/D22)</f>
        <v>1297.5983034015308</v>
      </c>
      <c r="E110" s="641">
        <f>IF(E22=0,0,E77/E22)</f>
        <v>1399.0595425638273</v>
      </c>
    </row>
    <row r="111" spans="1:5" ht="26.1" customHeight="1" x14ac:dyDescent="0.25">
      <c r="A111" s="639">
        <v>4</v>
      </c>
      <c r="B111" s="640" t="s">
        <v>983</v>
      </c>
      <c r="C111" s="641">
        <f>IF(C23=0,0,C77/C23)</f>
        <v>5291.8919125408629</v>
      </c>
      <c r="D111" s="641">
        <f>IF(D23=0,0,D77/D23)</f>
        <v>5052.4156733090049</v>
      </c>
      <c r="E111" s="641">
        <f>IF(E23=0,0,E77/E23)</f>
        <v>5463.5875214388861</v>
      </c>
    </row>
    <row r="112" spans="1:5" ht="26.1" customHeight="1" x14ac:dyDescent="0.25">
      <c r="A112" s="639">
        <v>5</v>
      </c>
      <c r="B112" s="640" t="s">
        <v>984</v>
      </c>
      <c r="C112" s="641">
        <f>IF(C29=0,0,C77/C29)</f>
        <v>1269.9699830550057</v>
      </c>
      <c r="D112" s="641">
        <f>IF(D29=0,0,D77/D29)</f>
        <v>1193.9919094707036</v>
      </c>
      <c r="E112" s="641">
        <f>IF(E29=0,0,E77/E29)</f>
        <v>1240.6190353702414</v>
      </c>
    </row>
    <row r="113" spans="1:7" ht="25.5" customHeight="1" x14ac:dyDescent="0.25">
      <c r="A113" s="639">
        <v>6</v>
      </c>
      <c r="B113" s="640" t="s">
        <v>985</v>
      </c>
      <c r="C113" s="641">
        <f>IF(C30=0,0,C77/C30)</f>
        <v>4925.197175796573</v>
      </c>
      <c r="D113" s="641">
        <f>IF(D30=0,0,D77/D30)</f>
        <v>4649.0068778605755</v>
      </c>
      <c r="E113" s="641">
        <f>IF(E30=0,0,E77/E30)</f>
        <v>4844.8478955277669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FILING&amp;R&amp;12GREENWICH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900733000</v>
      </c>
      <c r="D12" s="51">
        <v>944999000</v>
      </c>
      <c r="E12" s="51">
        <f t="shared" ref="E12:E19" si="0">D12-C12</f>
        <v>44266000</v>
      </c>
      <c r="F12" s="70">
        <f t="shared" ref="F12:F19" si="1">IF(C12=0,0,E12/C12)</f>
        <v>4.9144419045377488E-2</v>
      </c>
    </row>
    <row r="13" spans="1:8" ht="23.1" customHeight="1" x14ac:dyDescent="0.2">
      <c r="A13" s="25">
        <v>2</v>
      </c>
      <c r="B13" s="48" t="s">
        <v>72</v>
      </c>
      <c r="C13" s="51">
        <v>581544906</v>
      </c>
      <c r="D13" s="51">
        <v>605114066</v>
      </c>
      <c r="E13" s="51">
        <f t="shared" si="0"/>
        <v>23569160</v>
      </c>
      <c r="F13" s="70">
        <f t="shared" si="1"/>
        <v>4.052852970910556E-2</v>
      </c>
    </row>
    <row r="14" spans="1:8" ht="23.1" customHeight="1" x14ac:dyDescent="0.2">
      <c r="A14" s="25">
        <v>3</v>
      </c>
      <c r="B14" s="48" t="s">
        <v>73</v>
      </c>
      <c r="C14" s="51">
        <v>22988513</v>
      </c>
      <c r="D14" s="51">
        <v>22297544</v>
      </c>
      <c r="E14" s="51">
        <f t="shared" si="0"/>
        <v>-690969</v>
      </c>
      <c r="F14" s="70">
        <f t="shared" si="1"/>
        <v>-3.0057142016971693E-2</v>
      </c>
    </row>
    <row r="15" spans="1:8" ht="23.1" customHeight="1" x14ac:dyDescent="0.2">
      <c r="A15" s="25">
        <v>4</v>
      </c>
      <c r="B15" s="48" t="s">
        <v>74</v>
      </c>
      <c r="C15" s="51">
        <v>17113581</v>
      </c>
      <c r="D15" s="51">
        <v>20577390</v>
      </c>
      <c r="E15" s="51">
        <f t="shared" si="0"/>
        <v>3463809</v>
      </c>
      <c r="F15" s="70">
        <f t="shared" si="1"/>
        <v>0.20240118067632951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279086000</v>
      </c>
      <c r="D16" s="27">
        <f>D12-D13-D14-D15</f>
        <v>297010000</v>
      </c>
      <c r="E16" s="27">
        <f t="shared" si="0"/>
        <v>17924000</v>
      </c>
      <c r="F16" s="28">
        <f t="shared" si="1"/>
        <v>6.4223930974681639E-2</v>
      </c>
    </row>
    <row r="17" spans="1:7" ht="23.1" customHeight="1" x14ac:dyDescent="0.2">
      <c r="A17" s="25">
        <v>5</v>
      </c>
      <c r="B17" s="48" t="s">
        <v>76</v>
      </c>
      <c r="C17" s="51">
        <v>16362383</v>
      </c>
      <c r="D17" s="51">
        <v>14197000</v>
      </c>
      <c r="E17" s="51">
        <f t="shared" si="0"/>
        <v>-2165383</v>
      </c>
      <c r="F17" s="70">
        <f t="shared" si="1"/>
        <v>-0.13233909755076628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5444814</v>
      </c>
      <c r="D18" s="51">
        <v>4366000</v>
      </c>
      <c r="E18" s="51">
        <f t="shared" si="0"/>
        <v>-1078814</v>
      </c>
      <c r="F18" s="70">
        <f t="shared" si="1"/>
        <v>-0.19813606121347763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300893197</v>
      </c>
      <c r="D19" s="27">
        <f>SUM(D16:D18)</f>
        <v>315573000</v>
      </c>
      <c r="E19" s="27">
        <f t="shared" si="0"/>
        <v>14679803</v>
      </c>
      <c r="F19" s="28">
        <f t="shared" si="1"/>
        <v>4.8787420740522759E-2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118340680</v>
      </c>
      <c r="D22" s="51">
        <v>125958821</v>
      </c>
      <c r="E22" s="51">
        <f t="shared" ref="E22:E31" si="2">D22-C22</f>
        <v>7618141</v>
      </c>
      <c r="F22" s="70">
        <f t="shared" ref="F22:F31" si="3">IF(C22=0,0,E22/C22)</f>
        <v>6.4374659669016607E-2</v>
      </c>
    </row>
    <row r="23" spans="1:7" ht="23.1" customHeight="1" x14ac:dyDescent="0.2">
      <c r="A23" s="25">
        <v>2</v>
      </c>
      <c r="B23" s="48" t="s">
        <v>81</v>
      </c>
      <c r="C23" s="51">
        <v>33384400</v>
      </c>
      <c r="D23" s="51">
        <v>38350504</v>
      </c>
      <c r="E23" s="51">
        <f t="shared" si="2"/>
        <v>4966104</v>
      </c>
      <c r="F23" s="70">
        <f t="shared" si="3"/>
        <v>0.14875522699224789</v>
      </c>
    </row>
    <row r="24" spans="1:7" ht="23.1" customHeight="1" x14ac:dyDescent="0.2">
      <c r="A24" s="25">
        <v>3</v>
      </c>
      <c r="B24" s="48" t="s">
        <v>82</v>
      </c>
      <c r="C24" s="51">
        <v>3944170</v>
      </c>
      <c r="D24" s="51">
        <v>4204096</v>
      </c>
      <c r="E24" s="51">
        <f t="shared" si="2"/>
        <v>259926</v>
      </c>
      <c r="F24" s="70">
        <f t="shared" si="3"/>
        <v>6.59013176409739E-2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38270558</v>
      </c>
      <c r="D25" s="51">
        <v>41117895</v>
      </c>
      <c r="E25" s="51">
        <f t="shared" si="2"/>
        <v>2847337</v>
      </c>
      <c r="F25" s="70">
        <f t="shared" si="3"/>
        <v>7.4400195575930722E-2</v>
      </c>
    </row>
    <row r="26" spans="1:7" ht="23.1" customHeight="1" x14ac:dyDescent="0.2">
      <c r="A26" s="25">
        <v>5</v>
      </c>
      <c r="B26" s="48" t="s">
        <v>84</v>
      </c>
      <c r="C26" s="51">
        <v>20275407</v>
      </c>
      <c r="D26" s="51">
        <v>18905989</v>
      </c>
      <c r="E26" s="51">
        <f t="shared" si="2"/>
        <v>-1369418</v>
      </c>
      <c r="F26" s="70">
        <f t="shared" si="3"/>
        <v>-6.7540839007572073E-2</v>
      </c>
    </row>
    <row r="27" spans="1:7" ht="23.1" customHeight="1" x14ac:dyDescent="0.2">
      <c r="A27" s="25">
        <v>6</v>
      </c>
      <c r="B27" s="48" t="s">
        <v>85</v>
      </c>
      <c r="C27" s="51">
        <v>10503632</v>
      </c>
      <c r="D27" s="51">
        <v>9269877</v>
      </c>
      <c r="E27" s="51">
        <f t="shared" si="2"/>
        <v>-1233755</v>
      </c>
      <c r="F27" s="70">
        <f t="shared" si="3"/>
        <v>-0.11745984627031869</v>
      </c>
    </row>
    <row r="28" spans="1:7" ht="23.1" customHeight="1" x14ac:dyDescent="0.2">
      <c r="A28" s="25">
        <v>7</v>
      </c>
      <c r="B28" s="48" t="s">
        <v>86</v>
      </c>
      <c r="C28" s="51">
        <v>448812</v>
      </c>
      <c r="D28" s="51">
        <v>425472</v>
      </c>
      <c r="E28" s="51">
        <f t="shared" si="2"/>
        <v>-23340</v>
      </c>
      <c r="F28" s="70">
        <f t="shared" si="3"/>
        <v>-5.2003957113446166E-2</v>
      </c>
    </row>
    <row r="29" spans="1:7" ht="23.1" customHeight="1" x14ac:dyDescent="0.2">
      <c r="A29" s="25">
        <v>8</v>
      </c>
      <c r="B29" s="48" t="s">
        <v>87</v>
      </c>
      <c r="C29" s="51">
        <v>2913343</v>
      </c>
      <c r="D29" s="51">
        <v>200972</v>
      </c>
      <c r="E29" s="51">
        <f t="shared" si="2"/>
        <v>-2712371</v>
      </c>
      <c r="F29" s="70">
        <f t="shared" si="3"/>
        <v>-0.9310167048644804</v>
      </c>
    </row>
    <row r="30" spans="1:7" ht="23.1" customHeight="1" x14ac:dyDescent="0.2">
      <c r="A30" s="25">
        <v>9</v>
      </c>
      <c r="B30" s="48" t="s">
        <v>88</v>
      </c>
      <c r="C30" s="51">
        <v>59449755</v>
      </c>
      <c r="D30" s="51">
        <v>67491374</v>
      </c>
      <c r="E30" s="51">
        <f t="shared" si="2"/>
        <v>8041619</v>
      </c>
      <c r="F30" s="70">
        <f t="shared" si="3"/>
        <v>0.13526748764565977</v>
      </c>
    </row>
    <row r="31" spans="1:7" ht="23.1" customHeight="1" x14ac:dyDescent="0.25">
      <c r="A31" s="29"/>
      <c r="B31" s="71" t="s">
        <v>89</v>
      </c>
      <c r="C31" s="27">
        <f>SUM(C22:C30)</f>
        <v>287530757</v>
      </c>
      <c r="D31" s="27">
        <f>SUM(D22:D30)</f>
        <v>305925000</v>
      </c>
      <c r="E31" s="27">
        <f t="shared" si="2"/>
        <v>18394243</v>
      </c>
      <c r="F31" s="28">
        <f t="shared" si="3"/>
        <v>6.3973131750910392E-2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13362440</v>
      </c>
      <c r="D33" s="27">
        <f>+D19-D31</f>
        <v>9648000</v>
      </c>
      <c r="E33" s="27">
        <f>D33-C33</f>
        <v>-3714440</v>
      </c>
      <c r="F33" s="28">
        <f>IF(C33=0,0,E33/C33)</f>
        <v>-0.27797617800341856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1051000</v>
      </c>
      <c r="D36" s="51">
        <v>751000</v>
      </c>
      <c r="E36" s="51">
        <f>D36-C36</f>
        <v>-300000</v>
      </c>
      <c r="F36" s="70">
        <f>IF(C36=0,0,E36/C36)</f>
        <v>-0.28544243577545197</v>
      </c>
    </row>
    <row r="37" spans="1:6" ht="23.1" customHeight="1" x14ac:dyDescent="0.2">
      <c r="A37" s="44">
        <v>2</v>
      </c>
      <c r="B37" s="48" t="s">
        <v>93</v>
      </c>
      <c r="C37" s="51">
        <v>1605000</v>
      </c>
      <c r="D37" s="51">
        <v>4117000</v>
      </c>
      <c r="E37" s="51">
        <f>D37-C37</f>
        <v>2512000</v>
      </c>
      <c r="F37" s="70">
        <f>IF(C37=0,0,E37/C37)</f>
        <v>1.5651090342679128</v>
      </c>
    </row>
    <row r="38" spans="1:6" ht="23.1" customHeight="1" x14ac:dyDescent="0.2">
      <c r="A38" s="44">
        <v>3</v>
      </c>
      <c r="B38" s="48" t="s">
        <v>94</v>
      </c>
      <c r="C38" s="51">
        <v>-4251000</v>
      </c>
      <c r="D38" s="51">
        <v>-4485000</v>
      </c>
      <c r="E38" s="51">
        <f>D38-C38</f>
        <v>-234000</v>
      </c>
      <c r="F38" s="70">
        <f>IF(C38=0,0,E38/C38)</f>
        <v>5.5045871559633031E-2</v>
      </c>
    </row>
    <row r="39" spans="1:6" ht="23.1" customHeight="1" x14ac:dyDescent="0.25">
      <c r="A39" s="20"/>
      <c r="B39" s="71" t="s">
        <v>95</v>
      </c>
      <c r="C39" s="27">
        <f>SUM(C36:C38)</f>
        <v>-1595000</v>
      </c>
      <c r="D39" s="27">
        <f>SUM(D36:D38)</f>
        <v>383000</v>
      </c>
      <c r="E39" s="27">
        <f>D39-C39</f>
        <v>1978000</v>
      </c>
      <c r="F39" s="28">
        <f>IF(C39=0,0,E39/C39)</f>
        <v>-1.2401253918495299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11767440</v>
      </c>
      <c r="D41" s="27">
        <f>D33+D39</f>
        <v>10031000</v>
      </c>
      <c r="E41" s="27">
        <f>D41-C41</f>
        <v>-1736440</v>
      </c>
      <c r="F41" s="28">
        <f>IF(C41=0,0,E41/C41)</f>
        <v>-0.14756310633408795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4661000</v>
      </c>
      <c r="D44" s="51">
        <v>-2162000</v>
      </c>
      <c r="E44" s="51">
        <f>D44-C44</f>
        <v>-6823000</v>
      </c>
      <c r="F44" s="70">
        <f>IF(C44=0,0,E44/C44)</f>
        <v>-1.4638489594507615</v>
      </c>
    </row>
    <row r="45" spans="1:6" ht="23.1" customHeight="1" x14ac:dyDescent="0.2">
      <c r="A45" s="44"/>
      <c r="B45" s="48" t="s">
        <v>99</v>
      </c>
      <c r="C45" s="51">
        <v>-3435000</v>
      </c>
      <c r="D45" s="51">
        <v>-1847000</v>
      </c>
      <c r="E45" s="51">
        <f>D45-C45</f>
        <v>1588000</v>
      </c>
      <c r="F45" s="70">
        <f>IF(C45=0,0,E45/C45)</f>
        <v>-0.46229985443959243</v>
      </c>
    </row>
    <row r="46" spans="1:6" ht="23.1" customHeight="1" x14ac:dyDescent="0.25">
      <c r="A46" s="20"/>
      <c r="B46" s="74" t="s">
        <v>100</v>
      </c>
      <c r="C46" s="27">
        <f>SUM(C44:C45)</f>
        <v>1226000</v>
      </c>
      <c r="D46" s="27">
        <f>SUM(D44:D45)</f>
        <v>-4009000</v>
      </c>
      <c r="E46" s="27">
        <f>D46-C46</f>
        <v>-5235000</v>
      </c>
      <c r="F46" s="28">
        <f>IF(C46=0,0,E46/C46)</f>
        <v>-4.269983686786297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12993440</v>
      </c>
      <c r="D48" s="27">
        <f>D41+D46</f>
        <v>6022000</v>
      </c>
      <c r="E48" s="27">
        <f>D48-C48</f>
        <v>-6971440</v>
      </c>
      <c r="F48" s="28">
        <f>IF(C48=0,0,E48/C48)</f>
        <v>-0.53653535938134933</v>
      </c>
    </row>
    <row r="49" spans="1:6" ht="23.1" customHeight="1" x14ac:dyDescent="0.2">
      <c r="A49" s="44"/>
      <c r="B49" s="48" t="s">
        <v>102</v>
      </c>
      <c r="C49" s="51">
        <v>2190000</v>
      </c>
      <c r="D49" s="51">
        <v>2260000</v>
      </c>
      <c r="E49" s="51">
        <f>D49-C49</f>
        <v>70000</v>
      </c>
      <c r="F49" s="70">
        <f>IF(C49=0,0,E49/C49)</f>
        <v>3.1963470319634701E-2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190151680</v>
      </c>
      <c r="D14" s="97">
        <v>201049875</v>
      </c>
      <c r="E14" s="97">
        <f t="shared" ref="E14:E25" si="0">D14-C14</f>
        <v>10898195</v>
      </c>
      <c r="F14" s="98">
        <f t="shared" ref="F14:F25" si="1">IF(C14=0,0,E14/C14)</f>
        <v>5.7313167046433668E-2</v>
      </c>
    </row>
    <row r="15" spans="1:6" ht="18" customHeight="1" x14ac:dyDescent="0.25">
      <c r="A15" s="99">
        <v>2</v>
      </c>
      <c r="B15" s="100" t="s">
        <v>113</v>
      </c>
      <c r="C15" s="97">
        <v>20344124</v>
      </c>
      <c r="D15" s="97">
        <v>19420686</v>
      </c>
      <c r="E15" s="97">
        <f t="shared" si="0"/>
        <v>-923438</v>
      </c>
      <c r="F15" s="98">
        <f t="shared" si="1"/>
        <v>-4.5390895179364815E-2</v>
      </c>
    </row>
    <row r="16" spans="1:6" ht="18" customHeight="1" x14ac:dyDescent="0.25">
      <c r="A16" s="99">
        <v>3</v>
      </c>
      <c r="B16" s="100" t="s">
        <v>114</v>
      </c>
      <c r="C16" s="97">
        <v>5499028</v>
      </c>
      <c r="D16" s="97">
        <v>8460492</v>
      </c>
      <c r="E16" s="97">
        <f t="shared" si="0"/>
        <v>2961464</v>
      </c>
      <c r="F16" s="98">
        <f t="shared" si="1"/>
        <v>0.53854317526661077</v>
      </c>
    </row>
    <row r="17" spans="1:6" ht="18" customHeight="1" x14ac:dyDescent="0.25">
      <c r="A17" s="99">
        <v>4</v>
      </c>
      <c r="B17" s="100" t="s">
        <v>115</v>
      </c>
      <c r="C17" s="97">
        <v>3607426</v>
      </c>
      <c r="D17" s="97">
        <v>3027509</v>
      </c>
      <c r="E17" s="97">
        <f t="shared" si="0"/>
        <v>-579917</v>
      </c>
      <c r="F17" s="98">
        <f t="shared" si="1"/>
        <v>-0.16075645072137307</v>
      </c>
    </row>
    <row r="18" spans="1:6" ht="18" customHeight="1" x14ac:dyDescent="0.25">
      <c r="A18" s="99">
        <v>5</v>
      </c>
      <c r="B18" s="100" t="s">
        <v>116</v>
      </c>
      <c r="C18" s="97">
        <v>137517</v>
      </c>
      <c r="D18" s="97">
        <v>74098</v>
      </c>
      <c r="E18" s="97">
        <f t="shared" si="0"/>
        <v>-63419</v>
      </c>
      <c r="F18" s="98">
        <f t="shared" si="1"/>
        <v>-0.46117207327094106</v>
      </c>
    </row>
    <row r="19" spans="1:6" ht="18" customHeight="1" x14ac:dyDescent="0.25">
      <c r="A19" s="99">
        <v>6</v>
      </c>
      <c r="B19" s="100" t="s">
        <v>117</v>
      </c>
      <c r="C19" s="97">
        <v>62253807</v>
      </c>
      <c r="D19" s="97">
        <v>62538172</v>
      </c>
      <c r="E19" s="97">
        <f t="shared" si="0"/>
        <v>284365</v>
      </c>
      <c r="F19" s="98">
        <f t="shared" si="1"/>
        <v>4.5678330965365698E-3</v>
      </c>
    </row>
    <row r="20" spans="1:6" ht="18" customHeight="1" x14ac:dyDescent="0.25">
      <c r="A20" s="99">
        <v>7</v>
      </c>
      <c r="B20" s="100" t="s">
        <v>118</v>
      </c>
      <c r="C20" s="97">
        <v>103780722</v>
      </c>
      <c r="D20" s="97">
        <v>106772858</v>
      </c>
      <c r="E20" s="97">
        <f t="shared" si="0"/>
        <v>2992136</v>
      </c>
      <c r="F20" s="98">
        <f t="shared" si="1"/>
        <v>2.8831327652548033E-2</v>
      </c>
    </row>
    <row r="21" spans="1:6" ht="18" customHeight="1" x14ac:dyDescent="0.25">
      <c r="A21" s="99">
        <v>8</v>
      </c>
      <c r="B21" s="100" t="s">
        <v>119</v>
      </c>
      <c r="C21" s="97">
        <v>3573124</v>
      </c>
      <c r="D21" s="97">
        <v>3667218</v>
      </c>
      <c r="E21" s="97">
        <f t="shared" si="0"/>
        <v>94094</v>
      </c>
      <c r="F21" s="98">
        <f t="shared" si="1"/>
        <v>2.6333818809534736E-2</v>
      </c>
    </row>
    <row r="22" spans="1:6" ht="18" customHeight="1" x14ac:dyDescent="0.25">
      <c r="A22" s="99">
        <v>9</v>
      </c>
      <c r="B22" s="100" t="s">
        <v>120</v>
      </c>
      <c r="C22" s="97">
        <v>8419911</v>
      </c>
      <c r="D22" s="97">
        <v>7142474</v>
      </c>
      <c r="E22" s="97">
        <f t="shared" si="0"/>
        <v>-1277437</v>
      </c>
      <c r="F22" s="98">
        <f t="shared" si="1"/>
        <v>-0.15171621172717858</v>
      </c>
    </row>
    <row r="23" spans="1:6" ht="18" customHeight="1" x14ac:dyDescent="0.25">
      <c r="A23" s="99">
        <v>10</v>
      </c>
      <c r="B23" s="100" t="s">
        <v>121</v>
      </c>
      <c r="C23" s="97">
        <v>417994</v>
      </c>
      <c r="D23" s="97">
        <v>0</v>
      </c>
      <c r="E23" s="97">
        <f t="shared" si="0"/>
        <v>-417994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10546075</v>
      </c>
      <c r="D24" s="97">
        <v>11396853</v>
      </c>
      <c r="E24" s="97">
        <f t="shared" si="0"/>
        <v>850778</v>
      </c>
      <c r="F24" s="98">
        <f t="shared" si="1"/>
        <v>8.0672477675343676E-2</v>
      </c>
    </row>
    <row r="25" spans="1:6" ht="18" customHeight="1" x14ac:dyDescent="0.25">
      <c r="A25" s="101"/>
      <c r="B25" s="102" t="s">
        <v>123</v>
      </c>
      <c r="C25" s="103">
        <f>SUM(C14:C24)</f>
        <v>408731408</v>
      </c>
      <c r="D25" s="103">
        <f>SUM(D14:D24)</f>
        <v>423550235</v>
      </c>
      <c r="E25" s="103">
        <f t="shared" si="0"/>
        <v>14818827</v>
      </c>
      <c r="F25" s="104">
        <f t="shared" si="1"/>
        <v>3.6255660098428254E-2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120314106</v>
      </c>
      <c r="D27" s="97">
        <v>133046353</v>
      </c>
      <c r="E27" s="97">
        <f t="shared" ref="E27:E38" si="2">D27-C27</f>
        <v>12732247</v>
      </c>
      <c r="F27" s="98">
        <f t="shared" ref="F27:F38" si="3">IF(C27=0,0,E27/C27)</f>
        <v>0.10582505595811018</v>
      </c>
    </row>
    <row r="28" spans="1:6" ht="18" customHeight="1" x14ac:dyDescent="0.25">
      <c r="A28" s="99">
        <v>2</v>
      </c>
      <c r="B28" s="100" t="s">
        <v>113</v>
      </c>
      <c r="C28" s="97">
        <v>9928828</v>
      </c>
      <c r="D28" s="97">
        <v>11490133</v>
      </c>
      <c r="E28" s="97">
        <f t="shared" si="2"/>
        <v>1561305</v>
      </c>
      <c r="F28" s="98">
        <f t="shared" si="3"/>
        <v>0.15724967740401988</v>
      </c>
    </row>
    <row r="29" spans="1:6" ht="18" customHeight="1" x14ac:dyDescent="0.25">
      <c r="A29" s="99">
        <v>3</v>
      </c>
      <c r="B29" s="100" t="s">
        <v>114</v>
      </c>
      <c r="C29" s="97">
        <v>5061974</v>
      </c>
      <c r="D29" s="97">
        <v>8050258</v>
      </c>
      <c r="E29" s="97">
        <f t="shared" si="2"/>
        <v>2988284</v>
      </c>
      <c r="F29" s="98">
        <f t="shared" si="3"/>
        <v>0.59033965800693566</v>
      </c>
    </row>
    <row r="30" spans="1:6" ht="18" customHeight="1" x14ac:dyDescent="0.25">
      <c r="A30" s="99">
        <v>4</v>
      </c>
      <c r="B30" s="100" t="s">
        <v>115</v>
      </c>
      <c r="C30" s="97">
        <v>9784274</v>
      </c>
      <c r="D30" s="97">
        <v>11780627</v>
      </c>
      <c r="E30" s="97">
        <f t="shared" si="2"/>
        <v>1996353</v>
      </c>
      <c r="F30" s="98">
        <f t="shared" si="3"/>
        <v>0.20403690657068679</v>
      </c>
    </row>
    <row r="31" spans="1:6" ht="18" customHeight="1" x14ac:dyDescent="0.25">
      <c r="A31" s="99">
        <v>5</v>
      </c>
      <c r="B31" s="100" t="s">
        <v>116</v>
      </c>
      <c r="C31" s="97">
        <v>394295</v>
      </c>
      <c r="D31" s="97">
        <v>363756</v>
      </c>
      <c r="E31" s="97">
        <f t="shared" si="2"/>
        <v>-30539</v>
      </c>
      <c r="F31" s="98">
        <f t="shared" si="3"/>
        <v>-7.7452161452719409E-2</v>
      </c>
    </row>
    <row r="32" spans="1:6" ht="18" customHeight="1" x14ac:dyDescent="0.25">
      <c r="A32" s="99">
        <v>6</v>
      </c>
      <c r="B32" s="100" t="s">
        <v>117</v>
      </c>
      <c r="C32" s="97">
        <v>112913269</v>
      </c>
      <c r="D32" s="97">
        <v>120972876</v>
      </c>
      <c r="E32" s="97">
        <f t="shared" si="2"/>
        <v>8059607</v>
      </c>
      <c r="F32" s="98">
        <f t="shared" si="3"/>
        <v>7.1378741146888594E-2</v>
      </c>
    </row>
    <row r="33" spans="1:6" ht="18" customHeight="1" x14ac:dyDescent="0.25">
      <c r="A33" s="99">
        <v>7</v>
      </c>
      <c r="B33" s="100" t="s">
        <v>118</v>
      </c>
      <c r="C33" s="97">
        <v>194193965</v>
      </c>
      <c r="D33" s="97">
        <v>195434323</v>
      </c>
      <c r="E33" s="97">
        <f t="shared" si="2"/>
        <v>1240358</v>
      </c>
      <c r="F33" s="98">
        <f t="shared" si="3"/>
        <v>6.3872118785977721E-3</v>
      </c>
    </row>
    <row r="34" spans="1:6" ht="18" customHeight="1" x14ac:dyDescent="0.25">
      <c r="A34" s="99">
        <v>8</v>
      </c>
      <c r="B34" s="100" t="s">
        <v>119</v>
      </c>
      <c r="C34" s="97">
        <v>5875372</v>
      </c>
      <c r="D34" s="97">
        <v>5602878</v>
      </c>
      <c r="E34" s="97">
        <f t="shared" si="2"/>
        <v>-272494</v>
      </c>
      <c r="F34" s="98">
        <f t="shared" si="3"/>
        <v>-4.637902076668507E-2</v>
      </c>
    </row>
    <row r="35" spans="1:6" ht="18" customHeight="1" x14ac:dyDescent="0.25">
      <c r="A35" s="99">
        <v>9</v>
      </c>
      <c r="B35" s="100" t="s">
        <v>120</v>
      </c>
      <c r="C35" s="97">
        <v>25712243</v>
      </c>
      <c r="D35" s="97">
        <v>26201618</v>
      </c>
      <c r="E35" s="97">
        <f t="shared" si="2"/>
        <v>489375</v>
      </c>
      <c r="F35" s="98">
        <f t="shared" si="3"/>
        <v>1.9032761941461116E-2</v>
      </c>
    </row>
    <row r="36" spans="1:6" ht="18" customHeight="1" x14ac:dyDescent="0.25">
      <c r="A36" s="99">
        <v>10</v>
      </c>
      <c r="B36" s="100" t="s">
        <v>121</v>
      </c>
      <c r="C36" s="97">
        <v>1095227</v>
      </c>
      <c r="D36" s="97">
        <v>0</v>
      </c>
      <c r="E36" s="97">
        <f t="shared" si="2"/>
        <v>-1095227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6728003</v>
      </c>
      <c r="D37" s="97">
        <v>8506404</v>
      </c>
      <c r="E37" s="97">
        <f t="shared" si="2"/>
        <v>1778401</v>
      </c>
      <c r="F37" s="98">
        <f t="shared" si="3"/>
        <v>0.26432821150644553</v>
      </c>
    </row>
    <row r="38" spans="1:6" ht="18" customHeight="1" x14ac:dyDescent="0.25">
      <c r="A38" s="101"/>
      <c r="B38" s="102" t="s">
        <v>126</v>
      </c>
      <c r="C38" s="103">
        <f>SUM(C27:C37)</f>
        <v>492001556</v>
      </c>
      <c r="D38" s="103">
        <f>SUM(D27:D37)</f>
        <v>521449226</v>
      </c>
      <c r="E38" s="103">
        <f t="shared" si="2"/>
        <v>29447670</v>
      </c>
      <c r="F38" s="104">
        <f t="shared" si="3"/>
        <v>5.9852798514320148E-2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310465786</v>
      </c>
      <c r="D41" s="103">
        <f t="shared" si="4"/>
        <v>334096228</v>
      </c>
      <c r="E41" s="107">
        <f t="shared" ref="E41:E52" si="5">D41-C41</f>
        <v>23630442</v>
      </c>
      <c r="F41" s="108">
        <f t="shared" ref="F41:F52" si="6">IF(C41=0,0,E41/C41)</f>
        <v>7.6112869970155095E-2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30272952</v>
      </c>
      <c r="D42" s="103">
        <f t="shared" si="4"/>
        <v>30910819</v>
      </c>
      <c r="E42" s="107">
        <f t="shared" si="5"/>
        <v>637867</v>
      </c>
      <c r="F42" s="108">
        <f t="shared" si="6"/>
        <v>2.1070525266250875E-2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10561002</v>
      </c>
      <c r="D43" s="103">
        <f t="shared" si="4"/>
        <v>16510750</v>
      </c>
      <c r="E43" s="107">
        <f t="shared" si="5"/>
        <v>5949748</v>
      </c>
      <c r="F43" s="108">
        <f t="shared" si="6"/>
        <v>0.56336964996313799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13391700</v>
      </c>
      <c r="D44" s="103">
        <f t="shared" si="4"/>
        <v>14808136</v>
      </c>
      <c r="E44" s="107">
        <f t="shared" si="5"/>
        <v>1416436</v>
      </c>
      <c r="F44" s="108">
        <f t="shared" si="6"/>
        <v>0.10576969316815639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531812</v>
      </c>
      <c r="D45" s="103">
        <f t="shared" si="4"/>
        <v>437854</v>
      </c>
      <c r="E45" s="107">
        <f t="shared" si="5"/>
        <v>-93958</v>
      </c>
      <c r="F45" s="108">
        <f t="shared" si="6"/>
        <v>-0.17667521605379344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175167076</v>
      </c>
      <c r="D46" s="103">
        <f t="shared" si="4"/>
        <v>183511048</v>
      </c>
      <c r="E46" s="107">
        <f t="shared" si="5"/>
        <v>8343972</v>
      </c>
      <c r="F46" s="108">
        <f t="shared" si="6"/>
        <v>4.7634362521413558E-2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297974687</v>
      </c>
      <c r="D47" s="103">
        <f t="shared" si="4"/>
        <v>302207181</v>
      </c>
      <c r="E47" s="107">
        <f t="shared" si="5"/>
        <v>4232494</v>
      </c>
      <c r="F47" s="108">
        <f t="shared" si="6"/>
        <v>1.4204206547249432E-2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9448496</v>
      </c>
      <c r="D48" s="103">
        <f t="shared" si="4"/>
        <v>9270096</v>
      </c>
      <c r="E48" s="107">
        <f t="shared" si="5"/>
        <v>-178400</v>
      </c>
      <c r="F48" s="108">
        <f t="shared" si="6"/>
        <v>-1.8881311904032135E-2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34132154</v>
      </c>
      <c r="D49" s="103">
        <f t="shared" si="4"/>
        <v>33344092</v>
      </c>
      <c r="E49" s="107">
        <f t="shared" si="5"/>
        <v>-788062</v>
      </c>
      <c r="F49" s="108">
        <f t="shared" si="6"/>
        <v>-2.3088551633746877E-2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1513221</v>
      </c>
      <c r="D50" s="103">
        <f t="shared" si="4"/>
        <v>0</v>
      </c>
      <c r="E50" s="107">
        <f t="shared" si="5"/>
        <v>-1513221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17274078</v>
      </c>
      <c r="D51" s="103">
        <f t="shared" si="4"/>
        <v>19903257</v>
      </c>
      <c r="E51" s="107">
        <f t="shared" si="5"/>
        <v>2629179</v>
      </c>
      <c r="F51" s="108">
        <f t="shared" si="6"/>
        <v>0.15220372398457388</v>
      </c>
    </row>
    <row r="52" spans="1:6" ht="18.75" customHeight="1" thickBot="1" x14ac:dyDescent="0.3">
      <c r="A52" s="109"/>
      <c r="B52" s="110" t="s">
        <v>128</v>
      </c>
      <c r="C52" s="111">
        <f>SUM(C41:C51)</f>
        <v>900732964</v>
      </c>
      <c r="D52" s="112">
        <f>SUM(D41:D51)</f>
        <v>944999461</v>
      </c>
      <c r="E52" s="111">
        <f t="shared" si="5"/>
        <v>44266497</v>
      </c>
      <c r="F52" s="113">
        <f t="shared" si="6"/>
        <v>4.9144972782410569E-2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48266096</v>
      </c>
      <c r="D57" s="97">
        <v>47570334</v>
      </c>
      <c r="E57" s="97">
        <f t="shared" ref="E57:E68" si="7">D57-C57</f>
        <v>-695762</v>
      </c>
      <c r="F57" s="98">
        <f t="shared" ref="F57:F68" si="8">IF(C57=0,0,E57/C57)</f>
        <v>-1.4415128996552777E-2</v>
      </c>
    </row>
    <row r="58" spans="1:6" ht="18" customHeight="1" x14ac:dyDescent="0.25">
      <c r="A58" s="99">
        <v>2</v>
      </c>
      <c r="B58" s="100" t="s">
        <v>113</v>
      </c>
      <c r="C58" s="97">
        <v>3902480</v>
      </c>
      <c r="D58" s="97">
        <v>4491654</v>
      </c>
      <c r="E58" s="97">
        <f t="shared" si="7"/>
        <v>589174</v>
      </c>
      <c r="F58" s="98">
        <f t="shared" si="8"/>
        <v>0.15097425227035116</v>
      </c>
    </row>
    <row r="59" spans="1:6" ht="18" customHeight="1" x14ac:dyDescent="0.25">
      <c r="A59" s="99">
        <v>3</v>
      </c>
      <c r="B59" s="100" t="s">
        <v>114</v>
      </c>
      <c r="C59" s="97">
        <v>1161159</v>
      </c>
      <c r="D59" s="97">
        <v>2429570</v>
      </c>
      <c r="E59" s="97">
        <f t="shared" si="7"/>
        <v>1268411</v>
      </c>
      <c r="F59" s="98">
        <f t="shared" si="8"/>
        <v>1.0923663339818233</v>
      </c>
    </row>
    <row r="60" spans="1:6" ht="18" customHeight="1" x14ac:dyDescent="0.25">
      <c r="A60" s="99">
        <v>4</v>
      </c>
      <c r="B60" s="100" t="s">
        <v>115</v>
      </c>
      <c r="C60" s="97">
        <v>915850</v>
      </c>
      <c r="D60" s="97">
        <v>835635</v>
      </c>
      <c r="E60" s="97">
        <f t="shared" si="7"/>
        <v>-80215</v>
      </c>
      <c r="F60" s="98">
        <f t="shared" si="8"/>
        <v>-8.7585303270186168E-2</v>
      </c>
    </row>
    <row r="61" spans="1:6" ht="18" customHeight="1" x14ac:dyDescent="0.25">
      <c r="A61" s="99">
        <v>5</v>
      </c>
      <c r="B61" s="100" t="s">
        <v>116</v>
      </c>
      <c r="C61" s="97">
        <v>10408</v>
      </c>
      <c r="D61" s="97">
        <v>20081</v>
      </c>
      <c r="E61" s="97">
        <f t="shared" si="7"/>
        <v>9673</v>
      </c>
      <c r="F61" s="98">
        <f t="shared" si="8"/>
        <v>0.92938124519600307</v>
      </c>
    </row>
    <row r="62" spans="1:6" ht="18" customHeight="1" x14ac:dyDescent="0.25">
      <c r="A62" s="99">
        <v>6</v>
      </c>
      <c r="B62" s="100" t="s">
        <v>117</v>
      </c>
      <c r="C62" s="97">
        <v>20887019</v>
      </c>
      <c r="D62" s="97">
        <v>23244462</v>
      </c>
      <c r="E62" s="97">
        <f t="shared" si="7"/>
        <v>2357443</v>
      </c>
      <c r="F62" s="98">
        <f t="shared" si="8"/>
        <v>0.11286641717518427</v>
      </c>
    </row>
    <row r="63" spans="1:6" ht="18" customHeight="1" x14ac:dyDescent="0.25">
      <c r="A63" s="99">
        <v>7</v>
      </c>
      <c r="B63" s="100" t="s">
        <v>118</v>
      </c>
      <c r="C63" s="97">
        <v>45536625</v>
      </c>
      <c r="D63" s="97">
        <v>47698505</v>
      </c>
      <c r="E63" s="97">
        <f t="shared" si="7"/>
        <v>2161880</v>
      </c>
      <c r="F63" s="98">
        <f t="shared" si="8"/>
        <v>4.7475630879539273E-2</v>
      </c>
    </row>
    <row r="64" spans="1:6" ht="18" customHeight="1" x14ac:dyDescent="0.25">
      <c r="A64" s="99">
        <v>8</v>
      </c>
      <c r="B64" s="100" t="s">
        <v>119</v>
      </c>
      <c r="C64" s="97">
        <v>2644852</v>
      </c>
      <c r="D64" s="97">
        <v>2217043</v>
      </c>
      <c r="E64" s="97">
        <f t="shared" si="7"/>
        <v>-427809</v>
      </c>
      <c r="F64" s="98">
        <f t="shared" si="8"/>
        <v>-0.16175158383153387</v>
      </c>
    </row>
    <row r="65" spans="1:6" ht="18" customHeight="1" x14ac:dyDescent="0.25">
      <c r="A65" s="99">
        <v>9</v>
      </c>
      <c r="B65" s="100" t="s">
        <v>120</v>
      </c>
      <c r="C65" s="97">
        <v>885530</v>
      </c>
      <c r="D65" s="97">
        <v>1006552</v>
      </c>
      <c r="E65" s="97">
        <f t="shared" si="7"/>
        <v>121022</v>
      </c>
      <c r="F65" s="98">
        <f t="shared" si="8"/>
        <v>0.13666617731753866</v>
      </c>
    </row>
    <row r="66" spans="1:6" ht="18" customHeight="1" x14ac:dyDescent="0.25">
      <c r="A66" s="99">
        <v>10</v>
      </c>
      <c r="B66" s="100" t="s">
        <v>121</v>
      </c>
      <c r="C66" s="97">
        <v>71799</v>
      </c>
      <c r="D66" s="97">
        <v>0</v>
      </c>
      <c r="E66" s="97">
        <f t="shared" si="7"/>
        <v>-71799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3320128</v>
      </c>
      <c r="D67" s="97">
        <v>2239666</v>
      </c>
      <c r="E67" s="97">
        <f t="shared" si="7"/>
        <v>-1080462</v>
      </c>
      <c r="F67" s="98">
        <f t="shared" si="8"/>
        <v>-0.3254278148312354</v>
      </c>
    </row>
    <row r="68" spans="1:6" ht="18" customHeight="1" x14ac:dyDescent="0.25">
      <c r="A68" s="101"/>
      <c r="B68" s="102" t="s">
        <v>131</v>
      </c>
      <c r="C68" s="103">
        <f>SUM(C57:C67)</f>
        <v>127601946</v>
      </c>
      <c r="D68" s="103">
        <f>SUM(D57:D67)</f>
        <v>131753502</v>
      </c>
      <c r="E68" s="103">
        <f t="shared" si="7"/>
        <v>4151556</v>
      </c>
      <c r="F68" s="104">
        <f t="shared" si="8"/>
        <v>3.2535209141716384E-2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20741720</v>
      </c>
      <c r="D70" s="97">
        <v>22150758</v>
      </c>
      <c r="E70" s="97">
        <f t="shared" ref="E70:E81" si="9">D70-C70</f>
        <v>1409038</v>
      </c>
      <c r="F70" s="98">
        <f t="shared" ref="F70:F81" si="10">IF(C70=0,0,E70/C70)</f>
        <v>6.7932553327303621E-2</v>
      </c>
    </row>
    <row r="71" spans="1:6" ht="18" customHeight="1" x14ac:dyDescent="0.25">
      <c r="A71" s="99">
        <v>2</v>
      </c>
      <c r="B71" s="100" t="s">
        <v>113</v>
      </c>
      <c r="C71" s="97">
        <v>1995223</v>
      </c>
      <c r="D71" s="97">
        <v>3856863</v>
      </c>
      <c r="E71" s="97">
        <f t="shared" si="9"/>
        <v>1861640</v>
      </c>
      <c r="F71" s="98">
        <f t="shared" si="10"/>
        <v>0.93304858654897227</v>
      </c>
    </row>
    <row r="72" spans="1:6" ht="18" customHeight="1" x14ac:dyDescent="0.25">
      <c r="A72" s="99">
        <v>3</v>
      </c>
      <c r="B72" s="100" t="s">
        <v>114</v>
      </c>
      <c r="C72" s="97">
        <v>104449</v>
      </c>
      <c r="D72" s="97">
        <v>1670983</v>
      </c>
      <c r="E72" s="97">
        <f t="shared" si="9"/>
        <v>1566534</v>
      </c>
      <c r="F72" s="98">
        <f t="shared" si="10"/>
        <v>14.998075615850798</v>
      </c>
    </row>
    <row r="73" spans="1:6" ht="18" customHeight="1" x14ac:dyDescent="0.25">
      <c r="A73" s="99">
        <v>4</v>
      </c>
      <c r="B73" s="100" t="s">
        <v>115</v>
      </c>
      <c r="C73" s="97">
        <v>2158858</v>
      </c>
      <c r="D73" s="97">
        <v>1957946</v>
      </c>
      <c r="E73" s="97">
        <f t="shared" si="9"/>
        <v>-200912</v>
      </c>
      <c r="F73" s="98">
        <f t="shared" si="10"/>
        <v>-9.3064018105868937E-2</v>
      </c>
    </row>
    <row r="74" spans="1:6" ht="18" customHeight="1" x14ac:dyDescent="0.25">
      <c r="A74" s="99">
        <v>5</v>
      </c>
      <c r="B74" s="100" t="s">
        <v>116</v>
      </c>
      <c r="C74" s="97">
        <v>27059</v>
      </c>
      <c r="D74" s="97">
        <v>127693</v>
      </c>
      <c r="E74" s="97">
        <f t="shared" si="9"/>
        <v>100634</v>
      </c>
      <c r="F74" s="98">
        <f t="shared" si="10"/>
        <v>3.7190583539672568</v>
      </c>
    </row>
    <row r="75" spans="1:6" ht="18" customHeight="1" x14ac:dyDescent="0.25">
      <c r="A75" s="99">
        <v>6</v>
      </c>
      <c r="B75" s="100" t="s">
        <v>117</v>
      </c>
      <c r="C75" s="97">
        <v>38209354</v>
      </c>
      <c r="D75" s="97">
        <v>45052861</v>
      </c>
      <c r="E75" s="97">
        <f t="shared" si="9"/>
        <v>6843507</v>
      </c>
      <c r="F75" s="98">
        <f t="shared" si="10"/>
        <v>0.17910554049147231</v>
      </c>
    </row>
    <row r="76" spans="1:6" ht="18" customHeight="1" x14ac:dyDescent="0.25">
      <c r="A76" s="99">
        <v>7</v>
      </c>
      <c r="B76" s="100" t="s">
        <v>118</v>
      </c>
      <c r="C76" s="97">
        <v>72160796</v>
      </c>
      <c r="D76" s="97">
        <v>76576379</v>
      </c>
      <c r="E76" s="97">
        <f t="shared" si="9"/>
        <v>4415583</v>
      </c>
      <c r="F76" s="98">
        <f t="shared" si="10"/>
        <v>6.1190885422051054E-2</v>
      </c>
    </row>
    <row r="77" spans="1:6" ht="18" customHeight="1" x14ac:dyDescent="0.25">
      <c r="A77" s="99">
        <v>8</v>
      </c>
      <c r="B77" s="100" t="s">
        <v>119</v>
      </c>
      <c r="C77" s="97">
        <v>3898777</v>
      </c>
      <c r="D77" s="97">
        <v>3783574</v>
      </c>
      <c r="E77" s="97">
        <f t="shared" si="9"/>
        <v>-115203</v>
      </c>
      <c r="F77" s="98">
        <f t="shared" si="10"/>
        <v>-2.9548496874789196E-2</v>
      </c>
    </row>
    <row r="78" spans="1:6" ht="18" customHeight="1" x14ac:dyDescent="0.25">
      <c r="A78" s="99">
        <v>9</v>
      </c>
      <c r="B78" s="100" t="s">
        <v>120</v>
      </c>
      <c r="C78" s="97">
        <v>2704180</v>
      </c>
      <c r="D78" s="97">
        <v>3692459</v>
      </c>
      <c r="E78" s="97">
        <f t="shared" si="9"/>
        <v>988279</v>
      </c>
      <c r="F78" s="98">
        <f t="shared" si="10"/>
        <v>0.36546346766857235</v>
      </c>
    </row>
    <row r="79" spans="1:6" ht="18" customHeight="1" x14ac:dyDescent="0.25">
      <c r="A79" s="99">
        <v>10</v>
      </c>
      <c r="B79" s="100" t="s">
        <v>121</v>
      </c>
      <c r="C79" s="97">
        <v>144267</v>
      </c>
      <c r="D79" s="97">
        <v>0</v>
      </c>
      <c r="E79" s="97">
        <f t="shared" si="9"/>
        <v>-144267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654893</v>
      </c>
      <c r="D80" s="97">
        <v>679764</v>
      </c>
      <c r="E80" s="97">
        <f t="shared" si="9"/>
        <v>24871</v>
      </c>
      <c r="F80" s="98">
        <f t="shared" si="10"/>
        <v>3.7977196274811303E-2</v>
      </c>
    </row>
    <row r="81" spans="1:6" ht="18" customHeight="1" x14ac:dyDescent="0.25">
      <c r="A81" s="101"/>
      <c r="B81" s="102" t="s">
        <v>133</v>
      </c>
      <c r="C81" s="103">
        <f>SUM(C70:C80)</f>
        <v>142799576</v>
      </c>
      <c r="D81" s="103">
        <f>SUM(D70:D80)</f>
        <v>159549280</v>
      </c>
      <c r="E81" s="103">
        <f t="shared" si="9"/>
        <v>16749704</v>
      </c>
      <c r="F81" s="104">
        <f t="shared" si="10"/>
        <v>0.11729519420982035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69007816</v>
      </c>
      <c r="D84" s="103">
        <f t="shared" si="11"/>
        <v>69721092</v>
      </c>
      <c r="E84" s="103">
        <f t="shared" ref="E84:E95" si="12">D84-C84</f>
        <v>713276</v>
      </c>
      <c r="F84" s="104">
        <f t="shared" ref="F84:F95" si="13">IF(C84=0,0,E84/C84)</f>
        <v>1.0336162500781071E-2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5897703</v>
      </c>
      <c r="D85" s="103">
        <f t="shared" si="11"/>
        <v>8348517</v>
      </c>
      <c r="E85" s="103">
        <f t="shared" si="12"/>
        <v>2450814</v>
      </c>
      <c r="F85" s="104">
        <f t="shared" si="13"/>
        <v>0.4155539877135217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1265608</v>
      </c>
      <c r="D86" s="103">
        <f t="shared" si="11"/>
        <v>4100553</v>
      </c>
      <c r="E86" s="103">
        <f t="shared" si="12"/>
        <v>2834945</v>
      </c>
      <c r="F86" s="104">
        <f t="shared" si="13"/>
        <v>2.2399866309315364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3074708</v>
      </c>
      <c r="D87" s="103">
        <f t="shared" si="11"/>
        <v>2793581</v>
      </c>
      <c r="E87" s="103">
        <f t="shared" si="12"/>
        <v>-281127</v>
      </c>
      <c r="F87" s="104">
        <f t="shared" si="13"/>
        <v>-9.1432096966606258E-2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37467</v>
      </c>
      <c r="D88" s="103">
        <f t="shared" si="11"/>
        <v>147774</v>
      </c>
      <c r="E88" s="103">
        <f t="shared" si="12"/>
        <v>110307</v>
      </c>
      <c r="F88" s="104">
        <f t="shared" si="13"/>
        <v>2.9441108175194173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59096373</v>
      </c>
      <c r="D89" s="103">
        <f t="shared" si="11"/>
        <v>68297323</v>
      </c>
      <c r="E89" s="103">
        <f t="shared" si="12"/>
        <v>9200950</v>
      </c>
      <c r="F89" s="104">
        <f t="shared" si="13"/>
        <v>0.15569398819111963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117697421</v>
      </c>
      <c r="D90" s="103">
        <f t="shared" si="11"/>
        <v>124274884</v>
      </c>
      <c r="E90" s="103">
        <f t="shared" si="12"/>
        <v>6577463</v>
      </c>
      <c r="F90" s="104">
        <f t="shared" si="13"/>
        <v>5.588451254169792E-2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6543629</v>
      </c>
      <c r="D91" s="103">
        <f t="shared" si="11"/>
        <v>6000617</v>
      </c>
      <c r="E91" s="103">
        <f t="shared" si="12"/>
        <v>-543012</v>
      </c>
      <c r="F91" s="104">
        <f t="shared" si="13"/>
        <v>-8.2983310942597754E-2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3589710</v>
      </c>
      <c r="D92" s="103">
        <f t="shared" si="11"/>
        <v>4699011</v>
      </c>
      <c r="E92" s="103">
        <f t="shared" si="12"/>
        <v>1109301</v>
      </c>
      <c r="F92" s="104">
        <f t="shared" si="13"/>
        <v>0.30902245585297977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216066</v>
      </c>
      <c r="D93" s="103">
        <f t="shared" si="11"/>
        <v>0</v>
      </c>
      <c r="E93" s="103">
        <f t="shared" si="12"/>
        <v>-216066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3975021</v>
      </c>
      <c r="D94" s="103">
        <f t="shared" si="11"/>
        <v>2919430</v>
      </c>
      <c r="E94" s="103">
        <f t="shared" si="12"/>
        <v>-1055591</v>
      </c>
      <c r="F94" s="104">
        <f t="shared" si="13"/>
        <v>-0.26555608133894137</v>
      </c>
    </row>
    <row r="95" spans="1:6" ht="18.75" customHeight="1" thickBot="1" x14ac:dyDescent="0.3">
      <c r="A95" s="115"/>
      <c r="B95" s="116" t="s">
        <v>134</v>
      </c>
      <c r="C95" s="112">
        <f>SUM(C84:C94)</f>
        <v>270401522</v>
      </c>
      <c r="D95" s="112">
        <f>SUM(D84:D94)</f>
        <v>291302782</v>
      </c>
      <c r="E95" s="112">
        <f t="shared" si="12"/>
        <v>20901260</v>
      </c>
      <c r="F95" s="113">
        <f t="shared" si="13"/>
        <v>7.7297124089412486E-2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4718</v>
      </c>
      <c r="D100" s="117">
        <v>4769</v>
      </c>
      <c r="E100" s="117">
        <f t="shared" ref="E100:E111" si="14">D100-C100</f>
        <v>51</v>
      </c>
      <c r="F100" s="98">
        <f t="shared" ref="F100:F111" si="15">IF(C100=0,0,E100/C100)</f>
        <v>1.0809665112335736E-2</v>
      </c>
    </row>
    <row r="101" spans="1:6" ht="18" customHeight="1" x14ac:dyDescent="0.25">
      <c r="A101" s="99">
        <v>2</v>
      </c>
      <c r="B101" s="100" t="s">
        <v>113</v>
      </c>
      <c r="C101" s="117">
        <v>551</v>
      </c>
      <c r="D101" s="117">
        <v>486</v>
      </c>
      <c r="E101" s="117">
        <f t="shared" si="14"/>
        <v>-65</v>
      </c>
      <c r="F101" s="98">
        <f t="shared" si="15"/>
        <v>-0.11796733212341198</v>
      </c>
    </row>
    <row r="102" spans="1:6" ht="18" customHeight="1" x14ac:dyDescent="0.25">
      <c r="A102" s="99">
        <v>3</v>
      </c>
      <c r="B102" s="100" t="s">
        <v>114</v>
      </c>
      <c r="C102" s="117">
        <v>341</v>
      </c>
      <c r="D102" s="117">
        <v>289</v>
      </c>
      <c r="E102" s="117">
        <f t="shared" si="14"/>
        <v>-52</v>
      </c>
      <c r="F102" s="98">
        <f t="shared" si="15"/>
        <v>-0.15249266862170088</v>
      </c>
    </row>
    <row r="103" spans="1:6" ht="18" customHeight="1" x14ac:dyDescent="0.25">
      <c r="A103" s="99">
        <v>4</v>
      </c>
      <c r="B103" s="100" t="s">
        <v>115</v>
      </c>
      <c r="C103" s="117">
        <v>176</v>
      </c>
      <c r="D103" s="117">
        <v>156</v>
      </c>
      <c r="E103" s="117">
        <f t="shared" si="14"/>
        <v>-20</v>
      </c>
      <c r="F103" s="98">
        <f t="shared" si="15"/>
        <v>-0.11363636363636363</v>
      </c>
    </row>
    <row r="104" spans="1:6" ht="18" customHeight="1" x14ac:dyDescent="0.25">
      <c r="A104" s="99">
        <v>5</v>
      </c>
      <c r="B104" s="100" t="s">
        <v>116</v>
      </c>
      <c r="C104" s="117">
        <v>6</v>
      </c>
      <c r="D104" s="117">
        <v>4</v>
      </c>
      <c r="E104" s="117">
        <f t="shared" si="14"/>
        <v>-2</v>
      </c>
      <c r="F104" s="98">
        <f t="shared" si="15"/>
        <v>-0.33333333333333331</v>
      </c>
    </row>
    <row r="105" spans="1:6" ht="18" customHeight="1" x14ac:dyDescent="0.25">
      <c r="A105" s="99">
        <v>6</v>
      </c>
      <c r="B105" s="100" t="s">
        <v>117</v>
      </c>
      <c r="C105" s="117">
        <v>2441</v>
      </c>
      <c r="D105" s="117">
        <v>2572</v>
      </c>
      <c r="E105" s="117">
        <f t="shared" si="14"/>
        <v>131</v>
      </c>
      <c r="F105" s="98">
        <f t="shared" si="15"/>
        <v>5.3666530110610407E-2</v>
      </c>
    </row>
    <row r="106" spans="1:6" ht="18" customHeight="1" x14ac:dyDescent="0.25">
      <c r="A106" s="99">
        <v>7</v>
      </c>
      <c r="B106" s="100" t="s">
        <v>118</v>
      </c>
      <c r="C106" s="117">
        <v>4757</v>
      </c>
      <c r="D106" s="117">
        <v>4527</v>
      </c>
      <c r="E106" s="117">
        <f t="shared" si="14"/>
        <v>-230</v>
      </c>
      <c r="F106" s="98">
        <f t="shared" si="15"/>
        <v>-4.8349800294303129E-2</v>
      </c>
    </row>
    <row r="107" spans="1:6" ht="18" customHeight="1" x14ac:dyDescent="0.25">
      <c r="A107" s="99">
        <v>8</v>
      </c>
      <c r="B107" s="100" t="s">
        <v>119</v>
      </c>
      <c r="C107" s="117">
        <v>51</v>
      </c>
      <c r="D107" s="117">
        <v>52</v>
      </c>
      <c r="E107" s="117">
        <f t="shared" si="14"/>
        <v>1</v>
      </c>
      <c r="F107" s="98">
        <f t="shared" si="15"/>
        <v>1.9607843137254902E-2</v>
      </c>
    </row>
    <row r="108" spans="1:6" ht="18" customHeight="1" x14ac:dyDescent="0.25">
      <c r="A108" s="99">
        <v>9</v>
      </c>
      <c r="B108" s="100" t="s">
        <v>120</v>
      </c>
      <c r="C108" s="117">
        <v>333</v>
      </c>
      <c r="D108" s="117">
        <v>290</v>
      </c>
      <c r="E108" s="117">
        <f t="shared" si="14"/>
        <v>-43</v>
      </c>
      <c r="F108" s="98">
        <f t="shared" si="15"/>
        <v>-0.12912912912912913</v>
      </c>
    </row>
    <row r="109" spans="1:6" ht="18" customHeight="1" x14ac:dyDescent="0.25">
      <c r="A109" s="99">
        <v>10</v>
      </c>
      <c r="B109" s="100" t="s">
        <v>121</v>
      </c>
      <c r="C109" s="117">
        <v>15</v>
      </c>
      <c r="D109" s="117">
        <v>0</v>
      </c>
      <c r="E109" s="117">
        <f t="shared" si="14"/>
        <v>-15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238</v>
      </c>
      <c r="D110" s="117">
        <v>334</v>
      </c>
      <c r="E110" s="117">
        <f t="shared" si="14"/>
        <v>96</v>
      </c>
      <c r="F110" s="98">
        <f t="shared" si="15"/>
        <v>0.40336134453781514</v>
      </c>
    </row>
    <row r="111" spans="1:6" ht="18" customHeight="1" x14ac:dyDescent="0.25">
      <c r="A111" s="101"/>
      <c r="B111" s="102" t="s">
        <v>138</v>
      </c>
      <c r="C111" s="118">
        <f>SUM(C100:C110)</f>
        <v>13627</v>
      </c>
      <c r="D111" s="118">
        <f>SUM(D100:D110)</f>
        <v>13479</v>
      </c>
      <c r="E111" s="118">
        <f t="shared" si="14"/>
        <v>-148</v>
      </c>
      <c r="F111" s="104">
        <f t="shared" si="15"/>
        <v>-1.0860791076539224E-2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22558</v>
      </c>
      <c r="D113" s="117">
        <v>22667</v>
      </c>
      <c r="E113" s="117">
        <f t="shared" ref="E113:E124" si="16">D113-C113</f>
        <v>109</v>
      </c>
      <c r="F113" s="98">
        <f t="shared" ref="F113:F124" si="17">IF(C113=0,0,E113/C113)</f>
        <v>4.8319886514761948E-3</v>
      </c>
    </row>
    <row r="114" spans="1:6" ht="18" customHeight="1" x14ac:dyDescent="0.25">
      <c r="A114" s="99">
        <v>2</v>
      </c>
      <c r="B114" s="100" t="s">
        <v>113</v>
      </c>
      <c r="C114" s="117">
        <v>2664</v>
      </c>
      <c r="D114" s="117">
        <v>2461</v>
      </c>
      <c r="E114" s="117">
        <f t="shared" si="16"/>
        <v>-203</v>
      </c>
      <c r="F114" s="98">
        <f t="shared" si="17"/>
        <v>-7.6201201201201205E-2</v>
      </c>
    </row>
    <row r="115" spans="1:6" ht="18" customHeight="1" x14ac:dyDescent="0.25">
      <c r="A115" s="99">
        <v>3</v>
      </c>
      <c r="B115" s="100" t="s">
        <v>114</v>
      </c>
      <c r="C115" s="117">
        <v>1163</v>
      </c>
      <c r="D115" s="117">
        <v>1013</v>
      </c>
      <c r="E115" s="117">
        <f t="shared" si="16"/>
        <v>-150</v>
      </c>
      <c r="F115" s="98">
        <f t="shared" si="17"/>
        <v>-0.12897678417884781</v>
      </c>
    </row>
    <row r="116" spans="1:6" ht="18" customHeight="1" x14ac:dyDescent="0.25">
      <c r="A116" s="99">
        <v>4</v>
      </c>
      <c r="B116" s="100" t="s">
        <v>115</v>
      </c>
      <c r="C116" s="117">
        <v>646</v>
      </c>
      <c r="D116" s="117">
        <v>498</v>
      </c>
      <c r="E116" s="117">
        <f t="shared" si="16"/>
        <v>-148</v>
      </c>
      <c r="F116" s="98">
        <f t="shared" si="17"/>
        <v>-0.22910216718266255</v>
      </c>
    </row>
    <row r="117" spans="1:6" ht="18" customHeight="1" x14ac:dyDescent="0.25">
      <c r="A117" s="99">
        <v>5</v>
      </c>
      <c r="B117" s="100" t="s">
        <v>116</v>
      </c>
      <c r="C117" s="117">
        <v>19</v>
      </c>
      <c r="D117" s="117">
        <v>7</v>
      </c>
      <c r="E117" s="117">
        <f t="shared" si="16"/>
        <v>-12</v>
      </c>
      <c r="F117" s="98">
        <f t="shared" si="17"/>
        <v>-0.63157894736842102</v>
      </c>
    </row>
    <row r="118" spans="1:6" ht="18" customHeight="1" x14ac:dyDescent="0.25">
      <c r="A118" s="99">
        <v>6</v>
      </c>
      <c r="B118" s="100" t="s">
        <v>117</v>
      </c>
      <c r="C118" s="117">
        <v>8219</v>
      </c>
      <c r="D118" s="117">
        <v>8527</v>
      </c>
      <c r="E118" s="117">
        <f t="shared" si="16"/>
        <v>308</v>
      </c>
      <c r="F118" s="98">
        <f t="shared" si="17"/>
        <v>3.7474145273147588E-2</v>
      </c>
    </row>
    <row r="119" spans="1:6" ht="18" customHeight="1" x14ac:dyDescent="0.25">
      <c r="A119" s="99">
        <v>7</v>
      </c>
      <c r="B119" s="100" t="s">
        <v>118</v>
      </c>
      <c r="C119" s="117">
        <v>15203</v>
      </c>
      <c r="D119" s="117">
        <v>14756</v>
      </c>
      <c r="E119" s="117">
        <f t="shared" si="16"/>
        <v>-447</v>
      </c>
      <c r="F119" s="98">
        <f t="shared" si="17"/>
        <v>-2.9402091692429126E-2</v>
      </c>
    </row>
    <row r="120" spans="1:6" ht="18" customHeight="1" x14ac:dyDescent="0.25">
      <c r="A120" s="99">
        <v>8</v>
      </c>
      <c r="B120" s="100" t="s">
        <v>119</v>
      </c>
      <c r="C120" s="117">
        <v>193</v>
      </c>
      <c r="D120" s="117">
        <v>178</v>
      </c>
      <c r="E120" s="117">
        <f t="shared" si="16"/>
        <v>-15</v>
      </c>
      <c r="F120" s="98">
        <f t="shared" si="17"/>
        <v>-7.7720207253886009E-2</v>
      </c>
    </row>
    <row r="121" spans="1:6" ht="18" customHeight="1" x14ac:dyDescent="0.25">
      <c r="A121" s="99">
        <v>9</v>
      </c>
      <c r="B121" s="100" t="s">
        <v>120</v>
      </c>
      <c r="C121" s="117">
        <v>1005</v>
      </c>
      <c r="D121" s="117">
        <v>694</v>
      </c>
      <c r="E121" s="117">
        <f t="shared" si="16"/>
        <v>-311</v>
      </c>
      <c r="F121" s="98">
        <f t="shared" si="17"/>
        <v>-0.30945273631840797</v>
      </c>
    </row>
    <row r="122" spans="1:6" ht="18" customHeight="1" x14ac:dyDescent="0.25">
      <c r="A122" s="99">
        <v>10</v>
      </c>
      <c r="B122" s="100" t="s">
        <v>121</v>
      </c>
      <c r="C122" s="117">
        <v>53</v>
      </c>
      <c r="D122" s="117">
        <v>0</v>
      </c>
      <c r="E122" s="117">
        <f t="shared" si="16"/>
        <v>-53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1336</v>
      </c>
      <c r="D123" s="117">
        <v>1837</v>
      </c>
      <c r="E123" s="117">
        <f t="shared" si="16"/>
        <v>501</v>
      </c>
      <c r="F123" s="98">
        <f t="shared" si="17"/>
        <v>0.375</v>
      </c>
    </row>
    <row r="124" spans="1:6" ht="18" customHeight="1" x14ac:dyDescent="0.25">
      <c r="A124" s="101"/>
      <c r="B124" s="102" t="s">
        <v>140</v>
      </c>
      <c r="C124" s="118">
        <f>SUM(C113:C123)</f>
        <v>53059</v>
      </c>
      <c r="D124" s="118">
        <f>SUM(D113:D123)</f>
        <v>52638</v>
      </c>
      <c r="E124" s="118">
        <f t="shared" si="16"/>
        <v>-421</v>
      </c>
      <c r="F124" s="104">
        <f t="shared" si="17"/>
        <v>-7.9345634105429802E-3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104149</v>
      </c>
      <c r="D126" s="117">
        <v>106110</v>
      </c>
      <c r="E126" s="117">
        <f t="shared" ref="E126:E137" si="18">D126-C126</f>
        <v>1961</v>
      </c>
      <c r="F126" s="98">
        <f t="shared" ref="F126:F137" si="19">IF(C126=0,0,E126/C126)</f>
        <v>1.8828793363354426E-2</v>
      </c>
    </row>
    <row r="127" spans="1:6" ht="18" customHeight="1" x14ac:dyDescent="0.25">
      <c r="A127" s="99">
        <v>2</v>
      </c>
      <c r="B127" s="100" t="s">
        <v>113</v>
      </c>
      <c r="C127" s="117">
        <v>7130</v>
      </c>
      <c r="D127" s="117">
        <v>7212</v>
      </c>
      <c r="E127" s="117">
        <f t="shared" si="18"/>
        <v>82</v>
      </c>
      <c r="F127" s="98">
        <f t="shared" si="19"/>
        <v>1.150070126227209E-2</v>
      </c>
    </row>
    <row r="128" spans="1:6" ht="18" customHeight="1" x14ac:dyDescent="0.25">
      <c r="A128" s="99">
        <v>3</v>
      </c>
      <c r="B128" s="100" t="s">
        <v>114</v>
      </c>
      <c r="C128" s="117">
        <v>4780</v>
      </c>
      <c r="D128" s="117">
        <v>7668</v>
      </c>
      <c r="E128" s="117">
        <f t="shared" si="18"/>
        <v>2888</v>
      </c>
      <c r="F128" s="98">
        <f t="shared" si="19"/>
        <v>0.60418410041841009</v>
      </c>
    </row>
    <row r="129" spans="1:6" ht="18" customHeight="1" x14ac:dyDescent="0.25">
      <c r="A129" s="99">
        <v>4</v>
      </c>
      <c r="B129" s="100" t="s">
        <v>115</v>
      </c>
      <c r="C129" s="117">
        <v>14441</v>
      </c>
      <c r="D129" s="117">
        <v>13724</v>
      </c>
      <c r="E129" s="117">
        <f t="shared" si="18"/>
        <v>-717</v>
      </c>
      <c r="F129" s="98">
        <f t="shared" si="19"/>
        <v>-4.9650301225676895E-2</v>
      </c>
    </row>
    <row r="130" spans="1:6" ht="18" customHeight="1" x14ac:dyDescent="0.25">
      <c r="A130" s="99">
        <v>5</v>
      </c>
      <c r="B130" s="100" t="s">
        <v>116</v>
      </c>
      <c r="C130" s="117">
        <v>256</v>
      </c>
      <c r="D130" s="117">
        <v>138</v>
      </c>
      <c r="E130" s="117">
        <f t="shared" si="18"/>
        <v>-118</v>
      </c>
      <c r="F130" s="98">
        <f t="shared" si="19"/>
        <v>-0.4609375</v>
      </c>
    </row>
    <row r="131" spans="1:6" ht="18" customHeight="1" x14ac:dyDescent="0.25">
      <c r="A131" s="99">
        <v>6</v>
      </c>
      <c r="B131" s="100" t="s">
        <v>117</v>
      </c>
      <c r="C131" s="117">
        <v>65860</v>
      </c>
      <c r="D131" s="117">
        <v>68590</v>
      </c>
      <c r="E131" s="117">
        <f t="shared" si="18"/>
        <v>2730</v>
      </c>
      <c r="F131" s="98">
        <f t="shared" si="19"/>
        <v>4.1451563923474037E-2</v>
      </c>
    </row>
    <row r="132" spans="1:6" ht="18" customHeight="1" x14ac:dyDescent="0.25">
      <c r="A132" s="99">
        <v>7</v>
      </c>
      <c r="B132" s="100" t="s">
        <v>118</v>
      </c>
      <c r="C132" s="117">
        <v>167237</v>
      </c>
      <c r="D132" s="117">
        <v>160294</v>
      </c>
      <c r="E132" s="117">
        <f t="shared" si="18"/>
        <v>-6943</v>
      </c>
      <c r="F132" s="98">
        <f t="shared" si="19"/>
        <v>-4.1515932479056668E-2</v>
      </c>
    </row>
    <row r="133" spans="1:6" ht="18" customHeight="1" x14ac:dyDescent="0.25">
      <c r="A133" s="99">
        <v>8</v>
      </c>
      <c r="B133" s="100" t="s">
        <v>119</v>
      </c>
      <c r="C133" s="117">
        <v>4964</v>
      </c>
      <c r="D133" s="117">
        <v>4089</v>
      </c>
      <c r="E133" s="117">
        <f t="shared" si="18"/>
        <v>-875</v>
      </c>
      <c r="F133" s="98">
        <f t="shared" si="19"/>
        <v>-0.17626913779210315</v>
      </c>
    </row>
    <row r="134" spans="1:6" ht="18" customHeight="1" x14ac:dyDescent="0.25">
      <c r="A134" s="99">
        <v>9</v>
      </c>
      <c r="B134" s="100" t="s">
        <v>120</v>
      </c>
      <c r="C134" s="117">
        <v>42715</v>
      </c>
      <c r="D134" s="117">
        <v>37508</v>
      </c>
      <c r="E134" s="117">
        <f t="shared" si="18"/>
        <v>-5207</v>
      </c>
      <c r="F134" s="98">
        <f t="shared" si="19"/>
        <v>-0.1219009715556596</v>
      </c>
    </row>
    <row r="135" spans="1:6" ht="18" customHeight="1" x14ac:dyDescent="0.25">
      <c r="A135" s="99">
        <v>10</v>
      </c>
      <c r="B135" s="100" t="s">
        <v>121</v>
      </c>
      <c r="C135" s="117">
        <v>1610</v>
      </c>
      <c r="D135" s="117">
        <v>0</v>
      </c>
      <c r="E135" s="117">
        <f t="shared" si="18"/>
        <v>-1610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310</v>
      </c>
      <c r="D136" s="117">
        <v>195</v>
      </c>
      <c r="E136" s="117">
        <f t="shared" si="18"/>
        <v>-115</v>
      </c>
      <c r="F136" s="98">
        <f t="shared" si="19"/>
        <v>-0.37096774193548387</v>
      </c>
    </row>
    <row r="137" spans="1:6" ht="18" customHeight="1" x14ac:dyDescent="0.25">
      <c r="A137" s="101"/>
      <c r="B137" s="102" t="s">
        <v>143</v>
      </c>
      <c r="C137" s="118">
        <f>SUM(C126:C136)</f>
        <v>413452</v>
      </c>
      <c r="D137" s="118">
        <f>SUM(D126:D136)</f>
        <v>405528</v>
      </c>
      <c r="E137" s="118">
        <f t="shared" si="18"/>
        <v>-7924</v>
      </c>
      <c r="F137" s="104">
        <f t="shared" si="19"/>
        <v>-1.9165465398643614E-2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14495623</v>
      </c>
      <c r="D142" s="97">
        <v>20347528</v>
      </c>
      <c r="E142" s="97">
        <f t="shared" ref="E142:E153" si="20">D142-C142</f>
        <v>5851905</v>
      </c>
      <c r="F142" s="98">
        <f t="shared" ref="F142:F153" si="21">IF(C142=0,0,E142/C142)</f>
        <v>0.40370151734768489</v>
      </c>
    </row>
    <row r="143" spans="1:6" ht="18" customHeight="1" x14ac:dyDescent="0.25">
      <c r="A143" s="99">
        <v>2</v>
      </c>
      <c r="B143" s="100" t="s">
        <v>113</v>
      </c>
      <c r="C143" s="97">
        <v>1509843</v>
      </c>
      <c r="D143" s="97">
        <v>2576694</v>
      </c>
      <c r="E143" s="97">
        <f t="shared" si="20"/>
        <v>1066851</v>
      </c>
      <c r="F143" s="98">
        <f t="shared" si="21"/>
        <v>0.70659730846187319</v>
      </c>
    </row>
    <row r="144" spans="1:6" ht="18" customHeight="1" x14ac:dyDescent="0.25">
      <c r="A144" s="99">
        <v>3</v>
      </c>
      <c r="B144" s="100" t="s">
        <v>114</v>
      </c>
      <c r="C144" s="97">
        <v>1312662</v>
      </c>
      <c r="D144" s="97">
        <v>2823880</v>
      </c>
      <c r="E144" s="97">
        <f t="shared" si="20"/>
        <v>1511218</v>
      </c>
      <c r="F144" s="98">
        <f t="shared" si="21"/>
        <v>1.1512620918408547</v>
      </c>
    </row>
    <row r="145" spans="1:6" ht="18" customHeight="1" x14ac:dyDescent="0.25">
      <c r="A145" s="99">
        <v>4</v>
      </c>
      <c r="B145" s="100" t="s">
        <v>115</v>
      </c>
      <c r="C145" s="97">
        <v>5261917</v>
      </c>
      <c r="D145" s="97">
        <v>5610277</v>
      </c>
      <c r="E145" s="97">
        <f t="shared" si="20"/>
        <v>348360</v>
      </c>
      <c r="F145" s="98">
        <f t="shared" si="21"/>
        <v>6.6204008919182877E-2</v>
      </c>
    </row>
    <row r="146" spans="1:6" ht="18" customHeight="1" x14ac:dyDescent="0.25">
      <c r="A146" s="99">
        <v>5</v>
      </c>
      <c r="B146" s="100" t="s">
        <v>116</v>
      </c>
      <c r="C146" s="97">
        <v>135210</v>
      </c>
      <c r="D146" s="97">
        <v>168272</v>
      </c>
      <c r="E146" s="97">
        <f t="shared" si="20"/>
        <v>33062</v>
      </c>
      <c r="F146" s="98">
        <f t="shared" si="21"/>
        <v>0.24452333407292359</v>
      </c>
    </row>
    <row r="147" spans="1:6" ht="18" customHeight="1" x14ac:dyDescent="0.25">
      <c r="A147" s="99">
        <v>6</v>
      </c>
      <c r="B147" s="100" t="s">
        <v>117</v>
      </c>
      <c r="C147" s="97">
        <v>15320966</v>
      </c>
      <c r="D147" s="97">
        <v>17457340</v>
      </c>
      <c r="E147" s="97">
        <f t="shared" si="20"/>
        <v>2136374</v>
      </c>
      <c r="F147" s="98">
        <f t="shared" si="21"/>
        <v>0.13944120755832237</v>
      </c>
    </row>
    <row r="148" spans="1:6" ht="18" customHeight="1" x14ac:dyDescent="0.25">
      <c r="A148" s="99">
        <v>7</v>
      </c>
      <c r="B148" s="100" t="s">
        <v>118</v>
      </c>
      <c r="C148" s="97">
        <v>38605229</v>
      </c>
      <c r="D148" s="97">
        <v>42943668</v>
      </c>
      <c r="E148" s="97">
        <f t="shared" si="20"/>
        <v>4338439</v>
      </c>
      <c r="F148" s="98">
        <f t="shared" si="21"/>
        <v>0.11237956909930517</v>
      </c>
    </row>
    <row r="149" spans="1:6" ht="18" customHeight="1" x14ac:dyDescent="0.25">
      <c r="A149" s="99">
        <v>8</v>
      </c>
      <c r="B149" s="100" t="s">
        <v>119</v>
      </c>
      <c r="C149" s="97">
        <v>2566170</v>
      </c>
      <c r="D149" s="97">
        <v>2338506</v>
      </c>
      <c r="E149" s="97">
        <f t="shared" si="20"/>
        <v>-227664</v>
      </c>
      <c r="F149" s="98">
        <f t="shared" si="21"/>
        <v>-8.8717427138498228E-2</v>
      </c>
    </row>
    <row r="150" spans="1:6" ht="18" customHeight="1" x14ac:dyDescent="0.25">
      <c r="A150" s="99">
        <v>9</v>
      </c>
      <c r="B150" s="100" t="s">
        <v>120</v>
      </c>
      <c r="C150" s="97">
        <v>12002690</v>
      </c>
      <c r="D150" s="97">
        <v>13207718</v>
      </c>
      <c r="E150" s="97">
        <f t="shared" si="20"/>
        <v>1205028</v>
      </c>
      <c r="F150" s="98">
        <f t="shared" si="21"/>
        <v>0.10039649445249356</v>
      </c>
    </row>
    <row r="151" spans="1:6" ht="18" customHeight="1" x14ac:dyDescent="0.25">
      <c r="A151" s="99">
        <v>10</v>
      </c>
      <c r="B151" s="100" t="s">
        <v>121</v>
      </c>
      <c r="C151" s="97">
        <v>861963</v>
      </c>
      <c r="D151" s="97">
        <v>0</v>
      </c>
      <c r="E151" s="97">
        <f t="shared" si="20"/>
        <v>-861963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7261896</v>
      </c>
      <c r="D152" s="97">
        <v>6987816</v>
      </c>
      <c r="E152" s="97">
        <f t="shared" si="20"/>
        <v>-274080</v>
      </c>
      <c r="F152" s="98">
        <f t="shared" si="21"/>
        <v>-3.7742209472567498E-2</v>
      </c>
    </row>
    <row r="153" spans="1:6" ht="33.75" customHeight="1" x14ac:dyDescent="0.25">
      <c r="A153" s="101"/>
      <c r="B153" s="102" t="s">
        <v>147</v>
      </c>
      <c r="C153" s="103">
        <f>SUM(C142:C152)</f>
        <v>99334169</v>
      </c>
      <c r="D153" s="103">
        <f>SUM(D142:D152)</f>
        <v>114461699</v>
      </c>
      <c r="E153" s="103">
        <f t="shared" si="20"/>
        <v>15127530</v>
      </c>
      <c r="F153" s="104">
        <f t="shared" si="21"/>
        <v>0.15228928929782459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4997655</v>
      </c>
      <c r="D155" s="97">
        <v>3768103</v>
      </c>
      <c r="E155" s="97">
        <f t="shared" ref="E155:E166" si="22">D155-C155</f>
        <v>-1229552</v>
      </c>
      <c r="F155" s="98">
        <f t="shared" ref="F155:F166" si="23">IF(C155=0,0,E155/C155)</f>
        <v>-0.24602578609367792</v>
      </c>
    </row>
    <row r="156" spans="1:6" ht="18" customHeight="1" x14ac:dyDescent="0.25">
      <c r="A156" s="99">
        <v>2</v>
      </c>
      <c r="B156" s="100" t="s">
        <v>113</v>
      </c>
      <c r="C156" s="97">
        <v>520549</v>
      </c>
      <c r="D156" s="97">
        <v>577017</v>
      </c>
      <c r="E156" s="97">
        <f t="shared" si="22"/>
        <v>56468</v>
      </c>
      <c r="F156" s="98">
        <f t="shared" si="23"/>
        <v>0.10847778018976119</v>
      </c>
    </row>
    <row r="157" spans="1:6" ht="18" customHeight="1" x14ac:dyDescent="0.25">
      <c r="A157" s="99">
        <v>3</v>
      </c>
      <c r="B157" s="100" t="s">
        <v>114</v>
      </c>
      <c r="C157" s="97">
        <v>452566</v>
      </c>
      <c r="D157" s="97">
        <v>353804</v>
      </c>
      <c r="E157" s="97">
        <f t="shared" si="22"/>
        <v>-98762</v>
      </c>
      <c r="F157" s="98">
        <f t="shared" si="23"/>
        <v>-0.2182267337802663</v>
      </c>
    </row>
    <row r="158" spans="1:6" ht="18" customHeight="1" x14ac:dyDescent="0.25">
      <c r="A158" s="99">
        <v>4</v>
      </c>
      <c r="B158" s="100" t="s">
        <v>115</v>
      </c>
      <c r="C158" s="97">
        <v>1814151</v>
      </c>
      <c r="D158" s="97">
        <v>853852</v>
      </c>
      <c r="E158" s="97">
        <f t="shared" si="22"/>
        <v>-960299</v>
      </c>
      <c r="F158" s="98">
        <f t="shared" si="23"/>
        <v>-0.52933796580328762</v>
      </c>
    </row>
    <row r="159" spans="1:6" ht="18" customHeight="1" x14ac:dyDescent="0.25">
      <c r="A159" s="99">
        <v>5</v>
      </c>
      <c r="B159" s="100" t="s">
        <v>116</v>
      </c>
      <c r="C159" s="97">
        <v>46616</v>
      </c>
      <c r="D159" s="97">
        <v>39133</v>
      </c>
      <c r="E159" s="97">
        <f t="shared" si="22"/>
        <v>-7483</v>
      </c>
      <c r="F159" s="98">
        <f t="shared" si="23"/>
        <v>-0.16052428350780848</v>
      </c>
    </row>
    <row r="160" spans="1:6" ht="18" customHeight="1" x14ac:dyDescent="0.25">
      <c r="A160" s="99">
        <v>6</v>
      </c>
      <c r="B160" s="100" t="s">
        <v>117</v>
      </c>
      <c r="C160" s="97">
        <v>5282208</v>
      </c>
      <c r="D160" s="97">
        <v>7948102</v>
      </c>
      <c r="E160" s="97">
        <f t="shared" si="22"/>
        <v>2665894</v>
      </c>
      <c r="F160" s="98">
        <f t="shared" si="23"/>
        <v>0.50469311318297194</v>
      </c>
    </row>
    <row r="161" spans="1:6" ht="18" customHeight="1" x14ac:dyDescent="0.25">
      <c r="A161" s="99">
        <v>7</v>
      </c>
      <c r="B161" s="100" t="s">
        <v>118</v>
      </c>
      <c r="C161" s="97">
        <v>13309921</v>
      </c>
      <c r="D161" s="97">
        <v>21262583</v>
      </c>
      <c r="E161" s="97">
        <f t="shared" si="22"/>
        <v>7952662</v>
      </c>
      <c r="F161" s="98">
        <f t="shared" si="23"/>
        <v>0.59749881310339858</v>
      </c>
    </row>
    <row r="162" spans="1:6" ht="18" customHeight="1" x14ac:dyDescent="0.25">
      <c r="A162" s="99">
        <v>8</v>
      </c>
      <c r="B162" s="100" t="s">
        <v>119</v>
      </c>
      <c r="C162" s="97">
        <v>884738</v>
      </c>
      <c r="D162" s="97">
        <v>1523683</v>
      </c>
      <c r="E162" s="97">
        <f t="shared" si="22"/>
        <v>638945</v>
      </c>
      <c r="F162" s="98">
        <f t="shared" si="23"/>
        <v>0.72218555097667336</v>
      </c>
    </row>
    <row r="163" spans="1:6" ht="18" customHeight="1" x14ac:dyDescent="0.25">
      <c r="A163" s="99">
        <v>9</v>
      </c>
      <c r="B163" s="100" t="s">
        <v>120</v>
      </c>
      <c r="C163" s="97">
        <v>4138167</v>
      </c>
      <c r="D163" s="97">
        <v>927843</v>
      </c>
      <c r="E163" s="97">
        <f t="shared" si="22"/>
        <v>-3210324</v>
      </c>
      <c r="F163" s="98">
        <f t="shared" si="23"/>
        <v>-0.77578406091392638</v>
      </c>
    </row>
    <row r="164" spans="1:6" ht="18" customHeight="1" x14ac:dyDescent="0.25">
      <c r="A164" s="99">
        <v>10</v>
      </c>
      <c r="B164" s="100" t="s">
        <v>121</v>
      </c>
      <c r="C164" s="97">
        <v>297179</v>
      </c>
      <c r="D164" s="97">
        <v>0</v>
      </c>
      <c r="E164" s="97">
        <f t="shared" si="22"/>
        <v>-297179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2503683</v>
      </c>
      <c r="D165" s="97">
        <v>665331</v>
      </c>
      <c r="E165" s="97">
        <f t="shared" si="22"/>
        <v>-1838352</v>
      </c>
      <c r="F165" s="98">
        <f t="shared" si="23"/>
        <v>-0.73425908950933483</v>
      </c>
    </row>
    <row r="166" spans="1:6" ht="33.75" customHeight="1" x14ac:dyDescent="0.25">
      <c r="A166" s="101"/>
      <c r="B166" s="102" t="s">
        <v>149</v>
      </c>
      <c r="C166" s="103">
        <f>SUM(C155:C165)</f>
        <v>34247433</v>
      </c>
      <c r="D166" s="103">
        <f>SUM(D155:D165)</f>
        <v>37919451</v>
      </c>
      <c r="E166" s="103">
        <f t="shared" si="22"/>
        <v>3672018</v>
      </c>
      <c r="F166" s="104">
        <f t="shared" si="23"/>
        <v>0.10722024041918704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5091</v>
      </c>
      <c r="D168" s="117">
        <v>5198</v>
      </c>
      <c r="E168" s="117">
        <f t="shared" ref="E168:E179" si="24">D168-C168</f>
        <v>107</v>
      </c>
      <c r="F168" s="98">
        <f t="shared" ref="F168:F179" si="25">IF(C168=0,0,E168/C168)</f>
        <v>2.1017481830681594E-2</v>
      </c>
    </row>
    <row r="169" spans="1:6" ht="18" customHeight="1" x14ac:dyDescent="0.25">
      <c r="A169" s="99">
        <v>2</v>
      </c>
      <c r="B169" s="100" t="s">
        <v>113</v>
      </c>
      <c r="C169" s="117">
        <v>530</v>
      </c>
      <c r="D169" s="117">
        <v>567</v>
      </c>
      <c r="E169" s="117">
        <f t="shared" si="24"/>
        <v>37</v>
      </c>
      <c r="F169" s="98">
        <f t="shared" si="25"/>
        <v>6.981132075471698E-2</v>
      </c>
    </row>
    <row r="170" spans="1:6" ht="18" customHeight="1" x14ac:dyDescent="0.25">
      <c r="A170" s="99">
        <v>3</v>
      </c>
      <c r="B170" s="100" t="s">
        <v>114</v>
      </c>
      <c r="C170" s="117">
        <v>461</v>
      </c>
      <c r="D170" s="117">
        <v>873</v>
      </c>
      <c r="E170" s="117">
        <f t="shared" si="24"/>
        <v>412</v>
      </c>
      <c r="F170" s="98">
        <f t="shared" si="25"/>
        <v>0.89370932754880694</v>
      </c>
    </row>
    <row r="171" spans="1:6" ht="18" customHeight="1" x14ac:dyDescent="0.25">
      <c r="A171" s="99">
        <v>4</v>
      </c>
      <c r="B171" s="100" t="s">
        <v>115</v>
      </c>
      <c r="C171" s="117">
        <v>1848</v>
      </c>
      <c r="D171" s="117">
        <v>2307</v>
      </c>
      <c r="E171" s="117">
        <f t="shared" si="24"/>
        <v>459</v>
      </c>
      <c r="F171" s="98">
        <f t="shared" si="25"/>
        <v>0.24837662337662339</v>
      </c>
    </row>
    <row r="172" spans="1:6" ht="18" customHeight="1" x14ac:dyDescent="0.25">
      <c r="A172" s="99">
        <v>5</v>
      </c>
      <c r="B172" s="100" t="s">
        <v>116</v>
      </c>
      <c r="C172" s="117">
        <v>47</v>
      </c>
      <c r="D172" s="117">
        <v>59</v>
      </c>
      <c r="E172" s="117">
        <f t="shared" si="24"/>
        <v>12</v>
      </c>
      <c r="F172" s="98">
        <f t="shared" si="25"/>
        <v>0.25531914893617019</v>
      </c>
    </row>
    <row r="173" spans="1:6" ht="18" customHeight="1" x14ac:dyDescent="0.25">
      <c r="A173" s="99">
        <v>6</v>
      </c>
      <c r="B173" s="100" t="s">
        <v>117</v>
      </c>
      <c r="C173" s="117">
        <v>5382</v>
      </c>
      <c r="D173" s="117">
        <v>5312</v>
      </c>
      <c r="E173" s="117">
        <f t="shared" si="24"/>
        <v>-70</v>
      </c>
      <c r="F173" s="98">
        <f t="shared" si="25"/>
        <v>-1.3006317354143442E-2</v>
      </c>
    </row>
    <row r="174" spans="1:6" ht="18" customHeight="1" x14ac:dyDescent="0.25">
      <c r="A174" s="99">
        <v>7</v>
      </c>
      <c r="B174" s="100" t="s">
        <v>118</v>
      </c>
      <c r="C174" s="117">
        <v>13559</v>
      </c>
      <c r="D174" s="117">
        <v>13335</v>
      </c>
      <c r="E174" s="117">
        <f t="shared" si="24"/>
        <v>-224</v>
      </c>
      <c r="F174" s="98">
        <f t="shared" si="25"/>
        <v>-1.6520392359318535E-2</v>
      </c>
    </row>
    <row r="175" spans="1:6" ht="18" customHeight="1" x14ac:dyDescent="0.25">
      <c r="A175" s="99">
        <v>8</v>
      </c>
      <c r="B175" s="100" t="s">
        <v>119</v>
      </c>
      <c r="C175" s="117">
        <v>901</v>
      </c>
      <c r="D175" s="117">
        <v>921</v>
      </c>
      <c r="E175" s="117">
        <f t="shared" si="24"/>
        <v>20</v>
      </c>
      <c r="F175" s="98">
        <f t="shared" si="25"/>
        <v>2.2197558268590455E-2</v>
      </c>
    </row>
    <row r="176" spans="1:6" ht="18" customHeight="1" x14ac:dyDescent="0.25">
      <c r="A176" s="99">
        <v>9</v>
      </c>
      <c r="B176" s="100" t="s">
        <v>120</v>
      </c>
      <c r="C176" s="117">
        <v>4215</v>
      </c>
      <c r="D176" s="117">
        <v>3995</v>
      </c>
      <c r="E176" s="117">
        <f t="shared" si="24"/>
        <v>-220</v>
      </c>
      <c r="F176" s="98">
        <f t="shared" si="25"/>
        <v>-5.2194543297746143E-2</v>
      </c>
    </row>
    <row r="177" spans="1:6" ht="18" customHeight="1" x14ac:dyDescent="0.25">
      <c r="A177" s="99">
        <v>10</v>
      </c>
      <c r="B177" s="100" t="s">
        <v>121</v>
      </c>
      <c r="C177" s="117">
        <v>303</v>
      </c>
      <c r="D177" s="117">
        <v>0</v>
      </c>
      <c r="E177" s="117">
        <f t="shared" si="24"/>
        <v>-303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2550</v>
      </c>
      <c r="D178" s="117">
        <v>2603</v>
      </c>
      <c r="E178" s="117">
        <f t="shared" si="24"/>
        <v>53</v>
      </c>
      <c r="F178" s="98">
        <f t="shared" si="25"/>
        <v>2.0784313725490194E-2</v>
      </c>
    </row>
    <row r="179" spans="1:6" ht="33.75" customHeight="1" x14ac:dyDescent="0.25">
      <c r="A179" s="101"/>
      <c r="B179" s="102" t="s">
        <v>151</v>
      </c>
      <c r="C179" s="118">
        <f>SUM(C168:C178)</f>
        <v>34887</v>
      </c>
      <c r="D179" s="118">
        <f>SUM(D168:D178)</f>
        <v>35170</v>
      </c>
      <c r="E179" s="118">
        <f t="shared" si="24"/>
        <v>283</v>
      </c>
      <c r="F179" s="104">
        <f t="shared" si="25"/>
        <v>8.1119041476767854E-3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FILING&amp;RGREENWICH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32654133</v>
      </c>
      <c r="D15" s="146">
        <v>31538096</v>
      </c>
      <c r="E15" s="146">
        <f>+D15-C15</f>
        <v>-1116037</v>
      </c>
      <c r="F15" s="150">
        <f>IF(C15=0,0,E15/C15)</f>
        <v>-3.4177511312274006E-2</v>
      </c>
    </row>
    <row r="16" spans="1:7" ht="15" customHeight="1" x14ac:dyDescent="0.2">
      <c r="A16" s="141">
        <v>2</v>
      </c>
      <c r="B16" s="149" t="s">
        <v>158</v>
      </c>
      <c r="C16" s="146">
        <v>16407798</v>
      </c>
      <c r="D16" s="146">
        <v>17349745</v>
      </c>
      <c r="E16" s="146">
        <f>+D16-C16</f>
        <v>941947</v>
      </c>
      <c r="F16" s="150">
        <f>IF(C16=0,0,E16/C16)</f>
        <v>5.7408495643352021E-2</v>
      </c>
    </row>
    <row r="17" spans="1:7" ht="15" customHeight="1" x14ac:dyDescent="0.2">
      <c r="A17" s="141">
        <v>3</v>
      </c>
      <c r="B17" s="149" t="s">
        <v>159</v>
      </c>
      <c r="C17" s="146">
        <v>69278749</v>
      </c>
      <c r="D17" s="146">
        <v>77070980</v>
      </c>
      <c r="E17" s="146">
        <f>+D17-C17</f>
        <v>7792231</v>
      </c>
      <c r="F17" s="150">
        <f>IF(C17=0,0,E17/C17)</f>
        <v>0.11247649694136365</v>
      </c>
    </row>
    <row r="18" spans="1:7" ht="15.75" customHeight="1" x14ac:dyDescent="0.25">
      <c r="A18" s="141"/>
      <c r="B18" s="151" t="s">
        <v>160</v>
      </c>
      <c r="C18" s="147">
        <f>SUM(C15:C17)</f>
        <v>118340680</v>
      </c>
      <c r="D18" s="147">
        <f>SUM(D15:D17)</f>
        <v>125958821</v>
      </c>
      <c r="E18" s="147">
        <f>+D18-C18</f>
        <v>7618141</v>
      </c>
      <c r="F18" s="148">
        <f>IF(C18=0,0,E18/C18)</f>
        <v>6.4374659669016607E-2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9208466</v>
      </c>
      <c r="D21" s="146">
        <v>8830667</v>
      </c>
      <c r="E21" s="146">
        <f>+D21-C21</f>
        <v>-377799</v>
      </c>
      <c r="F21" s="150">
        <f>IF(C21=0,0,E21/C21)</f>
        <v>-4.1027354610420452E-2</v>
      </c>
    </row>
    <row r="22" spans="1:7" ht="15" customHeight="1" x14ac:dyDescent="0.2">
      <c r="A22" s="141">
        <v>2</v>
      </c>
      <c r="B22" s="149" t="s">
        <v>163</v>
      </c>
      <c r="C22" s="146">
        <v>4626999</v>
      </c>
      <c r="D22" s="146">
        <v>4857929</v>
      </c>
      <c r="E22" s="146">
        <f>+D22-C22</f>
        <v>230930</v>
      </c>
      <c r="F22" s="150">
        <f>IF(C22=0,0,E22/C22)</f>
        <v>4.9909239228277336E-2</v>
      </c>
    </row>
    <row r="23" spans="1:7" ht="15" customHeight="1" x14ac:dyDescent="0.2">
      <c r="A23" s="141">
        <v>3</v>
      </c>
      <c r="B23" s="149" t="s">
        <v>164</v>
      </c>
      <c r="C23" s="146">
        <v>19548935</v>
      </c>
      <c r="D23" s="146">
        <v>24661908</v>
      </c>
      <c r="E23" s="146">
        <f>+D23-C23</f>
        <v>5112973</v>
      </c>
      <c r="F23" s="150">
        <f>IF(C23=0,0,E23/C23)</f>
        <v>0.2615473937582789</v>
      </c>
    </row>
    <row r="24" spans="1:7" ht="15.75" customHeight="1" x14ac:dyDescent="0.25">
      <c r="A24" s="141"/>
      <c r="B24" s="151" t="s">
        <v>165</v>
      </c>
      <c r="C24" s="147">
        <f>SUM(C21:C23)</f>
        <v>33384400</v>
      </c>
      <c r="D24" s="147">
        <f>SUM(D21:D23)</f>
        <v>38350504</v>
      </c>
      <c r="E24" s="147">
        <f>+D24-C24</f>
        <v>4966104</v>
      </c>
      <c r="F24" s="148">
        <f>IF(C24=0,0,E24/C24)</f>
        <v>0.14875522699224789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1902661</v>
      </c>
      <c r="D27" s="146">
        <v>2156332</v>
      </c>
      <c r="E27" s="146">
        <f>+D27-C27</f>
        <v>253671</v>
      </c>
      <c r="F27" s="150">
        <f>IF(C27=0,0,E27/C27)</f>
        <v>0.13332432840111821</v>
      </c>
    </row>
    <row r="28" spans="1:7" ht="15" customHeight="1" x14ac:dyDescent="0.2">
      <c r="A28" s="141">
        <v>2</v>
      </c>
      <c r="B28" s="149" t="s">
        <v>168</v>
      </c>
      <c r="C28" s="146">
        <v>3944170</v>
      </c>
      <c r="D28" s="146">
        <v>4204096</v>
      </c>
      <c r="E28" s="146">
        <f>+D28-C28</f>
        <v>259926</v>
      </c>
      <c r="F28" s="150">
        <f>IF(C28=0,0,E28/C28)</f>
        <v>6.59013176409739E-2</v>
      </c>
    </row>
    <row r="29" spans="1:7" ht="15" customHeight="1" x14ac:dyDescent="0.2">
      <c r="A29" s="141">
        <v>3</v>
      </c>
      <c r="B29" s="149" t="s">
        <v>169</v>
      </c>
      <c r="C29" s="146">
        <v>73866</v>
      </c>
      <c r="D29" s="146">
        <v>173158</v>
      </c>
      <c r="E29" s="146">
        <f>+D29-C29</f>
        <v>99292</v>
      </c>
      <c r="F29" s="150">
        <f>IF(C29=0,0,E29/C29)</f>
        <v>1.3442179081038637</v>
      </c>
    </row>
    <row r="30" spans="1:7" ht="15.75" customHeight="1" x14ac:dyDescent="0.25">
      <c r="A30" s="141"/>
      <c r="B30" s="151" t="s">
        <v>170</v>
      </c>
      <c r="C30" s="147">
        <f>SUM(C27:C29)</f>
        <v>5920697</v>
      </c>
      <c r="D30" s="147">
        <f>SUM(D27:D29)</f>
        <v>6533586</v>
      </c>
      <c r="E30" s="147">
        <f>+D30-C30</f>
        <v>612889</v>
      </c>
      <c r="F30" s="148">
        <f>IF(C30=0,0,E30/C30)</f>
        <v>0.10351635964481884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30298702</v>
      </c>
      <c r="D33" s="146">
        <v>28259778</v>
      </c>
      <c r="E33" s="146">
        <f>+D33-C33</f>
        <v>-2038924</v>
      </c>
      <c r="F33" s="150">
        <f>IF(C33=0,0,E33/C33)</f>
        <v>-6.7294103886034462E-2</v>
      </c>
    </row>
    <row r="34" spans="1:7" ht="15" customHeight="1" x14ac:dyDescent="0.2">
      <c r="A34" s="141">
        <v>2</v>
      </c>
      <c r="B34" s="149" t="s">
        <v>174</v>
      </c>
      <c r="C34" s="146">
        <v>7971856</v>
      </c>
      <c r="D34" s="146">
        <v>12858117</v>
      </c>
      <c r="E34" s="146">
        <f>+D34-C34</f>
        <v>4886261</v>
      </c>
      <c r="F34" s="150">
        <f>IF(C34=0,0,E34/C34)</f>
        <v>0.61293894420571571</v>
      </c>
    </row>
    <row r="35" spans="1:7" ht="15.75" customHeight="1" x14ac:dyDescent="0.25">
      <c r="A35" s="141"/>
      <c r="B35" s="151" t="s">
        <v>175</v>
      </c>
      <c r="C35" s="147">
        <f>SUM(C33:C34)</f>
        <v>38270558</v>
      </c>
      <c r="D35" s="147">
        <f>SUM(D33:D34)</f>
        <v>41117895</v>
      </c>
      <c r="E35" s="147">
        <f>+D35-C35</f>
        <v>2847337</v>
      </c>
      <c r="F35" s="148">
        <f>IF(C35=0,0,E35/C35)</f>
        <v>7.4400195575930722E-2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6928177</v>
      </c>
      <c r="D38" s="146">
        <v>5599584</v>
      </c>
      <c r="E38" s="146">
        <f>+D38-C38</f>
        <v>-1328593</v>
      </c>
      <c r="F38" s="150">
        <f>IF(C38=0,0,E38/C38)</f>
        <v>-0.19176660757945416</v>
      </c>
    </row>
    <row r="39" spans="1:7" ht="15" customHeight="1" x14ac:dyDescent="0.2">
      <c r="A39" s="141">
        <v>2</v>
      </c>
      <c r="B39" s="149" t="s">
        <v>179</v>
      </c>
      <c r="C39" s="146">
        <v>13347230</v>
      </c>
      <c r="D39" s="146">
        <v>13306405</v>
      </c>
      <c r="E39" s="146">
        <f>+D39-C39</f>
        <v>-40825</v>
      </c>
      <c r="F39" s="150">
        <f>IF(C39=0,0,E39/C39)</f>
        <v>-3.0586870833873396E-3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20275407</v>
      </c>
      <c r="D41" s="147">
        <f>SUM(D38:D40)</f>
        <v>18905989</v>
      </c>
      <c r="E41" s="147">
        <f>+D41-C41</f>
        <v>-1369418</v>
      </c>
      <c r="F41" s="148">
        <f>IF(C41=0,0,E41/C41)</f>
        <v>-6.7540839007572073E-2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10503632</v>
      </c>
      <c r="D44" s="146">
        <v>9269877</v>
      </c>
      <c r="E44" s="146">
        <f>+D44-C44</f>
        <v>-1233755</v>
      </c>
      <c r="F44" s="150">
        <f>IF(C44=0,0,E44/C44)</f>
        <v>-0.11745984627031869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448812</v>
      </c>
      <c r="D47" s="146">
        <v>425472</v>
      </c>
      <c r="E47" s="146">
        <f>+D47-C47</f>
        <v>-23340</v>
      </c>
      <c r="F47" s="150">
        <f>IF(C47=0,0,E47/C47)</f>
        <v>-5.2003957113446166E-2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2913343</v>
      </c>
      <c r="D50" s="146">
        <v>200972</v>
      </c>
      <c r="E50" s="146">
        <f>+D50-C50</f>
        <v>-2712371</v>
      </c>
      <c r="F50" s="150">
        <f>IF(C50=0,0,E50/C50)</f>
        <v>-0.9310167048644804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78705</v>
      </c>
      <c r="D53" s="146">
        <v>89090</v>
      </c>
      <c r="E53" s="146">
        <f t="shared" ref="E53:E59" si="0">+D53-C53</f>
        <v>10385</v>
      </c>
      <c r="F53" s="150">
        <f t="shared" ref="F53:F59" si="1">IF(C53=0,0,E53/C53)</f>
        <v>0.13194841496728288</v>
      </c>
    </row>
    <row r="54" spans="1:7" ht="15" customHeight="1" x14ac:dyDescent="0.2">
      <c r="A54" s="141">
        <v>2</v>
      </c>
      <c r="B54" s="149" t="s">
        <v>193</v>
      </c>
      <c r="C54" s="146">
        <v>961423</v>
      </c>
      <c r="D54" s="146">
        <v>1122985</v>
      </c>
      <c r="E54" s="146">
        <f t="shared" si="0"/>
        <v>161562</v>
      </c>
      <c r="F54" s="150">
        <f t="shared" si="1"/>
        <v>0.16804465880262903</v>
      </c>
    </row>
    <row r="55" spans="1:7" ht="15" customHeight="1" x14ac:dyDescent="0.2">
      <c r="A55" s="141">
        <v>3</v>
      </c>
      <c r="B55" s="149" t="s">
        <v>194</v>
      </c>
      <c r="C55" s="146">
        <v>53649</v>
      </c>
      <c r="D55" s="146">
        <v>84651</v>
      </c>
      <c r="E55" s="146">
        <f t="shared" si="0"/>
        <v>31002</v>
      </c>
      <c r="F55" s="150">
        <f t="shared" si="1"/>
        <v>0.57786724822457081</v>
      </c>
    </row>
    <row r="56" spans="1:7" ht="15" customHeight="1" x14ac:dyDescent="0.2">
      <c r="A56" s="141">
        <v>4</v>
      </c>
      <c r="B56" s="149" t="s">
        <v>195</v>
      </c>
      <c r="C56" s="146">
        <v>1799570</v>
      </c>
      <c r="D56" s="146">
        <v>1690298</v>
      </c>
      <c r="E56" s="146">
        <f t="shared" si="0"/>
        <v>-109272</v>
      </c>
      <c r="F56" s="150">
        <f t="shared" si="1"/>
        <v>-6.0721172280044679E-2</v>
      </c>
    </row>
    <row r="57" spans="1:7" ht="15" customHeight="1" x14ac:dyDescent="0.2">
      <c r="A57" s="141">
        <v>5</v>
      </c>
      <c r="B57" s="149" t="s">
        <v>196</v>
      </c>
      <c r="C57" s="146">
        <v>842068</v>
      </c>
      <c r="D57" s="146">
        <v>958758</v>
      </c>
      <c r="E57" s="146">
        <f t="shared" si="0"/>
        <v>116690</v>
      </c>
      <c r="F57" s="150">
        <f t="shared" si="1"/>
        <v>0.13857550696618326</v>
      </c>
    </row>
    <row r="58" spans="1:7" ht="15" customHeight="1" x14ac:dyDescent="0.2">
      <c r="A58" s="141">
        <v>6</v>
      </c>
      <c r="B58" s="149" t="s">
        <v>197</v>
      </c>
      <c r="C58" s="146">
        <v>30053</v>
      </c>
      <c r="D58" s="146">
        <v>31952</v>
      </c>
      <c r="E58" s="146">
        <f t="shared" si="0"/>
        <v>1899</v>
      </c>
      <c r="F58" s="150">
        <f t="shared" si="1"/>
        <v>6.3188367217915015E-2</v>
      </c>
    </row>
    <row r="59" spans="1:7" ht="15.75" customHeight="1" x14ac:dyDescent="0.25">
      <c r="A59" s="141"/>
      <c r="B59" s="151" t="s">
        <v>198</v>
      </c>
      <c r="C59" s="147">
        <f>SUM(C53:C58)</f>
        <v>3765468</v>
      </c>
      <c r="D59" s="147">
        <f>SUM(D53:D58)</f>
        <v>3977734</v>
      </c>
      <c r="E59" s="147">
        <f t="shared" si="0"/>
        <v>212266</v>
      </c>
      <c r="F59" s="148">
        <f t="shared" si="1"/>
        <v>5.6371744494973799E-2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248000</v>
      </c>
      <c r="D62" s="146">
        <v>272721</v>
      </c>
      <c r="E62" s="146">
        <f t="shared" ref="E62:E78" si="2">+D62-C62</f>
        <v>24721</v>
      </c>
      <c r="F62" s="150">
        <f t="shared" ref="F62:F78" si="3">IF(C62=0,0,E62/C62)</f>
        <v>9.9681451612903232E-2</v>
      </c>
    </row>
    <row r="63" spans="1:7" ht="15" customHeight="1" x14ac:dyDescent="0.2">
      <c r="A63" s="141">
        <v>2</v>
      </c>
      <c r="B63" s="149" t="s">
        <v>202</v>
      </c>
      <c r="C63" s="146">
        <v>682303</v>
      </c>
      <c r="D63" s="146">
        <v>362526</v>
      </c>
      <c r="E63" s="146">
        <f t="shared" si="2"/>
        <v>-319777</v>
      </c>
      <c r="F63" s="150">
        <f t="shared" si="3"/>
        <v>-0.46867300891246266</v>
      </c>
    </row>
    <row r="64" spans="1:7" ht="15" customHeight="1" x14ac:dyDescent="0.2">
      <c r="A64" s="141">
        <v>3</v>
      </c>
      <c r="B64" s="149" t="s">
        <v>203</v>
      </c>
      <c r="C64" s="146">
        <v>1678120</v>
      </c>
      <c r="D64" s="146">
        <v>2159488</v>
      </c>
      <c r="E64" s="146">
        <f t="shared" si="2"/>
        <v>481368</v>
      </c>
      <c r="F64" s="150">
        <f t="shared" si="3"/>
        <v>0.28684956975663239</v>
      </c>
    </row>
    <row r="65" spans="1:7" ht="15" customHeight="1" x14ac:dyDescent="0.2">
      <c r="A65" s="141">
        <v>4</v>
      </c>
      <c r="B65" s="149" t="s">
        <v>204</v>
      </c>
      <c r="C65" s="146">
        <v>429654</v>
      </c>
      <c r="D65" s="146">
        <v>459238</v>
      </c>
      <c r="E65" s="146">
        <f t="shared" si="2"/>
        <v>29584</v>
      </c>
      <c r="F65" s="150">
        <f t="shared" si="3"/>
        <v>6.8855404581360816E-2</v>
      </c>
    </row>
    <row r="66" spans="1:7" ht="15" customHeight="1" x14ac:dyDescent="0.2">
      <c r="A66" s="141">
        <v>5</v>
      </c>
      <c r="B66" s="149" t="s">
        <v>205</v>
      </c>
      <c r="C66" s="146">
        <v>951909</v>
      </c>
      <c r="D66" s="146">
        <v>1233434</v>
      </c>
      <c r="E66" s="146">
        <f t="shared" si="2"/>
        <v>281525</v>
      </c>
      <c r="F66" s="150">
        <f t="shared" si="3"/>
        <v>0.29574780782616827</v>
      </c>
    </row>
    <row r="67" spans="1:7" ht="15" customHeight="1" x14ac:dyDescent="0.2">
      <c r="A67" s="141">
        <v>6</v>
      </c>
      <c r="B67" s="149" t="s">
        <v>206</v>
      </c>
      <c r="C67" s="146">
        <v>4992797</v>
      </c>
      <c r="D67" s="146">
        <v>5404265</v>
      </c>
      <c r="E67" s="146">
        <f t="shared" si="2"/>
        <v>411468</v>
      </c>
      <c r="F67" s="150">
        <f t="shared" si="3"/>
        <v>8.2412323192791542E-2</v>
      </c>
    </row>
    <row r="68" spans="1:7" ht="15" customHeight="1" x14ac:dyDescent="0.2">
      <c r="A68" s="141">
        <v>7</v>
      </c>
      <c r="B68" s="149" t="s">
        <v>207</v>
      </c>
      <c r="C68" s="146">
        <v>925517</v>
      </c>
      <c r="D68" s="146">
        <v>1169919</v>
      </c>
      <c r="E68" s="146">
        <f t="shared" si="2"/>
        <v>244402</v>
      </c>
      <c r="F68" s="150">
        <f t="shared" si="3"/>
        <v>0.26407078422114344</v>
      </c>
    </row>
    <row r="69" spans="1:7" ht="15" customHeight="1" x14ac:dyDescent="0.2">
      <c r="A69" s="141">
        <v>8</v>
      </c>
      <c r="B69" s="149" t="s">
        <v>208</v>
      </c>
      <c r="C69" s="146">
        <v>422590</v>
      </c>
      <c r="D69" s="146">
        <v>389177</v>
      </c>
      <c r="E69" s="146">
        <f t="shared" si="2"/>
        <v>-33413</v>
      </c>
      <c r="F69" s="150">
        <f t="shared" si="3"/>
        <v>-7.9067180955536095E-2</v>
      </c>
    </row>
    <row r="70" spans="1:7" ht="15" customHeight="1" x14ac:dyDescent="0.2">
      <c r="A70" s="141">
        <v>9</v>
      </c>
      <c r="B70" s="149" t="s">
        <v>209</v>
      </c>
      <c r="C70" s="146">
        <v>64416</v>
      </c>
      <c r="D70" s="146">
        <v>106847</v>
      </c>
      <c r="E70" s="146">
        <f t="shared" si="2"/>
        <v>42431</v>
      </c>
      <c r="F70" s="150">
        <f t="shared" si="3"/>
        <v>0.65870280675608539</v>
      </c>
    </row>
    <row r="71" spans="1:7" ht="15" customHeight="1" x14ac:dyDescent="0.2">
      <c r="A71" s="141">
        <v>10</v>
      </c>
      <c r="B71" s="149" t="s">
        <v>210</v>
      </c>
      <c r="C71" s="146">
        <v>318185</v>
      </c>
      <c r="D71" s="146">
        <v>327603</v>
      </c>
      <c r="E71" s="146">
        <f t="shared" si="2"/>
        <v>9418</v>
      </c>
      <c r="F71" s="150">
        <f t="shared" si="3"/>
        <v>2.9599132580102772E-2</v>
      </c>
    </row>
    <row r="72" spans="1:7" ht="15" customHeight="1" x14ac:dyDescent="0.2">
      <c r="A72" s="141">
        <v>11</v>
      </c>
      <c r="B72" s="149" t="s">
        <v>211</v>
      </c>
      <c r="C72" s="146">
        <v>98302</v>
      </c>
      <c r="D72" s="146">
        <v>175763</v>
      </c>
      <c r="E72" s="146">
        <f t="shared" si="2"/>
        <v>77461</v>
      </c>
      <c r="F72" s="150">
        <f t="shared" si="3"/>
        <v>0.7879900714125857</v>
      </c>
    </row>
    <row r="73" spans="1:7" ht="15" customHeight="1" x14ac:dyDescent="0.2">
      <c r="A73" s="141">
        <v>12</v>
      </c>
      <c r="B73" s="149" t="s">
        <v>212</v>
      </c>
      <c r="C73" s="146">
        <v>5853924</v>
      </c>
      <c r="D73" s="146">
        <v>6560648</v>
      </c>
      <c r="E73" s="146">
        <f t="shared" si="2"/>
        <v>706724</v>
      </c>
      <c r="F73" s="150">
        <f t="shared" si="3"/>
        <v>0.12072654171799975</v>
      </c>
    </row>
    <row r="74" spans="1:7" ht="15" customHeight="1" x14ac:dyDescent="0.2">
      <c r="A74" s="141">
        <v>13</v>
      </c>
      <c r="B74" s="149" t="s">
        <v>213</v>
      </c>
      <c r="C74" s="146">
        <v>362321</v>
      </c>
      <c r="D74" s="146">
        <v>369074</v>
      </c>
      <c r="E74" s="146">
        <f t="shared" si="2"/>
        <v>6753</v>
      </c>
      <c r="F74" s="150">
        <f t="shared" si="3"/>
        <v>1.8638168916513258E-2</v>
      </c>
    </row>
    <row r="75" spans="1:7" ht="15" customHeight="1" x14ac:dyDescent="0.2">
      <c r="A75" s="141">
        <v>14</v>
      </c>
      <c r="B75" s="149" t="s">
        <v>214</v>
      </c>
      <c r="C75" s="146">
        <v>623032</v>
      </c>
      <c r="D75" s="146">
        <v>585253</v>
      </c>
      <c r="E75" s="146">
        <f t="shared" si="2"/>
        <v>-37779</v>
      </c>
      <c r="F75" s="150">
        <f t="shared" si="3"/>
        <v>-6.0637334839944018E-2</v>
      </c>
    </row>
    <row r="76" spans="1:7" ht="15" customHeight="1" x14ac:dyDescent="0.2">
      <c r="A76" s="141">
        <v>15</v>
      </c>
      <c r="B76" s="149" t="s">
        <v>215</v>
      </c>
      <c r="C76" s="146">
        <v>1417454</v>
      </c>
      <c r="D76" s="146">
        <v>1574810</v>
      </c>
      <c r="E76" s="146">
        <f t="shared" si="2"/>
        <v>157356</v>
      </c>
      <c r="F76" s="150">
        <f t="shared" si="3"/>
        <v>0.11101312635189572</v>
      </c>
    </row>
    <row r="77" spans="1:7" ht="15" customHeight="1" x14ac:dyDescent="0.2">
      <c r="A77" s="141">
        <v>16</v>
      </c>
      <c r="B77" s="149" t="s">
        <v>216</v>
      </c>
      <c r="C77" s="146">
        <v>34231321</v>
      </c>
      <c r="D77" s="146">
        <v>39596626</v>
      </c>
      <c r="E77" s="146">
        <f t="shared" si="2"/>
        <v>5365305</v>
      </c>
      <c r="F77" s="150">
        <f t="shared" si="3"/>
        <v>0.1567367207359599</v>
      </c>
    </row>
    <row r="78" spans="1:7" ht="15.75" customHeight="1" x14ac:dyDescent="0.25">
      <c r="A78" s="141"/>
      <c r="B78" s="151" t="s">
        <v>217</v>
      </c>
      <c r="C78" s="147">
        <f>SUM(C62:C77)</f>
        <v>53299845</v>
      </c>
      <c r="D78" s="147">
        <f>SUM(D62:D77)</f>
        <v>60747392</v>
      </c>
      <c r="E78" s="147">
        <f t="shared" si="2"/>
        <v>7447547</v>
      </c>
      <c r="F78" s="148">
        <f t="shared" si="3"/>
        <v>0.13972924311505971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407915</v>
      </c>
      <c r="D81" s="146">
        <v>436758</v>
      </c>
      <c r="E81" s="146">
        <f>+D81-C81</f>
        <v>28843</v>
      </c>
      <c r="F81" s="150">
        <f>IF(C81=0,0,E81/C81)</f>
        <v>7.0708358358971851E-2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287530757</v>
      </c>
      <c r="D83" s="147">
        <f>+D81+D78+D59+D50+D47+D44+D41+D35+D30+D24+D18</f>
        <v>305925000</v>
      </c>
      <c r="E83" s="147">
        <f>+D83-C83</f>
        <v>18394243</v>
      </c>
      <c r="F83" s="148">
        <f>IF(C83=0,0,E83/C83)</f>
        <v>6.3973131750910392E-2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61800916</v>
      </c>
      <c r="D91" s="146">
        <v>61020261</v>
      </c>
      <c r="E91" s="146">
        <f t="shared" ref="E91:E109" si="4">D91-C91</f>
        <v>-780655</v>
      </c>
      <c r="F91" s="150">
        <f t="shared" ref="F91:F109" si="5">IF(C91=0,0,E91/C91)</f>
        <v>-1.2631770700615505E-2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5545226</v>
      </c>
      <c r="D92" s="146">
        <v>5020722</v>
      </c>
      <c r="E92" s="146">
        <f t="shared" si="4"/>
        <v>-524504</v>
      </c>
      <c r="F92" s="150">
        <f t="shared" si="5"/>
        <v>-9.458658673244337E-2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4578028</v>
      </c>
      <c r="D93" s="146">
        <v>5566827</v>
      </c>
      <c r="E93" s="146">
        <f t="shared" si="4"/>
        <v>988799</v>
      </c>
      <c r="F93" s="150">
        <f t="shared" si="5"/>
        <v>0.21598797560871189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2104352</v>
      </c>
      <c r="D94" s="146">
        <v>2157763</v>
      </c>
      <c r="E94" s="146">
        <f t="shared" si="4"/>
        <v>53411</v>
      </c>
      <c r="F94" s="150">
        <f t="shared" si="5"/>
        <v>2.538120998768267E-2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7292069</v>
      </c>
      <c r="D95" s="146">
        <v>8033581</v>
      </c>
      <c r="E95" s="146">
        <f t="shared" si="4"/>
        <v>741512</v>
      </c>
      <c r="F95" s="150">
        <f t="shared" si="5"/>
        <v>0.10168746346201606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1971888</v>
      </c>
      <c r="D97" s="146">
        <v>2611353</v>
      </c>
      <c r="E97" s="146">
        <f t="shared" si="4"/>
        <v>639465</v>
      </c>
      <c r="F97" s="150">
        <f t="shared" si="5"/>
        <v>0.32429073050802076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3450703</v>
      </c>
      <c r="D98" s="146">
        <v>4044233</v>
      </c>
      <c r="E98" s="146">
        <f t="shared" si="4"/>
        <v>593530</v>
      </c>
      <c r="F98" s="150">
        <f t="shared" si="5"/>
        <v>0.17200263250705725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774258</v>
      </c>
      <c r="D99" s="146">
        <v>445343</v>
      </c>
      <c r="E99" s="146">
        <f t="shared" si="4"/>
        <v>-328915</v>
      </c>
      <c r="F99" s="150">
        <f t="shared" si="5"/>
        <v>-0.4248131759697672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4803647</v>
      </c>
      <c r="D100" s="146">
        <v>5411877</v>
      </c>
      <c r="E100" s="146">
        <f t="shared" si="4"/>
        <v>608230</v>
      </c>
      <c r="F100" s="150">
        <f t="shared" si="5"/>
        <v>0.12661837974355733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2429728</v>
      </c>
      <c r="D101" s="146">
        <v>2603294</v>
      </c>
      <c r="E101" s="146">
        <f t="shared" si="4"/>
        <v>173566</v>
      </c>
      <c r="F101" s="150">
        <f t="shared" si="5"/>
        <v>7.1434333390404198E-2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1135728</v>
      </c>
      <c r="D102" s="146">
        <v>1118987</v>
      </c>
      <c r="E102" s="146">
        <f t="shared" si="4"/>
        <v>-16741</v>
      </c>
      <c r="F102" s="150">
        <f t="shared" si="5"/>
        <v>-1.474032514827494E-2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4027415</v>
      </c>
      <c r="D103" s="146">
        <v>4177694</v>
      </c>
      <c r="E103" s="146">
        <f t="shared" si="4"/>
        <v>150279</v>
      </c>
      <c r="F103" s="150">
        <f t="shared" si="5"/>
        <v>3.7314009110061913E-2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1619763</v>
      </c>
      <c r="D104" s="146">
        <v>1728272</v>
      </c>
      <c r="E104" s="146">
        <f t="shared" si="4"/>
        <v>108509</v>
      </c>
      <c r="F104" s="150">
        <f t="shared" si="5"/>
        <v>6.6990664683660509E-2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3353032</v>
      </c>
      <c r="D105" s="146">
        <v>3654880</v>
      </c>
      <c r="E105" s="146">
        <f t="shared" si="4"/>
        <v>301848</v>
      </c>
      <c r="F105" s="150">
        <f t="shared" si="5"/>
        <v>9.0022403603663786E-2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1353247</v>
      </c>
      <c r="D106" s="146">
        <v>1317486</v>
      </c>
      <c r="E106" s="146">
        <f t="shared" si="4"/>
        <v>-35761</v>
      </c>
      <c r="F106" s="150">
        <f t="shared" si="5"/>
        <v>-2.6426070037472833E-2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9983865</v>
      </c>
      <c r="D107" s="146">
        <v>15181643</v>
      </c>
      <c r="E107" s="146">
        <f t="shared" si="4"/>
        <v>5197778</v>
      </c>
      <c r="F107" s="150">
        <f t="shared" si="5"/>
        <v>0.52061781684748343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1543525</v>
      </c>
      <c r="D108" s="146">
        <v>1884526</v>
      </c>
      <c r="E108" s="146">
        <f t="shared" si="4"/>
        <v>341001</v>
      </c>
      <c r="F108" s="150">
        <f t="shared" si="5"/>
        <v>0.22092353541406845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117767390</v>
      </c>
      <c r="D109" s="147">
        <f>SUM(D91:D108)</f>
        <v>125978742</v>
      </c>
      <c r="E109" s="147">
        <f t="shared" si="4"/>
        <v>8211352</v>
      </c>
      <c r="F109" s="148">
        <f t="shared" si="5"/>
        <v>6.9725176044064488E-2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807571</v>
      </c>
      <c r="D112" s="146">
        <v>1437638</v>
      </c>
      <c r="E112" s="146">
        <f t="shared" ref="E112:E118" si="6">D112-C112</f>
        <v>630067</v>
      </c>
      <c r="F112" s="150">
        <f t="shared" ref="F112:F118" si="7">IF(C112=0,0,E112/C112)</f>
        <v>0.78020013101015262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2239846</v>
      </c>
      <c r="D113" s="146">
        <v>2198783</v>
      </c>
      <c r="E113" s="146">
        <f t="shared" si="6"/>
        <v>-41063</v>
      </c>
      <c r="F113" s="150">
        <f t="shared" si="7"/>
        <v>-1.833295681935276E-2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1005422</v>
      </c>
      <c r="D114" s="146">
        <v>1091586</v>
      </c>
      <c r="E114" s="146">
        <f t="shared" si="6"/>
        <v>86164</v>
      </c>
      <c r="F114" s="150">
        <f t="shared" si="7"/>
        <v>8.56993381883428E-2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2559884</v>
      </c>
      <c r="D115" s="146">
        <v>2792570</v>
      </c>
      <c r="E115" s="146">
        <f t="shared" si="6"/>
        <v>232686</v>
      </c>
      <c r="F115" s="150">
        <f t="shared" si="7"/>
        <v>9.0897087524278442E-2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1984260</v>
      </c>
      <c r="D116" s="146">
        <v>2334476</v>
      </c>
      <c r="E116" s="146">
        <f t="shared" si="6"/>
        <v>350216</v>
      </c>
      <c r="F116" s="150">
        <f t="shared" si="7"/>
        <v>0.17649703163899891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1964850</v>
      </c>
      <c r="D117" s="146">
        <v>2284878</v>
      </c>
      <c r="E117" s="146">
        <f t="shared" si="6"/>
        <v>320028</v>
      </c>
      <c r="F117" s="150">
        <f t="shared" si="7"/>
        <v>0.16287655546224902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10561833</v>
      </c>
      <c r="D118" s="147">
        <f>SUM(D112:D117)</f>
        <v>12139931</v>
      </c>
      <c r="E118" s="147">
        <f t="shared" si="6"/>
        <v>1578098</v>
      </c>
      <c r="F118" s="148">
        <f t="shared" si="7"/>
        <v>0.14941516306875899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23103408</v>
      </c>
      <c r="D121" s="146">
        <v>22396068</v>
      </c>
      <c r="E121" s="146">
        <f t="shared" ref="E121:E155" si="8">D121-C121</f>
        <v>-707340</v>
      </c>
      <c r="F121" s="150">
        <f t="shared" ref="F121:F155" si="9">IF(C121=0,0,E121/C121)</f>
        <v>-3.0616262328051341E-2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1191739</v>
      </c>
      <c r="D122" s="146">
        <v>1312881</v>
      </c>
      <c r="E122" s="146">
        <f t="shared" si="8"/>
        <v>121142</v>
      </c>
      <c r="F122" s="150">
        <f t="shared" si="9"/>
        <v>0.10165145220555843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1169645</v>
      </c>
      <c r="D123" s="146">
        <v>1134420</v>
      </c>
      <c r="E123" s="146">
        <f t="shared" si="8"/>
        <v>-35225</v>
      </c>
      <c r="F123" s="150">
        <f t="shared" si="9"/>
        <v>-3.0115975360045143E-2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5270821</v>
      </c>
      <c r="D124" s="146">
        <v>5657564</v>
      </c>
      <c r="E124" s="146">
        <f t="shared" si="8"/>
        <v>386743</v>
      </c>
      <c r="F124" s="150">
        <f t="shared" si="9"/>
        <v>7.3374337698055014E-2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5120654</v>
      </c>
      <c r="D125" s="146">
        <v>6746002</v>
      </c>
      <c r="E125" s="146">
        <f t="shared" si="8"/>
        <v>1625348</v>
      </c>
      <c r="F125" s="150">
        <f t="shared" si="9"/>
        <v>0.31741023705175159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1966544</v>
      </c>
      <c r="D126" s="146">
        <v>1844700</v>
      </c>
      <c r="E126" s="146">
        <f t="shared" si="8"/>
        <v>-121844</v>
      </c>
      <c r="F126" s="150">
        <f t="shared" si="9"/>
        <v>-6.1958440797663314E-2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3874456</v>
      </c>
      <c r="D127" s="146">
        <v>3845843</v>
      </c>
      <c r="E127" s="146">
        <f t="shared" si="8"/>
        <v>-28613</v>
      </c>
      <c r="F127" s="150">
        <f t="shared" si="9"/>
        <v>-7.3850367638708505E-3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810989</v>
      </c>
      <c r="D128" s="146">
        <v>823847</v>
      </c>
      <c r="E128" s="146">
        <f t="shared" si="8"/>
        <v>12858</v>
      </c>
      <c r="F128" s="150">
        <f t="shared" si="9"/>
        <v>1.5854715661988018E-2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1607133</v>
      </c>
      <c r="D129" s="146">
        <v>1629919</v>
      </c>
      <c r="E129" s="146">
        <f t="shared" si="8"/>
        <v>22786</v>
      </c>
      <c r="F129" s="150">
        <f t="shared" si="9"/>
        <v>1.417804251421631E-2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17596197</v>
      </c>
      <c r="D130" s="146">
        <v>17103318</v>
      </c>
      <c r="E130" s="146">
        <f t="shared" si="8"/>
        <v>-492879</v>
      </c>
      <c r="F130" s="150">
        <f t="shared" si="9"/>
        <v>-2.8010541141361398E-2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1657247</v>
      </c>
      <c r="D131" s="146">
        <v>1554465</v>
      </c>
      <c r="E131" s="146">
        <f t="shared" si="8"/>
        <v>-102782</v>
      </c>
      <c r="F131" s="150">
        <f t="shared" si="9"/>
        <v>-6.2019723070851837E-2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2545146</v>
      </c>
      <c r="D132" s="146">
        <v>2362906</v>
      </c>
      <c r="E132" s="146">
        <f t="shared" si="8"/>
        <v>-182240</v>
      </c>
      <c r="F132" s="150">
        <f t="shared" si="9"/>
        <v>-7.1602965016545214E-2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199153</v>
      </c>
      <c r="D133" s="146">
        <v>287956</v>
      </c>
      <c r="E133" s="146">
        <f t="shared" si="8"/>
        <v>88803</v>
      </c>
      <c r="F133" s="150">
        <f t="shared" si="9"/>
        <v>0.44590340090282343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1125610</v>
      </c>
      <c r="D134" s="146">
        <v>1032624</v>
      </c>
      <c r="E134" s="146">
        <f t="shared" si="8"/>
        <v>-92986</v>
      </c>
      <c r="F134" s="150">
        <f t="shared" si="9"/>
        <v>-8.2609429553753069E-2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1543233</v>
      </c>
      <c r="D135" s="146">
        <v>1810692</v>
      </c>
      <c r="E135" s="146">
        <f t="shared" si="8"/>
        <v>267459</v>
      </c>
      <c r="F135" s="150">
        <f t="shared" si="9"/>
        <v>0.1733108351104467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433796</v>
      </c>
      <c r="D136" s="146">
        <v>659949</v>
      </c>
      <c r="E136" s="146">
        <f t="shared" si="8"/>
        <v>226153</v>
      </c>
      <c r="F136" s="150">
        <f t="shared" si="9"/>
        <v>0.52133491318499936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112782</v>
      </c>
      <c r="D137" s="146">
        <v>137274</v>
      </c>
      <c r="E137" s="146">
        <f t="shared" si="8"/>
        <v>24492</v>
      </c>
      <c r="F137" s="150">
        <f t="shared" si="9"/>
        <v>0.21716231313507475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2304304</v>
      </c>
      <c r="D138" s="146">
        <v>2417779</v>
      </c>
      <c r="E138" s="146">
        <f t="shared" si="8"/>
        <v>113475</v>
      </c>
      <c r="F138" s="150">
        <f t="shared" si="9"/>
        <v>4.9244804504961152E-2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416432</v>
      </c>
      <c r="D139" s="146">
        <v>441228</v>
      </c>
      <c r="E139" s="146">
        <f t="shared" si="8"/>
        <v>24796</v>
      </c>
      <c r="F139" s="150">
        <f t="shared" si="9"/>
        <v>5.9543935144273252E-2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1385777</v>
      </c>
      <c r="D140" s="146">
        <v>1416697</v>
      </c>
      <c r="E140" s="146">
        <f t="shared" si="8"/>
        <v>30920</v>
      </c>
      <c r="F140" s="150">
        <f t="shared" si="9"/>
        <v>2.23123922535877E-2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305549</v>
      </c>
      <c r="D143" s="146">
        <v>374827</v>
      </c>
      <c r="E143" s="146">
        <f t="shared" si="8"/>
        <v>69278</v>
      </c>
      <c r="F143" s="150">
        <f t="shared" si="9"/>
        <v>0.22673286445054638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10387832</v>
      </c>
      <c r="D144" s="146">
        <v>10588781</v>
      </c>
      <c r="E144" s="146">
        <f t="shared" si="8"/>
        <v>200949</v>
      </c>
      <c r="F144" s="150">
        <f t="shared" si="9"/>
        <v>1.9344652474164004E-2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1141895</v>
      </c>
      <c r="D145" s="146">
        <v>1090460</v>
      </c>
      <c r="E145" s="146">
        <f t="shared" si="8"/>
        <v>-51435</v>
      </c>
      <c r="F145" s="150">
        <f t="shared" si="9"/>
        <v>-4.5043546035318481E-2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484487</v>
      </c>
      <c r="D146" s="146">
        <v>477963</v>
      </c>
      <c r="E146" s="146">
        <f t="shared" si="8"/>
        <v>-6524</v>
      </c>
      <c r="F146" s="150">
        <f t="shared" si="9"/>
        <v>-1.3465789587749516E-2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2017280</v>
      </c>
      <c r="D148" s="146">
        <v>1982763</v>
      </c>
      <c r="E148" s="146">
        <f t="shared" si="8"/>
        <v>-34517</v>
      </c>
      <c r="F148" s="150">
        <f t="shared" si="9"/>
        <v>-1.7110663864213199E-2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55467</v>
      </c>
      <c r="D150" s="146">
        <v>42183</v>
      </c>
      <c r="E150" s="146">
        <f t="shared" si="8"/>
        <v>-13284</v>
      </c>
      <c r="F150" s="150">
        <f t="shared" si="9"/>
        <v>-0.23949375304234952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1095966</v>
      </c>
      <c r="D151" s="146">
        <v>1260127</v>
      </c>
      <c r="E151" s="146">
        <f t="shared" si="8"/>
        <v>164161</v>
      </c>
      <c r="F151" s="150">
        <f t="shared" si="9"/>
        <v>0.14978658097057757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3010087</v>
      </c>
      <c r="D152" s="146">
        <v>3093208</v>
      </c>
      <c r="E152" s="146">
        <f t="shared" si="8"/>
        <v>83121</v>
      </c>
      <c r="F152" s="150">
        <f t="shared" si="9"/>
        <v>2.7614152016204183E-2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322872</v>
      </c>
      <c r="D153" s="146">
        <v>409176</v>
      </c>
      <c r="E153" s="146">
        <f t="shared" si="8"/>
        <v>86304</v>
      </c>
      <c r="F153" s="150">
        <f t="shared" si="9"/>
        <v>0.26730097376049949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2355885</v>
      </c>
      <c r="D154" s="146">
        <v>2250221</v>
      </c>
      <c r="E154" s="146">
        <f t="shared" si="8"/>
        <v>-105664</v>
      </c>
      <c r="F154" s="150">
        <f t="shared" si="9"/>
        <v>-4.4851085685421829E-2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94612386</v>
      </c>
      <c r="D155" s="147">
        <f>SUM(D121:D154)</f>
        <v>96185841</v>
      </c>
      <c r="E155" s="147">
        <f t="shared" si="8"/>
        <v>1573455</v>
      </c>
      <c r="F155" s="148">
        <f t="shared" si="9"/>
        <v>1.6630539261529669E-2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16314597</v>
      </c>
      <c r="D158" s="146">
        <v>16504421</v>
      </c>
      <c r="E158" s="146">
        <f t="shared" ref="E158:E171" si="10">D158-C158</f>
        <v>189824</v>
      </c>
      <c r="F158" s="150">
        <f t="shared" ref="F158:F171" si="11">IF(C158=0,0,E158/C158)</f>
        <v>1.1635224578333133E-2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2582318</v>
      </c>
      <c r="D159" s="146">
        <v>2675896</v>
      </c>
      <c r="E159" s="146">
        <f t="shared" si="10"/>
        <v>93578</v>
      </c>
      <c r="F159" s="150">
        <f t="shared" si="11"/>
        <v>3.6237984632411652E-2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1123684</v>
      </c>
      <c r="D161" s="146">
        <v>1112761</v>
      </c>
      <c r="E161" s="146">
        <f t="shared" si="10"/>
        <v>-10923</v>
      </c>
      <c r="F161" s="150">
        <f t="shared" si="11"/>
        <v>-9.720704397321667E-3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1282167</v>
      </c>
      <c r="D162" s="146">
        <v>1267281</v>
      </c>
      <c r="E162" s="146">
        <f t="shared" si="10"/>
        <v>-14886</v>
      </c>
      <c r="F162" s="150">
        <f t="shared" si="11"/>
        <v>-1.1610032078504594E-2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3197090</v>
      </c>
      <c r="D163" s="146">
        <v>3394206</v>
      </c>
      <c r="E163" s="146">
        <f t="shared" si="10"/>
        <v>197116</v>
      </c>
      <c r="F163" s="150">
        <f t="shared" si="11"/>
        <v>6.1654817349527227E-2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1226010</v>
      </c>
      <c r="D164" s="146">
        <v>1258231</v>
      </c>
      <c r="E164" s="146">
        <f t="shared" si="10"/>
        <v>32221</v>
      </c>
      <c r="F164" s="150">
        <f t="shared" si="11"/>
        <v>2.62811885710557E-2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2411353</v>
      </c>
      <c r="D165" s="146">
        <v>2679030</v>
      </c>
      <c r="E165" s="146">
        <f t="shared" si="10"/>
        <v>267677</v>
      </c>
      <c r="F165" s="150">
        <f t="shared" si="11"/>
        <v>0.11100697409296773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4800199</v>
      </c>
      <c r="D167" s="146">
        <v>5711680</v>
      </c>
      <c r="E167" s="146">
        <f t="shared" si="10"/>
        <v>911481</v>
      </c>
      <c r="F167" s="150">
        <f t="shared" si="11"/>
        <v>0.18988400272572034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794355</v>
      </c>
      <c r="D168" s="146">
        <v>793768</v>
      </c>
      <c r="E168" s="146">
        <f t="shared" si="10"/>
        <v>-587</v>
      </c>
      <c r="F168" s="150">
        <f t="shared" si="11"/>
        <v>-7.3896431696156002E-4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4108242</v>
      </c>
      <c r="D169" s="146">
        <v>4214836</v>
      </c>
      <c r="E169" s="146">
        <f t="shared" si="10"/>
        <v>106594</v>
      </c>
      <c r="F169" s="150">
        <f t="shared" si="11"/>
        <v>2.5946378037126343E-2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1741236</v>
      </c>
      <c r="D170" s="146">
        <v>1991512</v>
      </c>
      <c r="E170" s="146">
        <f t="shared" si="10"/>
        <v>250276</v>
      </c>
      <c r="F170" s="150">
        <f t="shared" si="11"/>
        <v>0.14373468042241258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39581251</v>
      </c>
      <c r="D171" s="147">
        <f>SUM(D158:D170)</f>
        <v>41603622</v>
      </c>
      <c r="E171" s="147">
        <f t="shared" si="10"/>
        <v>2022371</v>
      </c>
      <c r="F171" s="148">
        <f t="shared" si="11"/>
        <v>5.1094165770556366E-2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25007897</v>
      </c>
      <c r="D174" s="146">
        <v>30016864</v>
      </c>
      <c r="E174" s="146">
        <f>D174-C174</f>
        <v>5008967</v>
      </c>
      <c r="F174" s="150">
        <f>IF(C174=0,0,E174/C174)</f>
        <v>0.20029541068567261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287530757</v>
      </c>
      <c r="D176" s="147">
        <f>+D174+D171+D155+D118+D109</f>
        <v>305925000</v>
      </c>
      <c r="E176" s="147">
        <f>D176-C176</f>
        <v>18394243</v>
      </c>
      <c r="F176" s="148">
        <f>IF(C176=0,0,E176/C176)</f>
        <v>6.3973131750910392E-2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269158231</v>
      </c>
      <c r="D11" s="164">
        <v>279086000</v>
      </c>
      <c r="E11" s="51">
        <v>297010000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24947769</v>
      </c>
      <c r="D12" s="49">
        <v>21807197</v>
      </c>
      <c r="E12" s="49">
        <v>18563000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294106000</v>
      </c>
      <c r="D13" s="51">
        <f>+D11+D12</f>
        <v>300893197</v>
      </c>
      <c r="E13" s="51">
        <f>+E11+E12</f>
        <v>315573000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283532000</v>
      </c>
      <c r="D14" s="49">
        <v>287530757</v>
      </c>
      <c r="E14" s="49">
        <v>305925000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10574000</v>
      </c>
      <c r="D15" s="51">
        <f>+D13-D14</f>
        <v>13362440</v>
      </c>
      <c r="E15" s="51">
        <f>+E13-E14</f>
        <v>9648000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-1092000</v>
      </c>
      <c r="D16" s="49">
        <v>-369000</v>
      </c>
      <c r="E16" s="49">
        <v>-3626000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9482000</v>
      </c>
      <c r="D17" s="51">
        <f>D15+D16</f>
        <v>12993440</v>
      </c>
      <c r="E17" s="51">
        <f>E15+E16</f>
        <v>6022000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3.6087012907233103E-2</v>
      </c>
      <c r="D20" s="169">
        <f>IF(+D27=0,0,+D24/+D27)</f>
        <v>4.4463774076734325E-2</v>
      </c>
      <c r="E20" s="169">
        <f>IF(+E27=0,0,+E24/+E27)</f>
        <v>3.0928330774137914E-2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-3.7267843857290094E-3</v>
      </c>
      <c r="D21" s="169">
        <f>IF(D27=0,0,+D26/D27)</f>
        <v>-1.2278545411103785E-3</v>
      </c>
      <c r="E21" s="169">
        <f>IF(E27=0,0,+E26/E27)</f>
        <v>-1.1623769422369826E-2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3.2360228521504095E-2</v>
      </c>
      <c r="D22" s="169">
        <f>IF(D27=0,0,+D28/D27)</f>
        <v>4.3235919535623946E-2</v>
      </c>
      <c r="E22" s="169">
        <f>IF(E27=0,0,+E28/E27)</f>
        <v>1.9304561351768088E-2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10574000</v>
      </c>
      <c r="D24" s="51">
        <f>+D15</f>
        <v>13362440</v>
      </c>
      <c r="E24" s="51">
        <f>+E15</f>
        <v>9648000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294106000</v>
      </c>
      <c r="D25" s="51">
        <f>+D13</f>
        <v>300893197</v>
      </c>
      <c r="E25" s="51">
        <f>+E13</f>
        <v>315573000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-1092000</v>
      </c>
      <c r="D26" s="51">
        <f>+D16</f>
        <v>-369000</v>
      </c>
      <c r="E26" s="51">
        <f>+E16</f>
        <v>-3626000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293014000</v>
      </c>
      <c r="D27" s="51">
        <f>+D25+D26</f>
        <v>300524197</v>
      </c>
      <c r="E27" s="51">
        <f>+E25+E26</f>
        <v>311947000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9482000</v>
      </c>
      <c r="D28" s="51">
        <f>+D17</f>
        <v>12993440</v>
      </c>
      <c r="E28" s="51">
        <f>+E17</f>
        <v>6022000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280445000</v>
      </c>
      <c r="D31" s="51">
        <v>282678000</v>
      </c>
      <c r="E31" s="51">
        <v>266335000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328100000</v>
      </c>
      <c r="D32" s="51">
        <v>331518000</v>
      </c>
      <c r="E32" s="51">
        <v>311302000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-24060000</v>
      </c>
      <c r="D33" s="51">
        <f>+D32-C32</f>
        <v>3418000</v>
      </c>
      <c r="E33" s="51">
        <f>+E32-D32</f>
        <v>-20216000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0.93159999999999998</v>
      </c>
      <c r="D34" s="171">
        <f>IF(C32=0,0,+D33/C32)</f>
        <v>1.0417555623285583E-2</v>
      </c>
      <c r="E34" s="171">
        <f>IF(D32=0,0,+E33/D32)</f>
        <v>-6.0980097611592732E-2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0.3316827104231575</v>
      </c>
      <c r="D38" s="172">
        <f>IF((D40+D41)=0,0,+D39/(D40+D41))</f>
        <v>0.31130005798504534</v>
      </c>
      <c r="E38" s="172">
        <f>IF((E40+E41)=0,0,+E39/(E40+E41))</f>
        <v>0.31687384040798827</v>
      </c>
      <c r="F38" s="5"/>
    </row>
    <row r="39" spans="1:6" ht="24" customHeight="1" x14ac:dyDescent="0.2">
      <c r="A39" s="21">
        <v>2</v>
      </c>
      <c r="B39" s="48" t="s">
        <v>324</v>
      </c>
      <c r="C39" s="51">
        <v>283532000</v>
      </c>
      <c r="D39" s="51">
        <v>287530757</v>
      </c>
      <c r="E39" s="23">
        <v>305925000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829881442</v>
      </c>
      <c r="D40" s="51">
        <v>900732964</v>
      </c>
      <c r="E40" s="23">
        <v>944999461</v>
      </c>
      <c r="F40" s="5"/>
    </row>
    <row r="41" spans="1:6" ht="24" customHeight="1" x14ac:dyDescent="0.2">
      <c r="A41" s="21">
        <v>4</v>
      </c>
      <c r="B41" s="48" t="s">
        <v>326</v>
      </c>
      <c r="C41" s="51">
        <v>24947559</v>
      </c>
      <c r="D41" s="51">
        <v>22912084</v>
      </c>
      <c r="E41" s="23">
        <v>20447859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1.206034382274306</v>
      </c>
      <c r="D43" s="173">
        <f>IF(D38=0,0,IF((D46-D47)=0,0,((+D44-D45)/(D46-D47)/D38)))</f>
        <v>1.2203751888119512</v>
      </c>
      <c r="E43" s="173">
        <f>IF(E38=0,0,IF((E46-E47)=0,0,((+E44-E45)/(E46-E47)/E38)))</f>
        <v>1.2660138859873504</v>
      </c>
      <c r="F43" s="5"/>
    </row>
    <row r="44" spans="1:6" ht="24" customHeight="1" x14ac:dyDescent="0.2">
      <c r="A44" s="21">
        <v>6</v>
      </c>
      <c r="B44" s="48" t="s">
        <v>328</v>
      </c>
      <c r="C44" s="51">
        <v>183789577</v>
      </c>
      <c r="D44" s="51">
        <v>186927133</v>
      </c>
      <c r="E44" s="23">
        <v>203271835</v>
      </c>
      <c r="F44" s="5"/>
    </row>
    <row r="45" spans="1:6" ht="24" customHeight="1" x14ac:dyDescent="0.2">
      <c r="A45" s="21">
        <v>7</v>
      </c>
      <c r="B45" s="48" t="s">
        <v>329</v>
      </c>
      <c r="C45" s="51">
        <v>4423064</v>
      </c>
      <c r="D45" s="51">
        <v>3589710</v>
      </c>
      <c r="E45" s="23">
        <v>4699011</v>
      </c>
      <c r="F45" s="5"/>
    </row>
    <row r="46" spans="1:6" ht="24" customHeight="1" x14ac:dyDescent="0.2">
      <c r="A46" s="21">
        <v>8</v>
      </c>
      <c r="B46" s="48" t="s">
        <v>330</v>
      </c>
      <c r="C46" s="51">
        <v>481796590</v>
      </c>
      <c r="D46" s="51">
        <v>516722413</v>
      </c>
      <c r="E46" s="23">
        <v>528332417</v>
      </c>
      <c r="F46" s="5"/>
    </row>
    <row r="47" spans="1:6" ht="24" customHeight="1" x14ac:dyDescent="0.2">
      <c r="A47" s="21">
        <v>9</v>
      </c>
      <c r="B47" s="48" t="s">
        <v>331</v>
      </c>
      <c r="C47" s="51">
        <v>33403571</v>
      </c>
      <c r="D47" s="51">
        <v>34132154</v>
      </c>
      <c r="E47" s="174">
        <v>33344092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0.71605657739302275</v>
      </c>
      <c r="D49" s="175">
        <f>IF(D38=0,0,IF(D51=0,0,(D50/D51)/D38))</f>
        <v>0.70617624670571044</v>
      </c>
      <c r="E49" s="175">
        <f>IF(E38=0,0,IF(E51=0,0,(E50/E51)/E38))</f>
        <v>0.67498538219852966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75089754</v>
      </c>
      <c r="D50" s="176">
        <v>74905519</v>
      </c>
      <c r="E50" s="176">
        <v>78069609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316162611</v>
      </c>
      <c r="D51" s="176">
        <v>340738738</v>
      </c>
      <c r="E51" s="176">
        <v>365007047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0.79744630098080271</v>
      </c>
      <c r="D53" s="175">
        <f>IF(D38=0,0,IF(D55=0,0,(D54/D55)/D38))</f>
        <v>0.5820866471448487</v>
      </c>
      <c r="E53" s="175">
        <f>IF(E38=0,0,IF(E55=0,0,(E54/E55)/E38))</f>
        <v>0.69468356937436782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4495846</v>
      </c>
      <c r="D54" s="176">
        <v>4340316</v>
      </c>
      <c r="E54" s="176">
        <v>6894134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16997582</v>
      </c>
      <c r="D55" s="176">
        <v>23952702</v>
      </c>
      <c r="E55" s="176">
        <v>31318886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9612333.1111972891</v>
      </c>
      <c r="D57" s="53">
        <f>+D60*D38</f>
        <v>9507864.5882050004</v>
      </c>
      <c r="E57" s="53">
        <f>+E60*E38</f>
        <v>9076876.8252678979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21129180</v>
      </c>
      <c r="D58" s="51">
        <v>20038812</v>
      </c>
      <c r="E58" s="52">
        <v>19375204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7851327</v>
      </c>
      <c r="D59" s="51">
        <v>10503632</v>
      </c>
      <c r="E59" s="52">
        <v>9269877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28980507</v>
      </c>
      <c r="D60" s="51">
        <v>30542444</v>
      </c>
      <c r="E60" s="52">
        <v>28645081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3.3902110206951205E-2</v>
      </c>
      <c r="D62" s="178">
        <f>IF(D63=0,0,+D57/D63)</f>
        <v>3.3067295782221312E-2</v>
      </c>
      <c r="E62" s="178">
        <f>IF(E63=0,0,+E57/E63)</f>
        <v>2.9670268285586002E-2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283532000</v>
      </c>
      <c r="D63" s="176">
        <v>287530757</v>
      </c>
      <c r="E63" s="176">
        <v>305925000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2.3109162883277792</v>
      </c>
      <c r="D67" s="179">
        <f>IF(D69=0,0,D68/D69)</f>
        <v>2.6894478002886619</v>
      </c>
      <c r="E67" s="179">
        <f>IF(E69=0,0,E68/E69)</f>
        <v>2.4005072362604123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103328000</v>
      </c>
      <c r="D68" s="180">
        <v>100623000</v>
      </c>
      <c r="E68" s="180">
        <v>103169000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44713000</v>
      </c>
      <c r="D69" s="180">
        <v>37414000</v>
      </c>
      <c r="E69" s="180">
        <v>42978000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83.213271736788187</v>
      </c>
      <c r="D71" s="181">
        <f>IF((D77/365)=0,0,+D74/(D77/365))</f>
        <v>75.77507802930792</v>
      </c>
      <c r="E71" s="181">
        <f>IF((E77/365)=0,0,+E74/(E77/365))</f>
        <v>68.33313908952185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32032000</v>
      </c>
      <c r="D72" s="182">
        <v>32013000</v>
      </c>
      <c r="E72" s="182">
        <v>32149000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28273000</v>
      </c>
      <c r="D73" s="184">
        <v>23470000</v>
      </c>
      <c r="E73" s="184">
        <v>21585000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60305000</v>
      </c>
      <c r="D74" s="180">
        <f>+D72+D73</f>
        <v>55483000</v>
      </c>
      <c r="E74" s="180">
        <f>+E72+E73</f>
        <v>53734000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283532000</v>
      </c>
      <c r="D75" s="180">
        <f>+D14</f>
        <v>287530757</v>
      </c>
      <c r="E75" s="180">
        <f>+E14</f>
        <v>305925000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19015000</v>
      </c>
      <c r="D76" s="180">
        <v>20275407</v>
      </c>
      <c r="E76" s="180">
        <v>18905989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264517000</v>
      </c>
      <c r="D77" s="180">
        <f>+D75-D76</f>
        <v>267255350</v>
      </c>
      <c r="E77" s="180">
        <f>+E75-E76</f>
        <v>287019011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43.253516553242619</v>
      </c>
      <c r="D79" s="179">
        <f>IF((D84/365)=0,0,+D83/(D84/365))</f>
        <v>42.183090516901601</v>
      </c>
      <c r="E79" s="179">
        <f>IF((E84/365)=0,0,+E83/(E84/365))</f>
        <v>39.57720278778492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32088000</v>
      </c>
      <c r="D80" s="189">
        <v>32518000</v>
      </c>
      <c r="E80" s="189">
        <v>32433000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192000</v>
      </c>
      <c r="D82" s="190">
        <v>264000</v>
      </c>
      <c r="E82" s="190">
        <v>228000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31896000</v>
      </c>
      <c r="D83" s="191">
        <f>+D80+D81-D82</f>
        <v>32254000</v>
      </c>
      <c r="E83" s="191">
        <f>+E80+E81-E82</f>
        <v>32205000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269158231</v>
      </c>
      <c r="D84" s="191">
        <f>+D11</f>
        <v>279086000</v>
      </c>
      <c r="E84" s="191">
        <f>+E11</f>
        <v>297010000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61.698284042235471</v>
      </c>
      <c r="D86" s="179">
        <f>IF((D90/365)=0,0,+D87/(D90/365))</f>
        <v>51.097611329389665</v>
      </c>
      <c r="E86" s="179">
        <f>IF((E90/365)=0,0,+E87/(E90/365))</f>
        <v>54.654811698170057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44713000</v>
      </c>
      <c r="D87" s="51">
        <f>+D69</f>
        <v>37414000</v>
      </c>
      <c r="E87" s="51">
        <f>+E69</f>
        <v>42978000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283532000</v>
      </c>
      <c r="D88" s="51">
        <f t="shared" si="0"/>
        <v>287530757</v>
      </c>
      <c r="E88" s="51">
        <f t="shared" si="0"/>
        <v>305925000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19015000</v>
      </c>
      <c r="D89" s="52">
        <f t="shared" si="0"/>
        <v>20275407</v>
      </c>
      <c r="E89" s="52">
        <f t="shared" si="0"/>
        <v>18905989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264517000</v>
      </c>
      <c r="D90" s="51">
        <f>+D88-D89</f>
        <v>267255350</v>
      </c>
      <c r="E90" s="51">
        <f>+E88-E89</f>
        <v>287019011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69.464881172921196</v>
      </c>
      <c r="D94" s="192">
        <f>IF(D96=0,0,(D95/D96)*100)</f>
        <v>70.267829891138462</v>
      </c>
      <c r="E94" s="192">
        <f>IF(E96=0,0,(E95/E96)*100)</f>
        <v>65.828432709732937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328100000</v>
      </c>
      <c r="D95" s="51">
        <f>+D32</f>
        <v>331518000</v>
      </c>
      <c r="E95" s="51">
        <f>+E32</f>
        <v>311302000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472325000</v>
      </c>
      <c r="D96" s="51">
        <v>471792000</v>
      </c>
      <c r="E96" s="51">
        <v>472899000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30.982408836895779</v>
      </c>
      <c r="D98" s="192">
        <f>IF(D104=0,0,(D101/D104)*100)</f>
        <v>40.365506739950739</v>
      </c>
      <c r="E98" s="192">
        <f>IF(E104=0,0,(E101/E104)*100)</f>
        <v>29.113659881106713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9482000</v>
      </c>
      <c r="D99" s="51">
        <f>+D28</f>
        <v>12993440</v>
      </c>
      <c r="E99" s="51">
        <f>+E28</f>
        <v>6022000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19015000</v>
      </c>
      <c r="D100" s="52">
        <f>+D76</f>
        <v>20275407</v>
      </c>
      <c r="E100" s="52">
        <f>+E76</f>
        <v>18905989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28497000</v>
      </c>
      <c r="D101" s="51">
        <f>+D99+D100</f>
        <v>33268847</v>
      </c>
      <c r="E101" s="51">
        <f>+E99+E100</f>
        <v>24927989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44713000</v>
      </c>
      <c r="D102" s="180">
        <f>+D69</f>
        <v>37414000</v>
      </c>
      <c r="E102" s="180">
        <f>+E69</f>
        <v>42978000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47265000</v>
      </c>
      <c r="D103" s="194">
        <v>45005000</v>
      </c>
      <c r="E103" s="194">
        <v>42645000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91978000</v>
      </c>
      <c r="D104" s="180">
        <f>+D102+D103</f>
        <v>82419000</v>
      </c>
      <c r="E104" s="180">
        <f>+E102+E103</f>
        <v>85623000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12.591744035805149</v>
      </c>
      <c r="D106" s="197">
        <f>IF(D109=0,0,(D107/D109)*100)</f>
        <v>11.952789072646294</v>
      </c>
      <c r="E106" s="197">
        <f>IF(E109=0,0,(E107/E109)*100)</f>
        <v>12.048414028088951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47265000</v>
      </c>
      <c r="D107" s="180">
        <f>+D103</f>
        <v>45005000</v>
      </c>
      <c r="E107" s="180">
        <f>+E103</f>
        <v>42645000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328100000</v>
      </c>
      <c r="D108" s="180">
        <f>+D32</f>
        <v>331518000</v>
      </c>
      <c r="E108" s="180">
        <f>+E32</f>
        <v>311302000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375365000</v>
      </c>
      <c r="D109" s="180">
        <f>+D107+D108</f>
        <v>376523000</v>
      </c>
      <c r="E109" s="180">
        <f>+E107+E108</f>
        <v>353947000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10.476293103448276</v>
      </c>
      <c r="D111" s="197">
        <f>IF((+D113+D115)=0,0,((+D112+D113+D114)/(+D113+D115)))</f>
        <v>12.777590446003732</v>
      </c>
      <c r="E111" s="197">
        <f>IF((+E113+E115)=0,0,((+E112+E113+E114)/(+E113+E115)))</f>
        <v>9.4409701534776751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9482000</v>
      </c>
      <c r="D112" s="180">
        <f>+D17</f>
        <v>12993440</v>
      </c>
      <c r="E112" s="180">
        <f>+E17</f>
        <v>6022000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669000</v>
      </c>
      <c r="D113" s="180">
        <v>448812</v>
      </c>
      <c r="E113" s="180">
        <v>425472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19015000</v>
      </c>
      <c r="D114" s="180">
        <v>20275407</v>
      </c>
      <c r="E114" s="180">
        <v>18905989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2115000</v>
      </c>
      <c r="D115" s="180">
        <v>2190000</v>
      </c>
      <c r="E115" s="180">
        <v>2260000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8.0895608729950048</v>
      </c>
      <c r="D119" s="197">
        <f>IF(+D121=0,0,(+D120)/(+D121))</f>
        <v>8.5583485451118193</v>
      </c>
      <c r="E119" s="197">
        <f>IF(+E121=0,0,(+E120)/(+E121))</f>
        <v>10.125997640218664</v>
      </c>
    </row>
    <row r="120" spans="1:8" ht="24" customHeight="1" x14ac:dyDescent="0.25">
      <c r="A120" s="17">
        <v>21</v>
      </c>
      <c r="B120" s="48" t="s">
        <v>369</v>
      </c>
      <c r="C120" s="180">
        <v>153823000</v>
      </c>
      <c r="D120" s="180">
        <v>173524000</v>
      </c>
      <c r="E120" s="180">
        <v>191442000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19015000</v>
      </c>
      <c r="D121" s="180">
        <v>20275407</v>
      </c>
      <c r="E121" s="180">
        <v>18905989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50149</v>
      </c>
      <c r="D124" s="198">
        <v>53059</v>
      </c>
      <c r="E124" s="198">
        <v>52638</v>
      </c>
    </row>
    <row r="125" spans="1:8" ht="24" customHeight="1" x14ac:dyDescent="0.2">
      <c r="A125" s="44">
        <v>2</v>
      </c>
      <c r="B125" s="48" t="s">
        <v>373</v>
      </c>
      <c r="C125" s="198">
        <v>12931</v>
      </c>
      <c r="D125" s="198">
        <v>13627</v>
      </c>
      <c r="E125" s="198">
        <v>13479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3.8781996751991339</v>
      </c>
      <c r="D126" s="199">
        <f>IF(D125=0,0,D124/D125)</f>
        <v>3.8936669846628016</v>
      </c>
      <c r="E126" s="199">
        <f>IF(E125=0,0,E124/E125)</f>
        <v>3.905185844647229</v>
      </c>
    </row>
    <row r="127" spans="1:8" ht="24" customHeight="1" x14ac:dyDescent="0.2">
      <c r="A127" s="44">
        <v>4</v>
      </c>
      <c r="B127" s="48" t="s">
        <v>375</v>
      </c>
      <c r="C127" s="198">
        <v>206</v>
      </c>
      <c r="D127" s="198">
        <v>206</v>
      </c>
      <c r="E127" s="198">
        <v>206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206</v>
      </c>
      <c r="E128" s="198">
        <v>206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206</v>
      </c>
      <c r="D129" s="198">
        <v>206</v>
      </c>
      <c r="E129" s="198">
        <v>206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0.66690000000000005</v>
      </c>
      <c r="D130" s="171">
        <v>0.7056</v>
      </c>
      <c r="E130" s="171">
        <v>0.7</v>
      </c>
    </row>
    <row r="131" spans="1:8" ht="24" customHeight="1" x14ac:dyDescent="0.2">
      <c r="A131" s="44">
        <v>7</v>
      </c>
      <c r="B131" s="48" t="s">
        <v>379</v>
      </c>
      <c r="C131" s="171">
        <v>0.66690000000000005</v>
      </c>
      <c r="D131" s="171">
        <v>0.7056</v>
      </c>
      <c r="E131" s="171">
        <v>0.7</v>
      </c>
    </row>
    <row r="132" spans="1:8" ht="24" customHeight="1" x14ac:dyDescent="0.2">
      <c r="A132" s="44">
        <v>8</v>
      </c>
      <c r="B132" s="48" t="s">
        <v>380</v>
      </c>
      <c r="C132" s="199">
        <v>1440.1</v>
      </c>
      <c r="D132" s="199">
        <v>1461.7</v>
      </c>
      <c r="E132" s="199">
        <v>1613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0.54030973137485827</v>
      </c>
      <c r="D135" s="203">
        <f>IF(D149=0,0,D143/D149)</f>
        <v>0.53577506129774555</v>
      </c>
      <c r="E135" s="203">
        <f>IF(E149=0,0,E143/E149)</f>
        <v>0.52379746807072514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0.38097322701668512</v>
      </c>
      <c r="D136" s="203">
        <f>IF(D149=0,0,D144/D149)</f>
        <v>0.37829051630001187</v>
      </c>
      <c r="E136" s="203">
        <f>IF(E149=0,0,E144/E149)</f>
        <v>0.38625106369240564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2.0481940117899396E-2</v>
      </c>
      <c r="D137" s="203">
        <f>IF(D149=0,0,D145/D149)</f>
        <v>2.6592456318718673E-2</v>
      </c>
      <c r="E137" s="203">
        <f>IF(E149=0,0,E145/E149)</f>
        <v>3.3141697209920419E-2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1.7207830272218571E-2</v>
      </c>
      <c r="D138" s="203">
        <f>IF(D149=0,0,D146/D149)</f>
        <v>2.0857789989797686E-2</v>
      </c>
      <c r="E138" s="203">
        <f>IF(E149=0,0,E146/E149)</f>
        <v>2.1061659631994224E-2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4.0251015758947406E-2</v>
      </c>
      <c r="D139" s="203">
        <f>IF(D149=0,0,D147/D149)</f>
        <v>3.7893754713300358E-2</v>
      </c>
      <c r="E139" s="203">
        <f>IF(E149=0,0,E147/E149)</f>
        <v>3.5284773564542807E-2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7.7625545939127047E-4</v>
      </c>
      <c r="D140" s="203">
        <f>IF(D149=0,0,D148/D149)</f>
        <v>5.9042138042590838E-4</v>
      </c>
      <c r="E140" s="203">
        <f>IF(E149=0,0,E148/E149)</f>
        <v>4.6333783041173609E-4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448393019</v>
      </c>
      <c r="D143" s="205">
        <f>+D46-D147</f>
        <v>482590259</v>
      </c>
      <c r="E143" s="205">
        <f>+E46-E147</f>
        <v>494988325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316162611</v>
      </c>
      <c r="D144" s="205">
        <f>+D51</f>
        <v>340738738</v>
      </c>
      <c r="E144" s="205">
        <f>+E51</f>
        <v>365007047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16997582</v>
      </c>
      <c r="D145" s="205">
        <f>+D55</f>
        <v>23952702</v>
      </c>
      <c r="E145" s="205">
        <f>+E55</f>
        <v>31318886</v>
      </c>
    </row>
    <row r="146" spans="1:7" ht="20.100000000000001" customHeight="1" x14ac:dyDescent="0.2">
      <c r="A146" s="202">
        <v>11</v>
      </c>
      <c r="B146" s="201" t="s">
        <v>392</v>
      </c>
      <c r="C146" s="204">
        <v>14280459</v>
      </c>
      <c r="D146" s="205">
        <v>18787299</v>
      </c>
      <c r="E146" s="205">
        <v>19903257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33403571</v>
      </c>
      <c r="D147" s="205">
        <f>+D47</f>
        <v>34132154</v>
      </c>
      <c r="E147" s="205">
        <f>+E47</f>
        <v>33344092</v>
      </c>
    </row>
    <row r="148" spans="1:7" ht="20.100000000000001" customHeight="1" x14ac:dyDescent="0.2">
      <c r="A148" s="202">
        <v>13</v>
      </c>
      <c r="B148" s="201" t="s">
        <v>394</v>
      </c>
      <c r="C148" s="206">
        <v>644200</v>
      </c>
      <c r="D148" s="205">
        <v>531812</v>
      </c>
      <c r="E148" s="205">
        <v>437854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829881442</v>
      </c>
      <c r="D149" s="205">
        <f>SUM(D143:D148)</f>
        <v>900732964</v>
      </c>
      <c r="E149" s="205">
        <f>SUM(E143:E148)</f>
        <v>944999461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0.67449627907873655</v>
      </c>
      <c r="D152" s="203">
        <f>IF(D166=0,0,D160/D166)</f>
        <v>0.67801919768779995</v>
      </c>
      <c r="E152" s="203">
        <f>IF(E166=0,0,E160/E166)</f>
        <v>0.68167156742086998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0.28237020847886846</v>
      </c>
      <c r="D153" s="203">
        <f>IF(D166=0,0,D161/D166)</f>
        <v>0.2770158926842135</v>
      </c>
      <c r="E153" s="203">
        <f>IF(E166=0,0,E161/E166)</f>
        <v>0.26800159086705871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1.6906340807946806E-2</v>
      </c>
      <c r="D154" s="203">
        <f>IF(D166=0,0,D162/D166)</f>
        <v>1.6051374148700243E-2</v>
      </c>
      <c r="E154" s="203">
        <f>IF(E166=0,0,E162/E166)</f>
        <v>2.3666557362298037E-2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8.7435512660379959E-3</v>
      </c>
      <c r="D155" s="203">
        <f>IF(D166=0,0,D163/D166)</f>
        <v>1.5499494858612519E-2</v>
      </c>
      <c r="E155" s="203">
        <f>IF(E166=0,0,E163/E166)</f>
        <v>1.0021977750971153E-2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1.663264876051369E-2</v>
      </c>
      <c r="D156" s="203">
        <f>IF(D166=0,0,D164/D166)</f>
        <v>1.3275480010057045E-2</v>
      </c>
      <c r="E156" s="203">
        <f>IF(E166=0,0,E164/E166)</f>
        <v>1.6131019991425966E-2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8.5097160789651834E-4</v>
      </c>
      <c r="D157" s="203">
        <f>IF(D166=0,0,D165/D166)</f>
        <v>1.3856061061668138E-4</v>
      </c>
      <c r="E157" s="203">
        <f>IF(E166=0,0,E165/E166)</f>
        <v>5.0728660737610115E-4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1.0000000000000002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179366513</v>
      </c>
      <c r="D160" s="208">
        <f>+D44-D164</f>
        <v>183337423</v>
      </c>
      <c r="E160" s="208">
        <f>+E44-E164</f>
        <v>198572824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75089754</v>
      </c>
      <c r="D161" s="208">
        <f>+D50</f>
        <v>74905519</v>
      </c>
      <c r="E161" s="208">
        <f>+E50</f>
        <v>78069609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4495846</v>
      </c>
      <c r="D162" s="208">
        <f>+D54</f>
        <v>4340316</v>
      </c>
      <c r="E162" s="208">
        <f>+E54</f>
        <v>6894134</v>
      </c>
    </row>
    <row r="163" spans="1:6" ht="20.100000000000001" customHeight="1" x14ac:dyDescent="0.2">
      <c r="A163" s="202">
        <v>11</v>
      </c>
      <c r="B163" s="201" t="s">
        <v>408</v>
      </c>
      <c r="C163" s="207">
        <v>2325143</v>
      </c>
      <c r="D163" s="208">
        <v>4191087</v>
      </c>
      <c r="E163" s="208">
        <v>2919430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4423064</v>
      </c>
      <c r="D164" s="208">
        <f>+D45</f>
        <v>3589710</v>
      </c>
      <c r="E164" s="208">
        <f>+E45</f>
        <v>4699011</v>
      </c>
    </row>
    <row r="165" spans="1:6" ht="20.100000000000001" customHeight="1" x14ac:dyDescent="0.2">
      <c r="A165" s="202">
        <v>13</v>
      </c>
      <c r="B165" s="201" t="s">
        <v>410</v>
      </c>
      <c r="C165" s="209">
        <v>226296</v>
      </c>
      <c r="D165" s="208">
        <v>37467</v>
      </c>
      <c r="E165" s="208">
        <v>147774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265926616</v>
      </c>
      <c r="D166" s="208">
        <f>SUM(D160:D165)</f>
        <v>270401522</v>
      </c>
      <c r="E166" s="208">
        <f>SUM(E160:E165)</f>
        <v>291302782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7298</v>
      </c>
      <c r="D169" s="198">
        <v>7582</v>
      </c>
      <c r="E169" s="198">
        <v>7441</v>
      </c>
    </row>
    <row r="170" spans="1:6" ht="20.100000000000001" customHeight="1" x14ac:dyDescent="0.2">
      <c r="A170" s="202">
        <v>2</v>
      </c>
      <c r="B170" s="201" t="s">
        <v>414</v>
      </c>
      <c r="C170" s="198">
        <v>5054</v>
      </c>
      <c r="D170" s="198">
        <v>5269</v>
      </c>
      <c r="E170" s="198">
        <v>5255</v>
      </c>
    </row>
    <row r="171" spans="1:6" ht="20.100000000000001" customHeight="1" x14ac:dyDescent="0.2">
      <c r="A171" s="202">
        <v>3</v>
      </c>
      <c r="B171" s="201" t="s">
        <v>415</v>
      </c>
      <c r="C171" s="198">
        <v>573</v>
      </c>
      <c r="D171" s="198">
        <v>770</v>
      </c>
      <c r="E171" s="198">
        <v>779</v>
      </c>
    </row>
    <row r="172" spans="1:6" ht="20.100000000000001" customHeight="1" x14ac:dyDescent="0.2">
      <c r="A172" s="202">
        <v>4</v>
      </c>
      <c r="B172" s="201" t="s">
        <v>416</v>
      </c>
      <c r="C172" s="198">
        <v>327</v>
      </c>
      <c r="D172" s="198">
        <v>517</v>
      </c>
      <c r="E172" s="198">
        <v>445</v>
      </c>
    </row>
    <row r="173" spans="1:6" ht="20.100000000000001" customHeight="1" x14ac:dyDescent="0.2">
      <c r="A173" s="202">
        <v>5</v>
      </c>
      <c r="B173" s="201" t="s">
        <v>417</v>
      </c>
      <c r="C173" s="198">
        <v>246</v>
      </c>
      <c r="D173" s="198">
        <v>253</v>
      </c>
      <c r="E173" s="198">
        <v>334</v>
      </c>
    </row>
    <row r="174" spans="1:6" ht="20.100000000000001" customHeight="1" x14ac:dyDescent="0.2">
      <c r="A174" s="202">
        <v>6</v>
      </c>
      <c r="B174" s="201" t="s">
        <v>418</v>
      </c>
      <c r="C174" s="198">
        <v>6</v>
      </c>
      <c r="D174" s="198">
        <v>6</v>
      </c>
      <c r="E174" s="198">
        <v>4</v>
      </c>
    </row>
    <row r="175" spans="1:6" ht="20.100000000000001" customHeight="1" x14ac:dyDescent="0.2">
      <c r="A175" s="202">
        <v>7</v>
      </c>
      <c r="B175" s="201" t="s">
        <v>419</v>
      </c>
      <c r="C175" s="198">
        <v>296</v>
      </c>
      <c r="D175" s="198">
        <v>333</v>
      </c>
      <c r="E175" s="198">
        <v>290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12931</v>
      </c>
      <c r="D176" s="198">
        <f>+D169+D170+D171+D174</f>
        <v>13627</v>
      </c>
      <c r="E176" s="198">
        <f>+E169+E170+E171+E174</f>
        <v>13479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0.84550000000000003</v>
      </c>
      <c r="D179" s="210">
        <v>0.87150000000000005</v>
      </c>
      <c r="E179" s="210">
        <v>0.94159999999999999</v>
      </c>
    </row>
    <row r="180" spans="1:6" ht="20.100000000000001" customHeight="1" x14ac:dyDescent="0.2">
      <c r="A180" s="202">
        <v>2</v>
      </c>
      <c r="B180" s="201" t="s">
        <v>414</v>
      </c>
      <c r="C180" s="210">
        <v>1.4065000000000001</v>
      </c>
      <c r="D180" s="210">
        <v>1.4205000000000001</v>
      </c>
      <c r="E180" s="210">
        <v>1.4139999999999999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1.057653</v>
      </c>
      <c r="D181" s="210">
        <v>0.92362100000000003</v>
      </c>
      <c r="E181" s="210">
        <v>0.97698399999999996</v>
      </c>
    </row>
    <row r="182" spans="1:6" ht="20.100000000000001" customHeight="1" x14ac:dyDescent="0.2">
      <c r="A182" s="202">
        <v>4</v>
      </c>
      <c r="B182" s="201" t="s">
        <v>416</v>
      </c>
      <c r="C182" s="210">
        <v>1.1254</v>
      </c>
      <c r="D182" s="210">
        <v>0.87909999999999999</v>
      </c>
      <c r="E182" s="210">
        <v>0.97989999999999999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0.96760000000000002</v>
      </c>
      <c r="D183" s="210">
        <v>1.0145999999999999</v>
      </c>
      <c r="E183" s="210">
        <v>0.97309999999999997</v>
      </c>
    </row>
    <row r="184" spans="1:6" ht="20.100000000000001" customHeight="1" x14ac:dyDescent="0.2">
      <c r="A184" s="202">
        <v>6</v>
      </c>
      <c r="B184" s="201" t="s">
        <v>418</v>
      </c>
      <c r="C184" s="210">
        <v>1.4673</v>
      </c>
      <c r="D184" s="210">
        <v>0.99019999999999997</v>
      </c>
      <c r="E184" s="210">
        <v>0.58199999999999996</v>
      </c>
    </row>
    <row r="185" spans="1:6" ht="20.100000000000001" customHeight="1" x14ac:dyDescent="0.2">
      <c r="A185" s="202">
        <v>7</v>
      </c>
      <c r="B185" s="201" t="s">
        <v>419</v>
      </c>
      <c r="C185" s="210">
        <v>0.91779999999999995</v>
      </c>
      <c r="D185" s="210">
        <v>0.99360000000000004</v>
      </c>
      <c r="E185" s="210">
        <v>0.99399999999999999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1.074452</v>
      </c>
      <c r="D186" s="210">
        <v>1.086773</v>
      </c>
      <c r="E186" s="210">
        <v>1.12771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7824</v>
      </c>
      <c r="D189" s="198">
        <v>7764</v>
      </c>
      <c r="E189" s="198">
        <v>7715</v>
      </c>
    </row>
    <row r="190" spans="1:6" ht="20.100000000000001" customHeight="1" x14ac:dyDescent="0.2">
      <c r="A190" s="202">
        <v>2</v>
      </c>
      <c r="B190" s="201" t="s">
        <v>427</v>
      </c>
      <c r="C190" s="198">
        <v>35461</v>
      </c>
      <c r="D190" s="198">
        <v>34887</v>
      </c>
      <c r="E190" s="198">
        <v>35170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43285</v>
      </c>
      <c r="D191" s="198">
        <f>+D190+D189</f>
        <v>42651</v>
      </c>
      <c r="E191" s="198">
        <f>+E190+E189</f>
        <v>42885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FILING&amp;RGREENWICH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300901</v>
      </c>
      <c r="D14" s="237">
        <v>136918</v>
      </c>
      <c r="E14" s="237">
        <f t="shared" ref="E14:E24" si="0">D14-C14</f>
        <v>-163983</v>
      </c>
      <c r="F14" s="238">
        <f t="shared" ref="F14:F24" si="1">IF(C14=0,0,E14/C14)</f>
        <v>-0.54497326363155985</v>
      </c>
    </row>
    <row r="15" spans="1:7" ht="20.25" customHeight="1" x14ac:dyDescent="0.3">
      <c r="A15" s="235">
        <v>2</v>
      </c>
      <c r="B15" s="236" t="s">
        <v>435</v>
      </c>
      <c r="C15" s="237">
        <v>42474</v>
      </c>
      <c r="D15" s="237">
        <v>70457</v>
      </c>
      <c r="E15" s="237">
        <f t="shared" si="0"/>
        <v>27983</v>
      </c>
      <c r="F15" s="238">
        <f t="shared" si="1"/>
        <v>0.6588265762584169</v>
      </c>
    </row>
    <row r="16" spans="1:7" ht="20.25" customHeight="1" x14ac:dyDescent="0.3">
      <c r="A16" s="235">
        <v>3</v>
      </c>
      <c r="B16" s="236" t="s">
        <v>436</v>
      </c>
      <c r="C16" s="237">
        <v>383944</v>
      </c>
      <c r="D16" s="237">
        <v>285950</v>
      </c>
      <c r="E16" s="237">
        <f t="shared" si="0"/>
        <v>-97994</v>
      </c>
      <c r="F16" s="238">
        <f t="shared" si="1"/>
        <v>-0.25522992936469902</v>
      </c>
    </row>
    <row r="17" spans="1:6" ht="20.25" customHeight="1" x14ac:dyDescent="0.3">
      <c r="A17" s="235">
        <v>4</v>
      </c>
      <c r="B17" s="236" t="s">
        <v>437</v>
      </c>
      <c r="C17" s="237">
        <v>45304</v>
      </c>
      <c r="D17" s="237">
        <v>55633</v>
      </c>
      <c r="E17" s="237">
        <f t="shared" si="0"/>
        <v>10329</v>
      </c>
      <c r="F17" s="238">
        <f t="shared" si="1"/>
        <v>0.22799311319088822</v>
      </c>
    </row>
    <row r="18" spans="1:6" ht="20.25" customHeight="1" x14ac:dyDescent="0.3">
      <c r="A18" s="235">
        <v>5</v>
      </c>
      <c r="B18" s="236" t="s">
        <v>373</v>
      </c>
      <c r="C18" s="239">
        <v>11</v>
      </c>
      <c r="D18" s="239">
        <v>4</v>
      </c>
      <c r="E18" s="239">
        <f t="shared" si="0"/>
        <v>-7</v>
      </c>
      <c r="F18" s="238">
        <f t="shared" si="1"/>
        <v>-0.63636363636363635</v>
      </c>
    </row>
    <row r="19" spans="1:6" ht="20.25" customHeight="1" x14ac:dyDescent="0.3">
      <c r="A19" s="235">
        <v>6</v>
      </c>
      <c r="B19" s="236" t="s">
        <v>372</v>
      </c>
      <c r="C19" s="239">
        <v>57</v>
      </c>
      <c r="D19" s="239">
        <v>13</v>
      </c>
      <c r="E19" s="239">
        <f t="shared" si="0"/>
        <v>-44</v>
      </c>
      <c r="F19" s="238">
        <f t="shared" si="1"/>
        <v>-0.77192982456140347</v>
      </c>
    </row>
    <row r="20" spans="1:6" ht="20.25" customHeight="1" x14ac:dyDescent="0.3">
      <c r="A20" s="235">
        <v>7</v>
      </c>
      <c r="B20" s="236" t="s">
        <v>438</v>
      </c>
      <c r="C20" s="239">
        <v>233</v>
      </c>
      <c r="D20" s="239">
        <v>182</v>
      </c>
      <c r="E20" s="239">
        <f t="shared" si="0"/>
        <v>-51</v>
      </c>
      <c r="F20" s="238">
        <f t="shared" si="1"/>
        <v>-0.21888412017167383</v>
      </c>
    </row>
    <row r="21" spans="1:6" ht="20.25" customHeight="1" x14ac:dyDescent="0.3">
      <c r="A21" s="235">
        <v>8</v>
      </c>
      <c r="B21" s="236" t="s">
        <v>439</v>
      </c>
      <c r="C21" s="239">
        <v>8</v>
      </c>
      <c r="D21" s="239">
        <v>13</v>
      </c>
      <c r="E21" s="239">
        <f t="shared" si="0"/>
        <v>5</v>
      </c>
      <c r="F21" s="238">
        <f t="shared" si="1"/>
        <v>0.625</v>
      </c>
    </row>
    <row r="22" spans="1:6" ht="20.25" customHeight="1" x14ac:dyDescent="0.3">
      <c r="A22" s="235">
        <v>9</v>
      </c>
      <c r="B22" s="236" t="s">
        <v>440</v>
      </c>
      <c r="C22" s="239">
        <v>16</v>
      </c>
      <c r="D22" s="239">
        <v>1</v>
      </c>
      <c r="E22" s="239">
        <f t="shared" si="0"/>
        <v>-15</v>
      </c>
      <c r="F22" s="238">
        <f t="shared" si="1"/>
        <v>-0.9375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684845</v>
      </c>
      <c r="D23" s="243">
        <f>+D14+D16</f>
        <v>422868</v>
      </c>
      <c r="E23" s="243">
        <f t="shared" si="0"/>
        <v>-261977</v>
      </c>
      <c r="F23" s="244">
        <f t="shared" si="1"/>
        <v>-0.38253473413692152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87778</v>
      </c>
      <c r="D24" s="243">
        <f>+D15+D17</f>
        <v>126090</v>
      </c>
      <c r="E24" s="243">
        <f t="shared" si="0"/>
        <v>38312</v>
      </c>
      <c r="F24" s="244">
        <f t="shared" si="1"/>
        <v>0.43646471781084101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211022</v>
      </c>
      <c r="D40" s="237">
        <v>275085</v>
      </c>
      <c r="E40" s="237">
        <f t="shared" ref="E40:E50" si="4">D40-C40</f>
        <v>64063</v>
      </c>
      <c r="F40" s="238">
        <f t="shared" ref="F40:F50" si="5">IF(C40=0,0,E40/C40)</f>
        <v>0.3035844603880164</v>
      </c>
    </row>
    <row r="41" spans="1:6" ht="20.25" customHeight="1" x14ac:dyDescent="0.3">
      <c r="A41" s="235">
        <v>2</v>
      </c>
      <c r="B41" s="236" t="s">
        <v>435</v>
      </c>
      <c r="C41" s="237">
        <v>73422</v>
      </c>
      <c r="D41" s="237">
        <v>68898</v>
      </c>
      <c r="E41" s="237">
        <f t="shared" si="4"/>
        <v>-4524</v>
      </c>
      <c r="F41" s="238">
        <f t="shared" si="5"/>
        <v>-6.1616409250633324E-2</v>
      </c>
    </row>
    <row r="42" spans="1:6" ht="20.25" customHeight="1" x14ac:dyDescent="0.3">
      <c r="A42" s="235">
        <v>3</v>
      </c>
      <c r="B42" s="236" t="s">
        <v>436</v>
      </c>
      <c r="C42" s="237">
        <v>125245</v>
      </c>
      <c r="D42" s="237">
        <v>320943</v>
      </c>
      <c r="E42" s="237">
        <f t="shared" si="4"/>
        <v>195698</v>
      </c>
      <c r="F42" s="238">
        <f t="shared" si="5"/>
        <v>1.5625214579424329</v>
      </c>
    </row>
    <row r="43" spans="1:6" ht="20.25" customHeight="1" x14ac:dyDescent="0.3">
      <c r="A43" s="235">
        <v>4</v>
      </c>
      <c r="B43" s="236" t="s">
        <v>437</v>
      </c>
      <c r="C43" s="237">
        <v>38502</v>
      </c>
      <c r="D43" s="237">
        <v>137641</v>
      </c>
      <c r="E43" s="237">
        <f t="shared" si="4"/>
        <v>99139</v>
      </c>
      <c r="F43" s="238">
        <f t="shared" si="5"/>
        <v>2.574905199729884</v>
      </c>
    </row>
    <row r="44" spans="1:6" ht="20.25" customHeight="1" x14ac:dyDescent="0.3">
      <c r="A44" s="235">
        <v>5</v>
      </c>
      <c r="B44" s="236" t="s">
        <v>373</v>
      </c>
      <c r="C44" s="239">
        <v>4</v>
      </c>
      <c r="D44" s="239">
        <v>6</v>
      </c>
      <c r="E44" s="239">
        <f t="shared" si="4"/>
        <v>2</v>
      </c>
      <c r="F44" s="238">
        <f t="shared" si="5"/>
        <v>0.5</v>
      </c>
    </row>
    <row r="45" spans="1:6" ht="20.25" customHeight="1" x14ac:dyDescent="0.3">
      <c r="A45" s="235">
        <v>6</v>
      </c>
      <c r="B45" s="236" t="s">
        <v>372</v>
      </c>
      <c r="C45" s="239">
        <v>32</v>
      </c>
      <c r="D45" s="239">
        <v>22</v>
      </c>
      <c r="E45" s="239">
        <f t="shared" si="4"/>
        <v>-10</v>
      </c>
      <c r="F45" s="238">
        <f t="shared" si="5"/>
        <v>-0.3125</v>
      </c>
    </row>
    <row r="46" spans="1:6" ht="20.25" customHeight="1" x14ac:dyDescent="0.3">
      <c r="A46" s="235">
        <v>7</v>
      </c>
      <c r="B46" s="236" t="s">
        <v>438</v>
      </c>
      <c r="C46" s="239">
        <v>132</v>
      </c>
      <c r="D46" s="239">
        <v>403</v>
      </c>
      <c r="E46" s="239">
        <f t="shared" si="4"/>
        <v>271</v>
      </c>
      <c r="F46" s="238">
        <f t="shared" si="5"/>
        <v>2.0530303030303032</v>
      </c>
    </row>
    <row r="47" spans="1:6" ht="20.25" customHeight="1" x14ac:dyDescent="0.3">
      <c r="A47" s="235">
        <v>8</v>
      </c>
      <c r="B47" s="236" t="s">
        <v>439</v>
      </c>
      <c r="C47" s="239">
        <v>5</v>
      </c>
      <c r="D47" s="239">
        <v>9</v>
      </c>
      <c r="E47" s="239">
        <f t="shared" si="4"/>
        <v>4</v>
      </c>
      <c r="F47" s="238">
        <f t="shared" si="5"/>
        <v>0.8</v>
      </c>
    </row>
    <row r="48" spans="1:6" ht="20.25" customHeight="1" x14ac:dyDescent="0.3">
      <c r="A48" s="235">
        <v>9</v>
      </c>
      <c r="B48" s="236" t="s">
        <v>440</v>
      </c>
      <c r="C48" s="239">
        <v>3</v>
      </c>
      <c r="D48" s="239">
        <v>5</v>
      </c>
      <c r="E48" s="239">
        <f t="shared" si="4"/>
        <v>2</v>
      </c>
      <c r="F48" s="238">
        <f t="shared" si="5"/>
        <v>0.66666666666666663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336267</v>
      </c>
      <c r="D49" s="243">
        <f>+D40+D42</f>
        <v>596028</v>
      </c>
      <c r="E49" s="243">
        <f t="shared" si="4"/>
        <v>259761</v>
      </c>
      <c r="F49" s="244">
        <f t="shared" si="5"/>
        <v>0.77248436510273089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111924</v>
      </c>
      <c r="D50" s="243">
        <f>+D41+D43</f>
        <v>206539</v>
      </c>
      <c r="E50" s="243">
        <f t="shared" si="4"/>
        <v>94615</v>
      </c>
      <c r="F50" s="244">
        <f t="shared" si="5"/>
        <v>0.84535041635395447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3694474</v>
      </c>
      <c r="D53" s="237">
        <v>427054</v>
      </c>
      <c r="E53" s="237">
        <f t="shared" ref="E53:E63" si="6">D53-C53</f>
        <v>-3267420</v>
      </c>
      <c r="F53" s="238">
        <f t="shared" ref="F53:F63" si="7">IF(C53=0,0,E53/C53)</f>
        <v>-0.88440736083133886</v>
      </c>
    </row>
    <row r="54" spans="1:6" ht="20.25" customHeight="1" x14ac:dyDescent="0.3">
      <c r="A54" s="235">
        <v>2</v>
      </c>
      <c r="B54" s="236" t="s">
        <v>435</v>
      </c>
      <c r="C54" s="237">
        <v>961277</v>
      </c>
      <c r="D54" s="237">
        <v>0</v>
      </c>
      <c r="E54" s="237">
        <f t="shared" si="6"/>
        <v>-961277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436</v>
      </c>
      <c r="C55" s="237">
        <v>3659986</v>
      </c>
      <c r="D55" s="237">
        <v>967203</v>
      </c>
      <c r="E55" s="237">
        <f t="shared" si="6"/>
        <v>-2692783</v>
      </c>
      <c r="F55" s="238">
        <f t="shared" si="7"/>
        <v>-0.7357358743995196</v>
      </c>
    </row>
    <row r="56" spans="1:6" ht="20.25" customHeight="1" x14ac:dyDescent="0.3">
      <c r="A56" s="235">
        <v>4</v>
      </c>
      <c r="B56" s="236" t="s">
        <v>437</v>
      </c>
      <c r="C56" s="237">
        <v>579465</v>
      </c>
      <c r="D56" s="237">
        <v>0</v>
      </c>
      <c r="E56" s="237">
        <f t="shared" si="6"/>
        <v>-579465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373</v>
      </c>
      <c r="C57" s="239">
        <v>92</v>
      </c>
      <c r="D57" s="239">
        <v>15</v>
      </c>
      <c r="E57" s="239">
        <f t="shared" si="6"/>
        <v>-77</v>
      </c>
      <c r="F57" s="238">
        <f t="shared" si="7"/>
        <v>-0.83695652173913049</v>
      </c>
    </row>
    <row r="58" spans="1:6" ht="20.25" customHeight="1" x14ac:dyDescent="0.3">
      <c r="A58" s="235">
        <v>6</v>
      </c>
      <c r="B58" s="236" t="s">
        <v>372</v>
      </c>
      <c r="C58" s="239">
        <v>471</v>
      </c>
      <c r="D58" s="239">
        <v>54</v>
      </c>
      <c r="E58" s="239">
        <f t="shared" si="6"/>
        <v>-417</v>
      </c>
      <c r="F58" s="238">
        <f t="shared" si="7"/>
        <v>-0.88535031847133761</v>
      </c>
    </row>
    <row r="59" spans="1:6" ht="20.25" customHeight="1" x14ac:dyDescent="0.3">
      <c r="A59" s="235">
        <v>7</v>
      </c>
      <c r="B59" s="236" t="s">
        <v>438</v>
      </c>
      <c r="C59" s="239">
        <v>3941</v>
      </c>
      <c r="D59" s="239">
        <v>816</v>
      </c>
      <c r="E59" s="239">
        <f t="shared" si="6"/>
        <v>-3125</v>
      </c>
      <c r="F59" s="238">
        <f t="shared" si="7"/>
        <v>-0.79294595280385693</v>
      </c>
    </row>
    <row r="60" spans="1:6" ht="20.25" customHeight="1" x14ac:dyDescent="0.3">
      <c r="A60" s="235">
        <v>8</v>
      </c>
      <c r="B60" s="236" t="s">
        <v>439</v>
      </c>
      <c r="C60" s="239">
        <v>121</v>
      </c>
      <c r="D60" s="239">
        <v>32</v>
      </c>
      <c r="E60" s="239">
        <f t="shared" si="6"/>
        <v>-89</v>
      </c>
      <c r="F60" s="238">
        <f t="shared" si="7"/>
        <v>-0.73553719008264462</v>
      </c>
    </row>
    <row r="61" spans="1:6" ht="20.25" customHeight="1" x14ac:dyDescent="0.3">
      <c r="A61" s="235">
        <v>9</v>
      </c>
      <c r="B61" s="236" t="s">
        <v>440</v>
      </c>
      <c r="C61" s="239">
        <v>92</v>
      </c>
      <c r="D61" s="239">
        <v>17</v>
      </c>
      <c r="E61" s="239">
        <f t="shared" si="6"/>
        <v>-75</v>
      </c>
      <c r="F61" s="238">
        <f t="shared" si="7"/>
        <v>-0.81521739130434778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7354460</v>
      </c>
      <c r="D62" s="243">
        <f>+D53+D55</f>
        <v>1394257</v>
      </c>
      <c r="E62" s="243">
        <f t="shared" si="6"/>
        <v>-5960203</v>
      </c>
      <c r="F62" s="244">
        <f t="shared" si="7"/>
        <v>-0.8104202076019178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1540742</v>
      </c>
      <c r="D63" s="243">
        <f>+D54+D56</f>
        <v>0</v>
      </c>
      <c r="E63" s="243">
        <f t="shared" si="6"/>
        <v>-1540742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11658656</v>
      </c>
      <c r="D66" s="237">
        <v>10528500</v>
      </c>
      <c r="E66" s="237">
        <f t="shared" ref="E66:E76" si="8">D66-C66</f>
        <v>-1130156</v>
      </c>
      <c r="F66" s="238">
        <f t="shared" ref="F66:F76" si="9">IF(C66=0,0,E66/C66)</f>
        <v>-9.693707405038797E-2</v>
      </c>
    </row>
    <row r="67" spans="1:6" ht="20.25" customHeight="1" x14ac:dyDescent="0.3">
      <c r="A67" s="235">
        <v>2</v>
      </c>
      <c r="B67" s="236" t="s">
        <v>435</v>
      </c>
      <c r="C67" s="237">
        <v>2108133</v>
      </c>
      <c r="D67" s="237">
        <v>2149052</v>
      </c>
      <c r="E67" s="237">
        <f t="shared" si="8"/>
        <v>40919</v>
      </c>
      <c r="F67" s="238">
        <f t="shared" si="9"/>
        <v>1.9410065683711605E-2</v>
      </c>
    </row>
    <row r="68" spans="1:6" ht="20.25" customHeight="1" x14ac:dyDescent="0.3">
      <c r="A68" s="235">
        <v>3</v>
      </c>
      <c r="B68" s="236" t="s">
        <v>436</v>
      </c>
      <c r="C68" s="237">
        <v>3993341</v>
      </c>
      <c r="D68" s="237">
        <v>4176027</v>
      </c>
      <c r="E68" s="237">
        <f t="shared" si="8"/>
        <v>182686</v>
      </c>
      <c r="F68" s="238">
        <f t="shared" si="9"/>
        <v>4.5747658414345284E-2</v>
      </c>
    </row>
    <row r="69" spans="1:6" ht="20.25" customHeight="1" x14ac:dyDescent="0.3">
      <c r="A69" s="235">
        <v>4</v>
      </c>
      <c r="B69" s="236" t="s">
        <v>437</v>
      </c>
      <c r="C69" s="237">
        <v>818875</v>
      </c>
      <c r="D69" s="237">
        <v>1269666</v>
      </c>
      <c r="E69" s="237">
        <f t="shared" si="8"/>
        <v>450791</v>
      </c>
      <c r="F69" s="238">
        <f t="shared" si="9"/>
        <v>0.55050038162112658</v>
      </c>
    </row>
    <row r="70" spans="1:6" ht="20.25" customHeight="1" x14ac:dyDescent="0.3">
      <c r="A70" s="235">
        <v>5</v>
      </c>
      <c r="B70" s="236" t="s">
        <v>373</v>
      </c>
      <c r="C70" s="239">
        <v>314</v>
      </c>
      <c r="D70" s="239">
        <v>265</v>
      </c>
      <c r="E70" s="239">
        <f t="shared" si="8"/>
        <v>-49</v>
      </c>
      <c r="F70" s="238">
        <f t="shared" si="9"/>
        <v>-0.15605095541401273</v>
      </c>
    </row>
    <row r="71" spans="1:6" ht="20.25" customHeight="1" x14ac:dyDescent="0.3">
      <c r="A71" s="235">
        <v>6</v>
      </c>
      <c r="B71" s="236" t="s">
        <v>372</v>
      </c>
      <c r="C71" s="239">
        <v>1526</v>
      </c>
      <c r="D71" s="239">
        <v>1336</v>
      </c>
      <c r="E71" s="239">
        <f t="shared" si="8"/>
        <v>-190</v>
      </c>
      <c r="F71" s="238">
        <f t="shared" si="9"/>
        <v>-0.12450851900393185</v>
      </c>
    </row>
    <row r="72" spans="1:6" ht="20.25" customHeight="1" x14ac:dyDescent="0.3">
      <c r="A72" s="235">
        <v>7</v>
      </c>
      <c r="B72" s="236" t="s">
        <v>438</v>
      </c>
      <c r="C72" s="239">
        <v>1447</v>
      </c>
      <c r="D72" s="239">
        <v>1346</v>
      </c>
      <c r="E72" s="239">
        <f t="shared" si="8"/>
        <v>-101</v>
      </c>
      <c r="F72" s="238">
        <f t="shared" si="9"/>
        <v>-6.9799585348997925E-2</v>
      </c>
    </row>
    <row r="73" spans="1:6" ht="20.25" customHeight="1" x14ac:dyDescent="0.3">
      <c r="A73" s="235">
        <v>8</v>
      </c>
      <c r="B73" s="236" t="s">
        <v>439</v>
      </c>
      <c r="C73" s="239">
        <v>263</v>
      </c>
      <c r="D73" s="239">
        <v>268</v>
      </c>
      <c r="E73" s="239">
        <f t="shared" si="8"/>
        <v>5</v>
      </c>
      <c r="F73" s="238">
        <f t="shared" si="9"/>
        <v>1.9011406844106463E-2</v>
      </c>
    </row>
    <row r="74" spans="1:6" ht="20.25" customHeight="1" x14ac:dyDescent="0.3">
      <c r="A74" s="235">
        <v>9</v>
      </c>
      <c r="B74" s="236" t="s">
        <v>440</v>
      </c>
      <c r="C74" s="239">
        <v>313</v>
      </c>
      <c r="D74" s="239">
        <v>263</v>
      </c>
      <c r="E74" s="239">
        <f t="shared" si="8"/>
        <v>-50</v>
      </c>
      <c r="F74" s="238">
        <f t="shared" si="9"/>
        <v>-0.15974440894568689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15651997</v>
      </c>
      <c r="D75" s="243">
        <f>+D66+D68</f>
        <v>14704527</v>
      </c>
      <c r="E75" s="243">
        <f t="shared" si="8"/>
        <v>-947470</v>
      </c>
      <c r="F75" s="244">
        <f t="shared" si="9"/>
        <v>-6.0533489752138341E-2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2927008</v>
      </c>
      <c r="D76" s="243">
        <f>+D67+D69</f>
        <v>3418718</v>
      </c>
      <c r="E76" s="243">
        <f t="shared" si="8"/>
        <v>491710</v>
      </c>
      <c r="F76" s="244">
        <f t="shared" si="9"/>
        <v>0.16799065803714919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1376067</v>
      </c>
      <c r="D79" s="237">
        <v>1434156</v>
      </c>
      <c r="E79" s="237">
        <f t="shared" ref="E79:E89" si="10">D79-C79</f>
        <v>58089</v>
      </c>
      <c r="F79" s="238">
        <f t="shared" ref="F79:F89" si="11">IF(C79=0,0,E79/C79)</f>
        <v>4.2213787555402463E-2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384065</v>
      </c>
      <c r="E80" s="237">
        <f t="shared" si="10"/>
        <v>384065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543738</v>
      </c>
      <c r="D81" s="237">
        <v>1128053</v>
      </c>
      <c r="E81" s="237">
        <f t="shared" si="10"/>
        <v>584315</v>
      </c>
      <c r="F81" s="238">
        <f t="shared" si="11"/>
        <v>1.0746260147350379</v>
      </c>
    </row>
    <row r="82" spans="1:6" ht="20.25" customHeight="1" x14ac:dyDescent="0.3">
      <c r="A82" s="235">
        <v>4</v>
      </c>
      <c r="B82" s="236" t="s">
        <v>437</v>
      </c>
      <c r="C82" s="237">
        <v>259122</v>
      </c>
      <c r="D82" s="237">
        <v>537518</v>
      </c>
      <c r="E82" s="237">
        <f t="shared" si="10"/>
        <v>278396</v>
      </c>
      <c r="F82" s="238">
        <f t="shared" si="11"/>
        <v>1.0743819513588193</v>
      </c>
    </row>
    <row r="83" spans="1:6" ht="20.25" customHeight="1" x14ac:dyDescent="0.3">
      <c r="A83" s="235">
        <v>5</v>
      </c>
      <c r="B83" s="236" t="s">
        <v>373</v>
      </c>
      <c r="C83" s="239">
        <v>32</v>
      </c>
      <c r="D83" s="239">
        <v>48</v>
      </c>
      <c r="E83" s="239">
        <f t="shared" si="10"/>
        <v>16</v>
      </c>
      <c r="F83" s="238">
        <f t="shared" si="11"/>
        <v>0.5</v>
      </c>
    </row>
    <row r="84" spans="1:6" ht="20.25" customHeight="1" x14ac:dyDescent="0.3">
      <c r="A84" s="235">
        <v>6</v>
      </c>
      <c r="B84" s="236" t="s">
        <v>372</v>
      </c>
      <c r="C84" s="239">
        <v>160</v>
      </c>
      <c r="D84" s="239">
        <v>191</v>
      </c>
      <c r="E84" s="239">
        <f t="shared" si="10"/>
        <v>31</v>
      </c>
      <c r="F84" s="238">
        <f t="shared" si="11"/>
        <v>0.19375000000000001</v>
      </c>
    </row>
    <row r="85" spans="1:6" ht="20.25" customHeight="1" x14ac:dyDescent="0.3">
      <c r="A85" s="235">
        <v>7</v>
      </c>
      <c r="B85" s="236" t="s">
        <v>438</v>
      </c>
      <c r="C85" s="239">
        <v>193</v>
      </c>
      <c r="D85" s="239">
        <v>212</v>
      </c>
      <c r="E85" s="239">
        <f t="shared" si="10"/>
        <v>19</v>
      </c>
      <c r="F85" s="238">
        <f t="shared" si="11"/>
        <v>9.8445595854922283E-2</v>
      </c>
    </row>
    <row r="86" spans="1:6" ht="20.25" customHeight="1" x14ac:dyDescent="0.3">
      <c r="A86" s="235">
        <v>8</v>
      </c>
      <c r="B86" s="236" t="s">
        <v>439</v>
      </c>
      <c r="C86" s="239">
        <v>39</v>
      </c>
      <c r="D86" s="239">
        <v>51</v>
      </c>
      <c r="E86" s="239">
        <f t="shared" si="10"/>
        <v>12</v>
      </c>
      <c r="F86" s="238">
        <f t="shared" si="11"/>
        <v>0.30769230769230771</v>
      </c>
    </row>
    <row r="87" spans="1:6" ht="20.25" customHeight="1" x14ac:dyDescent="0.3">
      <c r="A87" s="235">
        <v>9</v>
      </c>
      <c r="B87" s="236" t="s">
        <v>440</v>
      </c>
      <c r="C87" s="239">
        <v>28</v>
      </c>
      <c r="D87" s="239">
        <v>49</v>
      </c>
      <c r="E87" s="239">
        <f t="shared" si="10"/>
        <v>21</v>
      </c>
      <c r="F87" s="238">
        <f t="shared" si="11"/>
        <v>0.75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1919805</v>
      </c>
      <c r="D88" s="243">
        <f>+D79+D81</f>
        <v>2562209</v>
      </c>
      <c r="E88" s="243">
        <f t="shared" si="10"/>
        <v>642404</v>
      </c>
      <c r="F88" s="244">
        <f t="shared" si="11"/>
        <v>0.33461940144962637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259122</v>
      </c>
      <c r="D89" s="243">
        <f>+D80+D82</f>
        <v>921583</v>
      </c>
      <c r="E89" s="243">
        <f t="shared" si="10"/>
        <v>662461</v>
      </c>
      <c r="F89" s="244">
        <f t="shared" si="11"/>
        <v>2.5565602303162218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3964430</v>
      </c>
      <c r="E92" s="237">
        <f t="shared" ref="E92:E102" si="12">D92-C92</f>
        <v>3964430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1256199</v>
      </c>
      <c r="E93" s="237">
        <f t="shared" si="12"/>
        <v>1256199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3286326</v>
      </c>
      <c r="E94" s="237">
        <f t="shared" si="12"/>
        <v>3286326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1564602</v>
      </c>
      <c r="E95" s="237">
        <f t="shared" si="12"/>
        <v>1564602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66</v>
      </c>
      <c r="E96" s="239">
        <f t="shared" si="12"/>
        <v>66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428</v>
      </c>
      <c r="E97" s="239">
        <f t="shared" si="12"/>
        <v>428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2980</v>
      </c>
      <c r="E98" s="239">
        <f t="shared" si="12"/>
        <v>2980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112</v>
      </c>
      <c r="E99" s="239">
        <f t="shared" si="12"/>
        <v>112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60</v>
      </c>
      <c r="E100" s="239">
        <f t="shared" si="12"/>
        <v>60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7250756</v>
      </c>
      <c r="E101" s="243">
        <f t="shared" si="12"/>
        <v>7250756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2820801</v>
      </c>
      <c r="E102" s="243">
        <f t="shared" si="12"/>
        <v>2820801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3103004</v>
      </c>
      <c r="D118" s="237">
        <v>2654543</v>
      </c>
      <c r="E118" s="237">
        <f t="shared" ref="E118:E128" si="16">D118-C118</f>
        <v>-448461</v>
      </c>
      <c r="F118" s="238">
        <f t="shared" ref="F118:F128" si="17">IF(C118=0,0,E118/C118)</f>
        <v>-0.14452478952653622</v>
      </c>
    </row>
    <row r="119" spans="1:6" ht="20.25" customHeight="1" x14ac:dyDescent="0.3">
      <c r="A119" s="235">
        <v>2</v>
      </c>
      <c r="B119" s="236" t="s">
        <v>435</v>
      </c>
      <c r="C119" s="237">
        <v>717174</v>
      </c>
      <c r="D119" s="237">
        <v>562983</v>
      </c>
      <c r="E119" s="237">
        <f t="shared" si="16"/>
        <v>-154191</v>
      </c>
      <c r="F119" s="238">
        <f t="shared" si="17"/>
        <v>-0.21499803394992009</v>
      </c>
    </row>
    <row r="120" spans="1:6" ht="20.25" customHeight="1" x14ac:dyDescent="0.3">
      <c r="A120" s="235">
        <v>3</v>
      </c>
      <c r="B120" s="236" t="s">
        <v>436</v>
      </c>
      <c r="C120" s="237">
        <v>1222574</v>
      </c>
      <c r="D120" s="237">
        <v>1325631</v>
      </c>
      <c r="E120" s="237">
        <f t="shared" si="16"/>
        <v>103057</v>
      </c>
      <c r="F120" s="238">
        <f t="shared" si="17"/>
        <v>8.4295101973377487E-2</v>
      </c>
    </row>
    <row r="121" spans="1:6" ht="20.25" customHeight="1" x14ac:dyDescent="0.3">
      <c r="A121" s="235">
        <v>4</v>
      </c>
      <c r="B121" s="236" t="s">
        <v>437</v>
      </c>
      <c r="C121" s="237">
        <v>253955</v>
      </c>
      <c r="D121" s="237">
        <v>291803</v>
      </c>
      <c r="E121" s="237">
        <f t="shared" si="16"/>
        <v>37848</v>
      </c>
      <c r="F121" s="238">
        <f t="shared" si="17"/>
        <v>0.14903427772636885</v>
      </c>
    </row>
    <row r="122" spans="1:6" ht="20.25" customHeight="1" x14ac:dyDescent="0.3">
      <c r="A122" s="235">
        <v>5</v>
      </c>
      <c r="B122" s="236" t="s">
        <v>373</v>
      </c>
      <c r="C122" s="239">
        <v>98</v>
      </c>
      <c r="D122" s="239">
        <v>82</v>
      </c>
      <c r="E122" s="239">
        <f t="shared" si="16"/>
        <v>-16</v>
      </c>
      <c r="F122" s="238">
        <f t="shared" si="17"/>
        <v>-0.16326530612244897</v>
      </c>
    </row>
    <row r="123" spans="1:6" ht="20.25" customHeight="1" x14ac:dyDescent="0.3">
      <c r="A123" s="235">
        <v>6</v>
      </c>
      <c r="B123" s="236" t="s">
        <v>372</v>
      </c>
      <c r="C123" s="239">
        <v>418</v>
      </c>
      <c r="D123" s="239">
        <v>417</v>
      </c>
      <c r="E123" s="239">
        <f t="shared" si="16"/>
        <v>-1</v>
      </c>
      <c r="F123" s="238">
        <f t="shared" si="17"/>
        <v>-2.3923444976076554E-3</v>
      </c>
    </row>
    <row r="124" spans="1:6" ht="20.25" customHeight="1" x14ac:dyDescent="0.3">
      <c r="A124" s="235">
        <v>7</v>
      </c>
      <c r="B124" s="236" t="s">
        <v>438</v>
      </c>
      <c r="C124" s="239">
        <v>654</v>
      </c>
      <c r="D124" s="239">
        <v>706</v>
      </c>
      <c r="E124" s="239">
        <f t="shared" si="16"/>
        <v>52</v>
      </c>
      <c r="F124" s="238">
        <f t="shared" si="17"/>
        <v>7.9510703363914373E-2</v>
      </c>
    </row>
    <row r="125" spans="1:6" ht="20.25" customHeight="1" x14ac:dyDescent="0.3">
      <c r="A125" s="235">
        <v>8</v>
      </c>
      <c r="B125" s="236" t="s">
        <v>439</v>
      </c>
      <c r="C125" s="239">
        <v>94</v>
      </c>
      <c r="D125" s="239">
        <v>82</v>
      </c>
      <c r="E125" s="239">
        <f t="shared" si="16"/>
        <v>-12</v>
      </c>
      <c r="F125" s="238">
        <f t="shared" si="17"/>
        <v>-0.1276595744680851</v>
      </c>
    </row>
    <row r="126" spans="1:6" ht="20.25" customHeight="1" x14ac:dyDescent="0.3">
      <c r="A126" s="235">
        <v>9</v>
      </c>
      <c r="B126" s="236" t="s">
        <v>440</v>
      </c>
      <c r="C126" s="239">
        <v>102</v>
      </c>
      <c r="D126" s="239">
        <v>87</v>
      </c>
      <c r="E126" s="239">
        <f t="shared" si="16"/>
        <v>-15</v>
      </c>
      <c r="F126" s="238">
        <f t="shared" si="17"/>
        <v>-0.14705882352941177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4325578</v>
      </c>
      <c r="D127" s="243">
        <f>+D118+D120</f>
        <v>3980174</v>
      </c>
      <c r="E127" s="243">
        <f t="shared" si="16"/>
        <v>-345404</v>
      </c>
      <c r="F127" s="244">
        <f t="shared" si="17"/>
        <v>-7.9851525044745464E-2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971129</v>
      </c>
      <c r="D128" s="243">
        <f>+D119+D121</f>
        <v>854786</v>
      </c>
      <c r="E128" s="243">
        <f t="shared" si="16"/>
        <v>-116343</v>
      </c>
      <c r="F128" s="244">
        <f t="shared" si="17"/>
        <v>-0.11980179770143823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20344124</v>
      </c>
      <c r="D198" s="243">
        <f t="shared" si="28"/>
        <v>19420686</v>
      </c>
      <c r="E198" s="243">
        <f t="shared" ref="E198:E208" si="29">D198-C198</f>
        <v>-923438</v>
      </c>
      <c r="F198" s="251">
        <f t="shared" ref="F198:F208" si="30">IF(C198=0,0,E198/C198)</f>
        <v>-4.5390895179364815E-2</v>
      </c>
    </row>
    <row r="199" spans="1:9" ht="20.25" customHeight="1" x14ac:dyDescent="0.3">
      <c r="A199" s="249"/>
      <c r="B199" s="250" t="s">
        <v>461</v>
      </c>
      <c r="C199" s="243">
        <f t="shared" si="28"/>
        <v>3902480</v>
      </c>
      <c r="D199" s="243">
        <f t="shared" si="28"/>
        <v>4491654</v>
      </c>
      <c r="E199" s="243">
        <f t="shared" si="29"/>
        <v>589174</v>
      </c>
      <c r="F199" s="251">
        <f t="shared" si="30"/>
        <v>0.15097425227035116</v>
      </c>
    </row>
    <row r="200" spans="1:9" ht="20.25" customHeight="1" x14ac:dyDescent="0.3">
      <c r="A200" s="249"/>
      <c r="B200" s="250" t="s">
        <v>462</v>
      </c>
      <c r="C200" s="243">
        <f t="shared" si="28"/>
        <v>9928828</v>
      </c>
      <c r="D200" s="243">
        <f t="shared" si="28"/>
        <v>11490133</v>
      </c>
      <c r="E200" s="243">
        <f t="shared" si="29"/>
        <v>1561305</v>
      </c>
      <c r="F200" s="251">
        <f t="shared" si="30"/>
        <v>0.15724967740401988</v>
      </c>
    </row>
    <row r="201" spans="1:9" ht="20.25" customHeight="1" x14ac:dyDescent="0.3">
      <c r="A201" s="249"/>
      <c r="B201" s="250" t="s">
        <v>463</v>
      </c>
      <c r="C201" s="243">
        <f t="shared" si="28"/>
        <v>1995223</v>
      </c>
      <c r="D201" s="243">
        <f t="shared" si="28"/>
        <v>3856863</v>
      </c>
      <c r="E201" s="243">
        <f t="shared" si="29"/>
        <v>1861640</v>
      </c>
      <c r="F201" s="251">
        <f t="shared" si="30"/>
        <v>0.93304858654897227</v>
      </c>
    </row>
    <row r="202" spans="1:9" ht="20.25" customHeight="1" x14ac:dyDescent="0.3">
      <c r="A202" s="249"/>
      <c r="B202" s="250" t="s">
        <v>464</v>
      </c>
      <c r="C202" s="252">
        <f t="shared" si="28"/>
        <v>551</v>
      </c>
      <c r="D202" s="252">
        <f t="shared" si="28"/>
        <v>486</v>
      </c>
      <c r="E202" s="252">
        <f t="shared" si="29"/>
        <v>-65</v>
      </c>
      <c r="F202" s="251">
        <f t="shared" si="30"/>
        <v>-0.11796733212341198</v>
      </c>
    </row>
    <row r="203" spans="1:9" ht="20.25" customHeight="1" x14ac:dyDescent="0.3">
      <c r="A203" s="249"/>
      <c r="B203" s="250" t="s">
        <v>465</v>
      </c>
      <c r="C203" s="252">
        <f t="shared" si="28"/>
        <v>2664</v>
      </c>
      <c r="D203" s="252">
        <f t="shared" si="28"/>
        <v>2461</v>
      </c>
      <c r="E203" s="252">
        <f t="shared" si="29"/>
        <v>-203</v>
      </c>
      <c r="F203" s="251">
        <f t="shared" si="30"/>
        <v>-7.6201201201201205E-2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6600</v>
      </c>
      <c r="D204" s="252">
        <f t="shared" si="28"/>
        <v>6645</v>
      </c>
      <c r="E204" s="252">
        <f t="shared" si="29"/>
        <v>45</v>
      </c>
      <c r="F204" s="251">
        <f t="shared" si="30"/>
        <v>6.8181818181818179E-3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530</v>
      </c>
      <c r="D205" s="252">
        <f t="shared" si="28"/>
        <v>567</v>
      </c>
      <c r="E205" s="252">
        <f t="shared" si="29"/>
        <v>37</v>
      </c>
      <c r="F205" s="251">
        <f t="shared" si="30"/>
        <v>6.981132075471698E-2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554</v>
      </c>
      <c r="D206" s="252">
        <f t="shared" si="28"/>
        <v>482</v>
      </c>
      <c r="E206" s="252">
        <f t="shared" si="29"/>
        <v>-72</v>
      </c>
      <c r="F206" s="251">
        <f t="shared" si="30"/>
        <v>-0.1299638989169675</v>
      </c>
    </row>
    <row r="207" spans="1:9" ht="20.25" customHeight="1" x14ac:dyDescent="0.3">
      <c r="A207" s="249"/>
      <c r="B207" s="242" t="s">
        <v>469</v>
      </c>
      <c r="C207" s="243">
        <f>+C198+C200</f>
        <v>30272952</v>
      </c>
      <c r="D207" s="243">
        <f>+D198+D200</f>
        <v>30910819</v>
      </c>
      <c r="E207" s="243">
        <f t="shared" si="29"/>
        <v>637867</v>
      </c>
      <c r="F207" s="251">
        <f t="shared" si="30"/>
        <v>2.1070525266250875E-2</v>
      </c>
    </row>
    <row r="208" spans="1:9" ht="20.25" customHeight="1" x14ac:dyDescent="0.3">
      <c r="A208" s="249"/>
      <c r="B208" s="242" t="s">
        <v>470</v>
      </c>
      <c r="C208" s="243">
        <f>+C199+C201</f>
        <v>5897703</v>
      </c>
      <c r="D208" s="243">
        <f>+D199+D201</f>
        <v>8348517</v>
      </c>
      <c r="E208" s="243">
        <f t="shared" si="29"/>
        <v>2450814</v>
      </c>
      <c r="F208" s="251">
        <f t="shared" si="30"/>
        <v>0.4155539877135217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FILING&amp;RGREENWICH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" sqref="B1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2018743</v>
      </c>
      <c r="D26" s="237">
        <v>1525607</v>
      </c>
      <c r="E26" s="237">
        <f t="shared" ref="E26:E36" si="2">D26-C26</f>
        <v>-493136</v>
      </c>
      <c r="F26" s="238">
        <f t="shared" ref="F26:F36" si="3">IF(C26=0,0,E26/C26)</f>
        <v>-0.24427874177148851</v>
      </c>
    </row>
    <row r="27" spans="1:6" ht="20.25" customHeight="1" x14ac:dyDescent="0.3">
      <c r="A27" s="235">
        <v>2</v>
      </c>
      <c r="B27" s="236" t="s">
        <v>435</v>
      </c>
      <c r="C27" s="237">
        <v>509525</v>
      </c>
      <c r="D27" s="237">
        <v>406998</v>
      </c>
      <c r="E27" s="237">
        <f t="shared" si="2"/>
        <v>-102527</v>
      </c>
      <c r="F27" s="238">
        <f t="shared" si="3"/>
        <v>-0.20122074481134389</v>
      </c>
    </row>
    <row r="28" spans="1:6" ht="20.25" customHeight="1" x14ac:dyDescent="0.3">
      <c r="A28" s="235">
        <v>3</v>
      </c>
      <c r="B28" s="236" t="s">
        <v>436</v>
      </c>
      <c r="C28" s="237">
        <v>6304986</v>
      </c>
      <c r="D28" s="237">
        <v>7130998</v>
      </c>
      <c r="E28" s="237">
        <f t="shared" si="2"/>
        <v>826012</v>
      </c>
      <c r="F28" s="238">
        <f t="shared" si="3"/>
        <v>0.13100933134506562</v>
      </c>
    </row>
    <row r="29" spans="1:6" ht="20.25" customHeight="1" x14ac:dyDescent="0.3">
      <c r="A29" s="235">
        <v>4</v>
      </c>
      <c r="B29" s="236" t="s">
        <v>437</v>
      </c>
      <c r="C29" s="237">
        <v>1376626</v>
      </c>
      <c r="D29" s="237">
        <v>1050641</v>
      </c>
      <c r="E29" s="237">
        <f t="shared" si="2"/>
        <v>-325985</v>
      </c>
      <c r="F29" s="238">
        <f t="shared" si="3"/>
        <v>-0.23679997326797547</v>
      </c>
    </row>
    <row r="30" spans="1:6" ht="20.25" customHeight="1" x14ac:dyDescent="0.3">
      <c r="A30" s="235">
        <v>5</v>
      </c>
      <c r="B30" s="236" t="s">
        <v>373</v>
      </c>
      <c r="C30" s="239">
        <v>92</v>
      </c>
      <c r="D30" s="239">
        <v>78</v>
      </c>
      <c r="E30" s="239">
        <f t="shared" si="2"/>
        <v>-14</v>
      </c>
      <c r="F30" s="238">
        <f t="shared" si="3"/>
        <v>-0.15217391304347827</v>
      </c>
    </row>
    <row r="31" spans="1:6" ht="20.25" customHeight="1" x14ac:dyDescent="0.3">
      <c r="A31" s="235">
        <v>6</v>
      </c>
      <c r="B31" s="236" t="s">
        <v>372</v>
      </c>
      <c r="C31" s="239">
        <v>331</v>
      </c>
      <c r="D31" s="239">
        <v>244</v>
      </c>
      <c r="E31" s="239">
        <f t="shared" si="2"/>
        <v>-87</v>
      </c>
      <c r="F31" s="238">
        <f t="shared" si="3"/>
        <v>-0.26283987915407853</v>
      </c>
    </row>
    <row r="32" spans="1:6" ht="20.25" customHeight="1" x14ac:dyDescent="0.3">
      <c r="A32" s="235">
        <v>7</v>
      </c>
      <c r="B32" s="236" t="s">
        <v>438</v>
      </c>
      <c r="C32" s="239">
        <v>8432</v>
      </c>
      <c r="D32" s="239">
        <v>7124</v>
      </c>
      <c r="E32" s="239">
        <f t="shared" si="2"/>
        <v>-1308</v>
      </c>
      <c r="F32" s="238">
        <f t="shared" si="3"/>
        <v>-0.15512333965844402</v>
      </c>
    </row>
    <row r="33" spans="1:6" ht="20.25" customHeight="1" x14ac:dyDescent="0.3">
      <c r="A33" s="235">
        <v>8</v>
      </c>
      <c r="B33" s="236" t="s">
        <v>439</v>
      </c>
      <c r="C33" s="239">
        <v>1284</v>
      </c>
      <c r="D33" s="239">
        <v>1489</v>
      </c>
      <c r="E33" s="239">
        <f t="shared" si="2"/>
        <v>205</v>
      </c>
      <c r="F33" s="238">
        <f t="shared" si="3"/>
        <v>0.15965732087227413</v>
      </c>
    </row>
    <row r="34" spans="1:6" ht="20.25" customHeight="1" x14ac:dyDescent="0.3">
      <c r="A34" s="235">
        <v>9</v>
      </c>
      <c r="B34" s="236" t="s">
        <v>440</v>
      </c>
      <c r="C34" s="239">
        <v>34</v>
      </c>
      <c r="D34" s="239">
        <v>27</v>
      </c>
      <c r="E34" s="239">
        <f t="shared" si="2"/>
        <v>-7</v>
      </c>
      <c r="F34" s="238">
        <f t="shared" si="3"/>
        <v>-0.20588235294117646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8323729</v>
      </c>
      <c r="D35" s="243">
        <f>+D26+D28</f>
        <v>8656605</v>
      </c>
      <c r="E35" s="243">
        <f t="shared" si="2"/>
        <v>332876</v>
      </c>
      <c r="F35" s="244">
        <f t="shared" si="3"/>
        <v>3.9991210670121527E-2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1886151</v>
      </c>
      <c r="D36" s="243">
        <f>+D27+D29</f>
        <v>1457639</v>
      </c>
      <c r="E36" s="243">
        <f t="shared" si="2"/>
        <v>-428512</v>
      </c>
      <c r="F36" s="244">
        <f t="shared" si="3"/>
        <v>-0.2271885973074266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164740</v>
      </c>
      <c r="D50" s="237">
        <v>124847</v>
      </c>
      <c r="E50" s="237">
        <f t="shared" ref="E50:E60" si="6">D50-C50</f>
        <v>-39893</v>
      </c>
      <c r="F50" s="238">
        <f t="shared" ref="F50:F60" si="7">IF(C50=0,0,E50/C50)</f>
        <v>-0.2421573388369552</v>
      </c>
    </row>
    <row r="51" spans="1:6" ht="20.25" customHeight="1" x14ac:dyDescent="0.3">
      <c r="A51" s="235">
        <v>2</v>
      </c>
      <c r="B51" s="236" t="s">
        <v>435</v>
      </c>
      <c r="C51" s="237">
        <v>47520</v>
      </c>
      <c r="D51" s="237">
        <v>43141</v>
      </c>
      <c r="E51" s="237">
        <f t="shared" si="6"/>
        <v>-4379</v>
      </c>
      <c r="F51" s="238">
        <f t="shared" si="7"/>
        <v>-9.21506734006734E-2</v>
      </c>
    </row>
    <row r="52" spans="1:6" ht="20.25" customHeight="1" x14ac:dyDescent="0.3">
      <c r="A52" s="235">
        <v>3</v>
      </c>
      <c r="B52" s="236" t="s">
        <v>436</v>
      </c>
      <c r="C52" s="237">
        <v>417894</v>
      </c>
      <c r="D52" s="237">
        <v>444894</v>
      </c>
      <c r="E52" s="237">
        <f t="shared" si="6"/>
        <v>27000</v>
      </c>
      <c r="F52" s="238">
        <f t="shared" si="7"/>
        <v>6.4609685709773296E-2</v>
      </c>
    </row>
    <row r="53" spans="1:6" ht="20.25" customHeight="1" x14ac:dyDescent="0.3">
      <c r="A53" s="235">
        <v>4</v>
      </c>
      <c r="B53" s="236" t="s">
        <v>437</v>
      </c>
      <c r="C53" s="237">
        <v>38548</v>
      </c>
      <c r="D53" s="237">
        <v>65142</v>
      </c>
      <c r="E53" s="237">
        <f t="shared" si="6"/>
        <v>26594</v>
      </c>
      <c r="F53" s="238">
        <f t="shared" si="7"/>
        <v>0.68989312026564287</v>
      </c>
    </row>
    <row r="54" spans="1:6" ht="20.25" customHeight="1" x14ac:dyDescent="0.3">
      <c r="A54" s="235">
        <v>5</v>
      </c>
      <c r="B54" s="236" t="s">
        <v>373</v>
      </c>
      <c r="C54" s="239">
        <v>22</v>
      </c>
      <c r="D54" s="239">
        <v>14</v>
      </c>
      <c r="E54" s="239">
        <f t="shared" si="6"/>
        <v>-8</v>
      </c>
      <c r="F54" s="238">
        <f t="shared" si="7"/>
        <v>-0.36363636363636365</v>
      </c>
    </row>
    <row r="55" spans="1:6" ht="20.25" customHeight="1" x14ac:dyDescent="0.3">
      <c r="A55" s="235">
        <v>6</v>
      </c>
      <c r="B55" s="236" t="s">
        <v>372</v>
      </c>
      <c r="C55" s="239">
        <v>75</v>
      </c>
      <c r="D55" s="239">
        <v>47</v>
      </c>
      <c r="E55" s="239">
        <f t="shared" si="6"/>
        <v>-28</v>
      </c>
      <c r="F55" s="238">
        <f t="shared" si="7"/>
        <v>-0.37333333333333335</v>
      </c>
    </row>
    <row r="56" spans="1:6" ht="20.25" customHeight="1" x14ac:dyDescent="0.3">
      <c r="A56" s="235">
        <v>7</v>
      </c>
      <c r="B56" s="236" t="s">
        <v>438</v>
      </c>
      <c r="C56" s="239">
        <v>1577</v>
      </c>
      <c r="D56" s="239">
        <v>1207</v>
      </c>
      <c r="E56" s="239">
        <f t="shared" si="6"/>
        <v>-370</v>
      </c>
      <c r="F56" s="238">
        <f t="shared" si="7"/>
        <v>-0.23462270133164237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2</v>
      </c>
      <c r="E57" s="239">
        <f t="shared" si="6"/>
        <v>2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4</v>
      </c>
      <c r="D58" s="239">
        <v>0</v>
      </c>
      <c r="E58" s="239">
        <f t="shared" si="6"/>
        <v>-4</v>
      </c>
      <c r="F58" s="238">
        <f t="shared" si="7"/>
        <v>-1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582634</v>
      </c>
      <c r="D59" s="243">
        <f>+D50+D52</f>
        <v>569741</v>
      </c>
      <c r="E59" s="243">
        <f t="shared" si="6"/>
        <v>-12893</v>
      </c>
      <c r="F59" s="244">
        <f t="shared" si="7"/>
        <v>-2.2128815002214083E-2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86068</v>
      </c>
      <c r="D60" s="243">
        <f>+D51+D53</f>
        <v>108283</v>
      </c>
      <c r="E60" s="243">
        <f t="shared" si="6"/>
        <v>22215</v>
      </c>
      <c r="F60" s="244">
        <f t="shared" si="7"/>
        <v>0.25810986661709345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677612</v>
      </c>
      <c r="D86" s="237">
        <v>433417</v>
      </c>
      <c r="E86" s="237">
        <f t="shared" ref="E86:E96" si="12">D86-C86</f>
        <v>-244195</v>
      </c>
      <c r="F86" s="238">
        <f t="shared" ref="F86:F96" si="13">IF(C86=0,0,E86/C86)</f>
        <v>-0.36037584930609257</v>
      </c>
    </row>
    <row r="87" spans="1:6" ht="20.25" customHeight="1" x14ac:dyDescent="0.3">
      <c r="A87" s="235">
        <v>2</v>
      </c>
      <c r="B87" s="236" t="s">
        <v>435</v>
      </c>
      <c r="C87" s="237">
        <v>188683</v>
      </c>
      <c r="D87" s="237">
        <v>100230</v>
      </c>
      <c r="E87" s="237">
        <f t="shared" si="12"/>
        <v>-88453</v>
      </c>
      <c r="F87" s="238">
        <f t="shared" si="13"/>
        <v>-0.46879157104773617</v>
      </c>
    </row>
    <row r="88" spans="1:6" ht="20.25" customHeight="1" x14ac:dyDescent="0.3">
      <c r="A88" s="235">
        <v>3</v>
      </c>
      <c r="B88" s="236" t="s">
        <v>436</v>
      </c>
      <c r="C88" s="237">
        <v>1256307</v>
      </c>
      <c r="D88" s="237">
        <v>2088593</v>
      </c>
      <c r="E88" s="237">
        <f t="shared" si="12"/>
        <v>832286</v>
      </c>
      <c r="F88" s="238">
        <f t="shared" si="13"/>
        <v>0.66248615983195192</v>
      </c>
    </row>
    <row r="89" spans="1:6" ht="20.25" customHeight="1" x14ac:dyDescent="0.3">
      <c r="A89" s="235">
        <v>4</v>
      </c>
      <c r="B89" s="236" t="s">
        <v>437</v>
      </c>
      <c r="C89" s="237">
        <v>323061</v>
      </c>
      <c r="D89" s="237">
        <v>446136</v>
      </c>
      <c r="E89" s="237">
        <f t="shared" si="12"/>
        <v>123075</v>
      </c>
      <c r="F89" s="238">
        <f t="shared" si="13"/>
        <v>0.38096520471366091</v>
      </c>
    </row>
    <row r="90" spans="1:6" ht="20.25" customHeight="1" x14ac:dyDescent="0.3">
      <c r="A90" s="235">
        <v>5</v>
      </c>
      <c r="B90" s="236" t="s">
        <v>373</v>
      </c>
      <c r="C90" s="239">
        <v>33</v>
      </c>
      <c r="D90" s="239">
        <v>26</v>
      </c>
      <c r="E90" s="239">
        <f t="shared" si="12"/>
        <v>-7</v>
      </c>
      <c r="F90" s="238">
        <f t="shared" si="13"/>
        <v>-0.21212121212121213</v>
      </c>
    </row>
    <row r="91" spans="1:6" ht="20.25" customHeight="1" x14ac:dyDescent="0.3">
      <c r="A91" s="235">
        <v>6</v>
      </c>
      <c r="B91" s="236" t="s">
        <v>372</v>
      </c>
      <c r="C91" s="239">
        <v>133</v>
      </c>
      <c r="D91" s="239">
        <v>88</v>
      </c>
      <c r="E91" s="239">
        <f t="shared" si="12"/>
        <v>-45</v>
      </c>
      <c r="F91" s="238">
        <f t="shared" si="13"/>
        <v>-0.33834586466165412</v>
      </c>
    </row>
    <row r="92" spans="1:6" ht="20.25" customHeight="1" x14ac:dyDescent="0.3">
      <c r="A92" s="235">
        <v>7</v>
      </c>
      <c r="B92" s="236" t="s">
        <v>438</v>
      </c>
      <c r="C92" s="239">
        <v>1243</v>
      </c>
      <c r="D92" s="239">
        <v>1405</v>
      </c>
      <c r="E92" s="239">
        <f t="shared" si="12"/>
        <v>162</v>
      </c>
      <c r="F92" s="238">
        <f t="shared" si="13"/>
        <v>0.13032984714400644</v>
      </c>
    </row>
    <row r="93" spans="1:6" ht="20.25" customHeight="1" x14ac:dyDescent="0.3">
      <c r="A93" s="235">
        <v>8</v>
      </c>
      <c r="B93" s="236" t="s">
        <v>439</v>
      </c>
      <c r="C93" s="239">
        <v>210</v>
      </c>
      <c r="D93" s="239">
        <v>361</v>
      </c>
      <c r="E93" s="239">
        <f t="shared" si="12"/>
        <v>151</v>
      </c>
      <c r="F93" s="238">
        <f t="shared" si="13"/>
        <v>0.71904761904761905</v>
      </c>
    </row>
    <row r="94" spans="1:6" ht="20.25" customHeight="1" x14ac:dyDescent="0.3">
      <c r="A94" s="235">
        <v>9</v>
      </c>
      <c r="B94" s="236" t="s">
        <v>440</v>
      </c>
      <c r="C94" s="239">
        <v>13</v>
      </c>
      <c r="D94" s="239">
        <v>6</v>
      </c>
      <c r="E94" s="239">
        <f t="shared" si="12"/>
        <v>-7</v>
      </c>
      <c r="F94" s="238">
        <f t="shared" si="13"/>
        <v>-0.53846153846153844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1933919</v>
      </c>
      <c r="D95" s="243">
        <f>+D86+D88</f>
        <v>2522010</v>
      </c>
      <c r="E95" s="243">
        <f t="shared" si="12"/>
        <v>588091</v>
      </c>
      <c r="F95" s="244">
        <f t="shared" si="13"/>
        <v>0.30409288082903163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511744</v>
      </c>
      <c r="D96" s="243">
        <f>+D87+D89</f>
        <v>546366</v>
      </c>
      <c r="E96" s="243">
        <f t="shared" si="12"/>
        <v>34622</v>
      </c>
      <c r="F96" s="244">
        <f t="shared" si="13"/>
        <v>6.7654921210605304E-2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746331</v>
      </c>
      <c r="D98" s="237">
        <v>943638</v>
      </c>
      <c r="E98" s="237">
        <f t="shared" ref="E98:E108" si="14">D98-C98</f>
        <v>197307</v>
      </c>
      <c r="F98" s="238">
        <f t="shared" ref="F98:F108" si="15">IF(C98=0,0,E98/C98)</f>
        <v>0.26436929458913</v>
      </c>
    </row>
    <row r="99" spans="1:7" ht="20.25" customHeight="1" x14ac:dyDescent="0.3">
      <c r="A99" s="235">
        <v>2</v>
      </c>
      <c r="B99" s="236" t="s">
        <v>435</v>
      </c>
      <c r="C99" s="237">
        <v>170122</v>
      </c>
      <c r="D99" s="237">
        <v>285266</v>
      </c>
      <c r="E99" s="237">
        <f t="shared" si="14"/>
        <v>115144</v>
      </c>
      <c r="F99" s="238">
        <f t="shared" si="15"/>
        <v>0.67683192062167152</v>
      </c>
    </row>
    <row r="100" spans="1:7" ht="20.25" customHeight="1" x14ac:dyDescent="0.3">
      <c r="A100" s="235">
        <v>3</v>
      </c>
      <c r="B100" s="236" t="s">
        <v>436</v>
      </c>
      <c r="C100" s="237">
        <v>1805087</v>
      </c>
      <c r="D100" s="237">
        <v>2116142</v>
      </c>
      <c r="E100" s="237">
        <f t="shared" si="14"/>
        <v>311055</v>
      </c>
      <c r="F100" s="238">
        <f t="shared" si="15"/>
        <v>0.17232133409636211</v>
      </c>
    </row>
    <row r="101" spans="1:7" ht="20.25" customHeight="1" x14ac:dyDescent="0.3">
      <c r="A101" s="235">
        <v>4</v>
      </c>
      <c r="B101" s="236" t="s">
        <v>437</v>
      </c>
      <c r="C101" s="237">
        <v>420623</v>
      </c>
      <c r="D101" s="237">
        <v>396027</v>
      </c>
      <c r="E101" s="237">
        <f t="shared" si="14"/>
        <v>-24596</v>
      </c>
      <c r="F101" s="238">
        <f t="shared" si="15"/>
        <v>-5.8475166598117558E-2</v>
      </c>
    </row>
    <row r="102" spans="1:7" ht="20.25" customHeight="1" x14ac:dyDescent="0.3">
      <c r="A102" s="235">
        <v>5</v>
      </c>
      <c r="B102" s="236" t="s">
        <v>373</v>
      </c>
      <c r="C102" s="239">
        <v>29</v>
      </c>
      <c r="D102" s="239">
        <v>38</v>
      </c>
      <c r="E102" s="239">
        <f t="shared" si="14"/>
        <v>9</v>
      </c>
      <c r="F102" s="238">
        <f t="shared" si="15"/>
        <v>0.31034482758620691</v>
      </c>
    </row>
    <row r="103" spans="1:7" ht="20.25" customHeight="1" x14ac:dyDescent="0.3">
      <c r="A103" s="235">
        <v>6</v>
      </c>
      <c r="B103" s="236" t="s">
        <v>372</v>
      </c>
      <c r="C103" s="239">
        <v>107</v>
      </c>
      <c r="D103" s="239">
        <v>119</v>
      </c>
      <c r="E103" s="239">
        <f t="shared" si="14"/>
        <v>12</v>
      </c>
      <c r="F103" s="238">
        <f t="shared" si="15"/>
        <v>0.11214953271028037</v>
      </c>
    </row>
    <row r="104" spans="1:7" ht="20.25" customHeight="1" x14ac:dyDescent="0.3">
      <c r="A104" s="235">
        <v>7</v>
      </c>
      <c r="B104" s="236" t="s">
        <v>438</v>
      </c>
      <c r="C104" s="239">
        <v>1341</v>
      </c>
      <c r="D104" s="239">
        <v>1681</v>
      </c>
      <c r="E104" s="239">
        <f t="shared" si="14"/>
        <v>340</v>
      </c>
      <c r="F104" s="238">
        <f t="shared" si="15"/>
        <v>0.25354213273676363</v>
      </c>
    </row>
    <row r="105" spans="1:7" ht="20.25" customHeight="1" x14ac:dyDescent="0.3">
      <c r="A105" s="235">
        <v>8</v>
      </c>
      <c r="B105" s="236" t="s">
        <v>439</v>
      </c>
      <c r="C105" s="239">
        <v>354</v>
      </c>
      <c r="D105" s="239">
        <v>455</v>
      </c>
      <c r="E105" s="239">
        <f t="shared" si="14"/>
        <v>101</v>
      </c>
      <c r="F105" s="238">
        <f t="shared" si="15"/>
        <v>0.28531073446327682</v>
      </c>
    </row>
    <row r="106" spans="1:7" ht="20.25" customHeight="1" x14ac:dyDescent="0.3">
      <c r="A106" s="235">
        <v>9</v>
      </c>
      <c r="B106" s="236" t="s">
        <v>440</v>
      </c>
      <c r="C106" s="239">
        <v>17</v>
      </c>
      <c r="D106" s="239">
        <v>17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2551418</v>
      </c>
      <c r="D107" s="243">
        <f>+D98+D100</f>
        <v>3059780</v>
      </c>
      <c r="E107" s="243">
        <f t="shared" si="14"/>
        <v>508362</v>
      </c>
      <c r="F107" s="244">
        <f t="shared" si="15"/>
        <v>0.19924685018291788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590745</v>
      </c>
      <c r="D108" s="243">
        <f>+D99+D101</f>
        <v>681293</v>
      </c>
      <c r="E108" s="243">
        <f t="shared" si="14"/>
        <v>90548</v>
      </c>
      <c r="F108" s="244">
        <f t="shared" si="15"/>
        <v>0.15327764094490856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3607426</v>
      </c>
      <c r="D112" s="243">
        <f t="shared" si="16"/>
        <v>3027509</v>
      </c>
      <c r="E112" s="243">
        <f t="shared" ref="E112:E122" si="17">D112-C112</f>
        <v>-579917</v>
      </c>
      <c r="F112" s="244">
        <f t="shared" ref="F112:F122" si="18">IF(C112=0,0,E112/C112)</f>
        <v>-0.16075645072137307</v>
      </c>
    </row>
    <row r="113" spans="1:6" ht="20.25" customHeight="1" x14ac:dyDescent="0.3">
      <c r="A113" s="249"/>
      <c r="B113" s="250" t="s">
        <v>461</v>
      </c>
      <c r="C113" s="243">
        <f t="shared" si="16"/>
        <v>915850</v>
      </c>
      <c r="D113" s="243">
        <f t="shared" si="16"/>
        <v>835635</v>
      </c>
      <c r="E113" s="243">
        <f t="shared" si="17"/>
        <v>-80215</v>
      </c>
      <c r="F113" s="244">
        <f t="shared" si="18"/>
        <v>-8.7585303270186168E-2</v>
      </c>
    </row>
    <row r="114" spans="1:6" ht="20.25" customHeight="1" x14ac:dyDescent="0.3">
      <c r="A114" s="249"/>
      <c r="B114" s="250" t="s">
        <v>462</v>
      </c>
      <c r="C114" s="243">
        <f t="shared" si="16"/>
        <v>9784274</v>
      </c>
      <c r="D114" s="243">
        <f t="shared" si="16"/>
        <v>11780627</v>
      </c>
      <c r="E114" s="243">
        <f t="shared" si="17"/>
        <v>1996353</v>
      </c>
      <c r="F114" s="244">
        <f t="shared" si="18"/>
        <v>0.20403690657068679</v>
      </c>
    </row>
    <row r="115" spans="1:6" ht="20.25" customHeight="1" x14ac:dyDescent="0.3">
      <c r="A115" s="249"/>
      <c r="B115" s="250" t="s">
        <v>463</v>
      </c>
      <c r="C115" s="243">
        <f t="shared" si="16"/>
        <v>2158858</v>
      </c>
      <c r="D115" s="243">
        <f t="shared" si="16"/>
        <v>1957946</v>
      </c>
      <c r="E115" s="243">
        <f t="shared" si="17"/>
        <v>-200912</v>
      </c>
      <c r="F115" s="244">
        <f t="shared" si="18"/>
        <v>-9.3064018105868937E-2</v>
      </c>
    </row>
    <row r="116" spans="1:6" ht="20.25" customHeight="1" x14ac:dyDescent="0.3">
      <c r="A116" s="249"/>
      <c r="B116" s="250" t="s">
        <v>464</v>
      </c>
      <c r="C116" s="252">
        <f t="shared" si="16"/>
        <v>176</v>
      </c>
      <c r="D116" s="252">
        <f t="shared" si="16"/>
        <v>156</v>
      </c>
      <c r="E116" s="252">
        <f t="shared" si="17"/>
        <v>-20</v>
      </c>
      <c r="F116" s="244">
        <f t="shared" si="18"/>
        <v>-0.11363636363636363</v>
      </c>
    </row>
    <row r="117" spans="1:6" ht="20.25" customHeight="1" x14ac:dyDescent="0.3">
      <c r="A117" s="249"/>
      <c r="B117" s="250" t="s">
        <v>465</v>
      </c>
      <c r="C117" s="252">
        <f t="shared" si="16"/>
        <v>646</v>
      </c>
      <c r="D117" s="252">
        <f t="shared" si="16"/>
        <v>498</v>
      </c>
      <c r="E117" s="252">
        <f t="shared" si="17"/>
        <v>-148</v>
      </c>
      <c r="F117" s="244">
        <f t="shared" si="18"/>
        <v>-0.22910216718266255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12593</v>
      </c>
      <c r="D118" s="252">
        <f t="shared" si="16"/>
        <v>11417</v>
      </c>
      <c r="E118" s="252">
        <f t="shared" si="17"/>
        <v>-1176</v>
      </c>
      <c r="F118" s="244">
        <f t="shared" si="18"/>
        <v>-9.3385214007782102E-2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1848</v>
      </c>
      <c r="D119" s="252">
        <f t="shared" si="16"/>
        <v>2307</v>
      </c>
      <c r="E119" s="252">
        <f t="shared" si="17"/>
        <v>459</v>
      </c>
      <c r="F119" s="244">
        <f t="shared" si="18"/>
        <v>0.24837662337662339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68</v>
      </c>
      <c r="D120" s="252">
        <f t="shared" si="16"/>
        <v>50</v>
      </c>
      <c r="E120" s="252">
        <f t="shared" si="17"/>
        <v>-18</v>
      </c>
      <c r="F120" s="244">
        <f t="shared" si="18"/>
        <v>-0.26470588235294118</v>
      </c>
    </row>
    <row r="121" spans="1:6" ht="39.950000000000003" customHeight="1" x14ac:dyDescent="0.3">
      <c r="A121" s="249"/>
      <c r="B121" s="242" t="s">
        <v>441</v>
      </c>
      <c r="C121" s="243">
        <f>+C112+C114</f>
        <v>13391700</v>
      </c>
      <c r="D121" s="243">
        <f>+D112+D114</f>
        <v>14808136</v>
      </c>
      <c r="E121" s="243">
        <f t="shared" si="17"/>
        <v>1416436</v>
      </c>
      <c r="F121" s="244">
        <f t="shared" si="18"/>
        <v>0.10576969316815639</v>
      </c>
    </row>
    <row r="122" spans="1:6" ht="39.950000000000003" customHeight="1" x14ac:dyDescent="0.3">
      <c r="A122" s="249"/>
      <c r="B122" s="242" t="s">
        <v>470</v>
      </c>
      <c r="C122" s="243">
        <f>+C113+C115</f>
        <v>3074708</v>
      </c>
      <c r="D122" s="243">
        <f>+D113+D115</f>
        <v>2793581</v>
      </c>
      <c r="E122" s="243">
        <f t="shared" si="17"/>
        <v>-281127</v>
      </c>
      <c r="F122" s="244">
        <f t="shared" si="18"/>
        <v>-9.1432096966606258E-2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FILING&amp;RGREENWICH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34318000</v>
      </c>
      <c r="D13" s="23">
        <v>35827000</v>
      </c>
      <c r="E13" s="23">
        <f t="shared" ref="E13:E22" si="0">D13-C13</f>
        <v>1509000</v>
      </c>
      <c r="F13" s="24">
        <f t="shared" ref="F13:F22" si="1">IF(C13=0,0,E13/C13)</f>
        <v>4.397109388659013E-2</v>
      </c>
    </row>
    <row r="14" spans="1:8" ht="24" customHeight="1" x14ac:dyDescent="0.2">
      <c r="A14" s="21">
        <v>2</v>
      </c>
      <c r="B14" s="22" t="s">
        <v>17</v>
      </c>
      <c r="C14" s="23">
        <v>23470000</v>
      </c>
      <c r="D14" s="23">
        <v>21585000</v>
      </c>
      <c r="E14" s="23">
        <f t="shared" si="0"/>
        <v>-1885000</v>
      </c>
      <c r="F14" s="24">
        <f t="shared" si="1"/>
        <v>-8.0315296122709837E-2</v>
      </c>
    </row>
    <row r="15" spans="1:8" ht="35.1" customHeight="1" x14ac:dyDescent="0.2">
      <c r="A15" s="21">
        <v>3</v>
      </c>
      <c r="B15" s="22" t="s">
        <v>18</v>
      </c>
      <c r="C15" s="23">
        <v>33404000</v>
      </c>
      <c r="D15" s="23">
        <v>34512000</v>
      </c>
      <c r="E15" s="23">
        <f t="shared" si="0"/>
        <v>1108000</v>
      </c>
      <c r="F15" s="24">
        <f t="shared" si="1"/>
        <v>3.3169680277811038E-2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1275000</v>
      </c>
      <c r="D19" s="23">
        <v>1366000</v>
      </c>
      <c r="E19" s="23">
        <f t="shared" si="0"/>
        <v>91000</v>
      </c>
      <c r="F19" s="24">
        <f t="shared" si="1"/>
        <v>7.1372549019607837E-2</v>
      </c>
    </row>
    <row r="20" spans="1:11" ht="24" customHeight="1" x14ac:dyDescent="0.2">
      <c r="A20" s="21">
        <v>8</v>
      </c>
      <c r="B20" s="22" t="s">
        <v>23</v>
      </c>
      <c r="C20" s="23">
        <v>2349000</v>
      </c>
      <c r="D20" s="23">
        <v>4091000</v>
      </c>
      <c r="E20" s="23">
        <f t="shared" si="0"/>
        <v>1742000</v>
      </c>
      <c r="F20" s="24">
        <f t="shared" si="1"/>
        <v>0.74159216687952323</v>
      </c>
    </row>
    <row r="21" spans="1:11" ht="24" customHeight="1" x14ac:dyDescent="0.2">
      <c r="A21" s="21">
        <v>9</v>
      </c>
      <c r="B21" s="22" t="s">
        <v>24</v>
      </c>
      <c r="C21" s="23">
        <v>635000</v>
      </c>
      <c r="D21" s="23">
        <v>1027000</v>
      </c>
      <c r="E21" s="23">
        <f t="shared" si="0"/>
        <v>392000</v>
      </c>
      <c r="F21" s="24">
        <f t="shared" si="1"/>
        <v>0.61732283464566928</v>
      </c>
    </row>
    <row r="22" spans="1:11" ht="24" customHeight="1" x14ac:dyDescent="0.25">
      <c r="A22" s="25"/>
      <c r="B22" s="26" t="s">
        <v>25</v>
      </c>
      <c r="C22" s="27">
        <f>SUM(C13:C21)</f>
        <v>95451000</v>
      </c>
      <c r="D22" s="27">
        <f>SUM(D13:D21)</f>
        <v>98408000</v>
      </c>
      <c r="E22" s="27">
        <f t="shared" si="0"/>
        <v>2957000</v>
      </c>
      <c r="F22" s="28">
        <f t="shared" si="1"/>
        <v>3.097924589579994E-2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800000</v>
      </c>
      <c r="D25" s="23">
        <v>799000</v>
      </c>
      <c r="E25" s="23">
        <f>D25-C25</f>
        <v>-1000</v>
      </c>
      <c r="F25" s="24">
        <f>IF(C25=0,0,E25/C25)</f>
        <v>-1.25E-3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60606000</v>
      </c>
      <c r="D26" s="23">
        <v>62583000</v>
      </c>
      <c r="E26" s="23">
        <f>D26-C26</f>
        <v>1977000</v>
      </c>
      <c r="F26" s="24">
        <f>IF(C26=0,0,E26/C26)</f>
        <v>3.2620532620532619E-2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9000</v>
      </c>
      <c r="D27" s="23">
        <v>6000</v>
      </c>
      <c r="E27" s="23">
        <f>D27-C27</f>
        <v>-3000</v>
      </c>
      <c r="F27" s="24">
        <f>IF(C27=0,0,E27/C27)</f>
        <v>-0.33333333333333331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61415000</v>
      </c>
      <c r="D29" s="27">
        <f>SUM(D25:D28)</f>
        <v>63388000</v>
      </c>
      <c r="E29" s="27">
        <f>D29-C29</f>
        <v>1973000</v>
      </c>
      <c r="F29" s="28">
        <f>IF(C29=0,0,E29/C29)</f>
        <v>3.2125702190018722E-2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49683000</v>
      </c>
      <c r="D32" s="23">
        <v>48889000</v>
      </c>
      <c r="E32" s="23">
        <f>D32-C32</f>
        <v>-794000</v>
      </c>
      <c r="F32" s="24">
        <f>IF(C32=0,0,E32/C32)</f>
        <v>-1.5981321578809653E-2</v>
      </c>
    </row>
    <row r="33" spans="1:8" ht="24" customHeight="1" x14ac:dyDescent="0.2">
      <c r="A33" s="21">
        <v>7</v>
      </c>
      <c r="B33" s="22" t="s">
        <v>35</v>
      </c>
      <c r="C33" s="23">
        <v>16936000</v>
      </c>
      <c r="D33" s="23">
        <v>22104000</v>
      </c>
      <c r="E33" s="23">
        <f>D33-C33</f>
        <v>5168000</v>
      </c>
      <c r="F33" s="24">
        <f>IF(C33=0,0,E33/C33)</f>
        <v>0.30514879546528106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467487000</v>
      </c>
      <c r="D36" s="23">
        <v>482664000</v>
      </c>
      <c r="E36" s="23">
        <f>D36-C36</f>
        <v>15177000</v>
      </c>
      <c r="F36" s="24">
        <f>IF(C36=0,0,E36/C36)</f>
        <v>3.2465073895102968E-2</v>
      </c>
    </row>
    <row r="37" spans="1:8" ht="24" customHeight="1" x14ac:dyDescent="0.2">
      <c r="A37" s="21">
        <v>2</v>
      </c>
      <c r="B37" s="22" t="s">
        <v>39</v>
      </c>
      <c r="C37" s="23">
        <v>188154000</v>
      </c>
      <c r="D37" s="23">
        <v>207619000</v>
      </c>
      <c r="E37" s="23">
        <f>D37-C37</f>
        <v>19465000</v>
      </c>
      <c r="F37" s="23">
        <f>IF(C37=0,0,E37/C37)</f>
        <v>0.10345249104456987</v>
      </c>
    </row>
    <row r="38" spans="1:8" ht="24" customHeight="1" x14ac:dyDescent="0.25">
      <c r="A38" s="25"/>
      <c r="B38" s="26" t="s">
        <v>40</v>
      </c>
      <c r="C38" s="27">
        <f>C36-C37</f>
        <v>279333000</v>
      </c>
      <c r="D38" s="27">
        <f>D36-D37</f>
        <v>275045000</v>
      </c>
      <c r="E38" s="27">
        <f>D38-C38</f>
        <v>-4288000</v>
      </c>
      <c r="F38" s="28">
        <f>IF(C38=0,0,E38/C38)</f>
        <v>-1.5350853640636803E-2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524000</v>
      </c>
      <c r="D40" s="23">
        <v>169000</v>
      </c>
      <c r="E40" s="23">
        <f>D40-C40</f>
        <v>-355000</v>
      </c>
      <c r="F40" s="24">
        <f>IF(C40=0,0,E40/C40)</f>
        <v>-0.6774809160305344</v>
      </c>
    </row>
    <row r="41" spans="1:8" ht="24" customHeight="1" x14ac:dyDescent="0.25">
      <c r="A41" s="25"/>
      <c r="B41" s="26" t="s">
        <v>42</v>
      </c>
      <c r="C41" s="27">
        <f>+C38+C40</f>
        <v>279857000</v>
      </c>
      <c r="D41" s="27">
        <f>+D38+D40</f>
        <v>275214000</v>
      </c>
      <c r="E41" s="27">
        <f>D41-C41</f>
        <v>-4643000</v>
      </c>
      <c r="F41" s="28">
        <f>IF(C41=0,0,E41/C41)</f>
        <v>-1.659061592170287E-2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503342000</v>
      </c>
      <c r="D43" s="27">
        <f>D22+D29+D31+D32+D33+D41</f>
        <v>508003000</v>
      </c>
      <c r="E43" s="27">
        <f>D43-C43</f>
        <v>4661000</v>
      </c>
      <c r="F43" s="28">
        <f>IF(C43=0,0,E43/C43)</f>
        <v>9.2601054551378591E-3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15911145</v>
      </c>
      <c r="D49" s="23">
        <v>17723000</v>
      </c>
      <c r="E49" s="23">
        <f t="shared" ref="E49:E56" si="2">D49-C49</f>
        <v>1811855</v>
      </c>
      <c r="F49" s="24">
        <f t="shared" ref="F49:F56" si="3">IF(C49=0,0,E49/C49)</f>
        <v>0.1138733258982933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10892855</v>
      </c>
      <c r="D50" s="23">
        <v>11818000</v>
      </c>
      <c r="E50" s="23">
        <f t="shared" si="2"/>
        <v>925145</v>
      </c>
      <c r="F50" s="24">
        <f t="shared" si="3"/>
        <v>8.49313609701038E-2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264000</v>
      </c>
      <c r="D51" s="23">
        <v>228000</v>
      </c>
      <c r="E51" s="23">
        <f t="shared" si="2"/>
        <v>-36000</v>
      </c>
      <c r="F51" s="24">
        <f t="shared" si="3"/>
        <v>-0.13636363636363635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2260000</v>
      </c>
      <c r="D53" s="23">
        <v>2360000</v>
      </c>
      <c r="E53" s="23">
        <f t="shared" si="2"/>
        <v>100000</v>
      </c>
      <c r="F53" s="24">
        <f t="shared" si="3"/>
        <v>4.4247787610619468E-2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11413000</v>
      </c>
      <c r="D55" s="23">
        <v>14136000</v>
      </c>
      <c r="E55" s="23">
        <f t="shared" si="2"/>
        <v>2723000</v>
      </c>
      <c r="F55" s="24">
        <f t="shared" si="3"/>
        <v>0.23858757557171648</v>
      </c>
    </row>
    <row r="56" spans="1:6" ht="24" customHeight="1" x14ac:dyDescent="0.25">
      <c r="A56" s="25"/>
      <c r="B56" s="26" t="s">
        <v>54</v>
      </c>
      <c r="C56" s="27">
        <f>SUM(C49:C55)</f>
        <v>40741000</v>
      </c>
      <c r="D56" s="27">
        <f>SUM(D49:D55)</f>
        <v>46265000</v>
      </c>
      <c r="E56" s="27">
        <f t="shared" si="2"/>
        <v>5524000</v>
      </c>
      <c r="F56" s="28">
        <f t="shared" si="3"/>
        <v>0.13558822807491225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45005000</v>
      </c>
      <c r="D59" s="23">
        <v>42645000</v>
      </c>
      <c r="E59" s="23">
        <f>D59-C59</f>
        <v>-2360000</v>
      </c>
      <c r="F59" s="24">
        <f>IF(C59=0,0,E59/C59)</f>
        <v>-5.2438617931340963E-2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45005000</v>
      </c>
      <c r="D61" s="27">
        <f>SUM(D59:D60)</f>
        <v>42645000</v>
      </c>
      <c r="E61" s="27">
        <f>D61-C61</f>
        <v>-2360000</v>
      </c>
      <c r="F61" s="28">
        <f>IF(C61=0,0,E61/C61)</f>
        <v>-5.2438617931340963E-2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29899000</v>
      </c>
      <c r="D63" s="23">
        <v>46068000</v>
      </c>
      <c r="E63" s="23">
        <f>D63-C63</f>
        <v>16169000</v>
      </c>
      <c r="F63" s="24">
        <f>IF(C63=0,0,E63/C63)</f>
        <v>0.54078731730158203</v>
      </c>
    </row>
    <row r="64" spans="1:6" ht="24" customHeight="1" x14ac:dyDescent="0.2">
      <c r="A64" s="21">
        <v>4</v>
      </c>
      <c r="B64" s="22" t="s">
        <v>60</v>
      </c>
      <c r="C64" s="23">
        <v>27956000</v>
      </c>
      <c r="D64" s="23">
        <v>29906000</v>
      </c>
      <c r="E64" s="23">
        <f>D64-C64</f>
        <v>1950000</v>
      </c>
      <c r="F64" s="24">
        <f>IF(C64=0,0,E64/C64)</f>
        <v>6.9752468164258119E-2</v>
      </c>
    </row>
    <row r="65" spans="1:6" ht="24" customHeight="1" x14ac:dyDescent="0.25">
      <c r="A65" s="25"/>
      <c r="B65" s="26" t="s">
        <v>61</v>
      </c>
      <c r="C65" s="27">
        <f>SUM(C61:C64)</f>
        <v>102860000</v>
      </c>
      <c r="D65" s="27">
        <f>SUM(D61:D64)</f>
        <v>118619000</v>
      </c>
      <c r="E65" s="27">
        <f>D65-C65</f>
        <v>15759000</v>
      </c>
      <c r="F65" s="28">
        <f>IF(C65=0,0,E65/C65)</f>
        <v>0.15320824421543847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1136000</v>
      </c>
      <c r="E67" s="23">
        <f>D67-C67</f>
        <v>1136000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310901000</v>
      </c>
      <c r="D70" s="23">
        <v>297016000</v>
      </c>
      <c r="E70" s="23">
        <f>D70-C70</f>
        <v>-13885000</v>
      </c>
      <c r="F70" s="24">
        <f>IF(C70=0,0,E70/C70)</f>
        <v>-4.466051894332923E-2</v>
      </c>
    </row>
    <row r="71" spans="1:6" ht="24" customHeight="1" x14ac:dyDescent="0.2">
      <c r="A71" s="21">
        <v>2</v>
      </c>
      <c r="B71" s="22" t="s">
        <v>65</v>
      </c>
      <c r="C71" s="23">
        <v>27295000</v>
      </c>
      <c r="D71" s="23">
        <v>24575000</v>
      </c>
      <c r="E71" s="23">
        <f>D71-C71</f>
        <v>-2720000</v>
      </c>
      <c r="F71" s="24">
        <f>IF(C71=0,0,E71/C71)</f>
        <v>-9.9651950906759476E-2</v>
      </c>
    </row>
    <row r="72" spans="1:6" ht="24" customHeight="1" x14ac:dyDescent="0.2">
      <c r="A72" s="21">
        <v>3</v>
      </c>
      <c r="B72" s="22" t="s">
        <v>66</v>
      </c>
      <c r="C72" s="23">
        <v>21545000</v>
      </c>
      <c r="D72" s="23">
        <v>20392000</v>
      </c>
      <c r="E72" s="23">
        <f>D72-C72</f>
        <v>-1153000</v>
      </c>
      <c r="F72" s="24">
        <f>IF(C72=0,0,E72/C72)</f>
        <v>-5.3515896959851476E-2</v>
      </c>
    </row>
    <row r="73" spans="1:6" ht="24" customHeight="1" x14ac:dyDescent="0.25">
      <c r="A73" s="21"/>
      <c r="B73" s="26" t="s">
        <v>67</v>
      </c>
      <c r="C73" s="27">
        <f>SUM(C70:C72)</f>
        <v>359741000</v>
      </c>
      <c r="D73" s="27">
        <f>SUM(D70:D72)</f>
        <v>341983000</v>
      </c>
      <c r="E73" s="27">
        <f>D73-C73</f>
        <v>-17758000</v>
      </c>
      <c r="F73" s="28">
        <f>IF(C73=0,0,E73/C73)</f>
        <v>-4.9363291923911923E-2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503342000</v>
      </c>
      <c r="D75" s="27">
        <f>D56+D65+D67+D73</f>
        <v>508003000</v>
      </c>
      <c r="E75" s="27">
        <f>D75-C75</f>
        <v>4661000</v>
      </c>
      <c r="F75" s="28">
        <f>IF(C75=0,0,E75/C75)</f>
        <v>9.2601054551378591E-3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FILING&amp;RGREENWICH HEALTH CARE SERVICES,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922624000</v>
      </c>
      <c r="D12" s="51">
        <v>974153000</v>
      </c>
      <c r="E12" s="51">
        <f t="shared" ref="E12:E19" si="0">D12-C12</f>
        <v>51529000</v>
      </c>
      <c r="F12" s="70">
        <f t="shared" ref="F12:F19" si="1">IF(C12=0,0,E12/C12)</f>
        <v>5.5850487305771364E-2</v>
      </c>
    </row>
    <row r="13" spans="1:8" ht="23.1" customHeight="1" x14ac:dyDescent="0.2">
      <c r="A13" s="25">
        <v>2</v>
      </c>
      <c r="B13" s="48" t="s">
        <v>72</v>
      </c>
      <c r="C13" s="51">
        <v>593002019</v>
      </c>
      <c r="D13" s="51">
        <v>620871067</v>
      </c>
      <c r="E13" s="51">
        <f t="shared" si="0"/>
        <v>27869048</v>
      </c>
      <c r="F13" s="70">
        <f t="shared" si="1"/>
        <v>4.6996548252898951E-2</v>
      </c>
    </row>
    <row r="14" spans="1:8" ht="23.1" customHeight="1" x14ac:dyDescent="0.2">
      <c r="A14" s="25">
        <v>3</v>
      </c>
      <c r="B14" s="48" t="s">
        <v>73</v>
      </c>
      <c r="C14" s="51">
        <v>22988513</v>
      </c>
      <c r="D14" s="51">
        <v>22297544</v>
      </c>
      <c r="E14" s="51">
        <f t="shared" si="0"/>
        <v>-690969</v>
      </c>
      <c r="F14" s="70">
        <f t="shared" si="1"/>
        <v>-3.0057142016971693E-2</v>
      </c>
    </row>
    <row r="15" spans="1:8" ht="23.1" customHeight="1" x14ac:dyDescent="0.2">
      <c r="A15" s="25">
        <v>4</v>
      </c>
      <c r="B15" s="48" t="s">
        <v>74</v>
      </c>
      <c r="C15" s="51">
        <v>18217468</v>
      </c>
      <c r="D15" s="51">
        <v>20577389</v>
      </c>
      <c r="E15" s="51">
        <f t="shared" si="0"/>
        <v>2359921</v>
      </c>
      <c r="F15" s="70">
        <f t="shared" si="1"/>
        <v>0.1295416574904921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288416000</v>
      </c>
      <c r="D16" s="27">
        <f>D12-D13-D14-D15</f>
        <v>310407000</v>
      </c>
      <c r="E16" s="27">
        <f t="shared" si="0"/>
        <v>21991000</v>
      </c>
      <c r="F16" s="28">
        <f t="shared" si="1"/>
        <v>7.6247503605902586E-2</v>
      </c>
    </row>
    <row r="17" spans="1:7" ht="23.1" customHeight="1" x14ac:dyDescent="0.2">
      <c r="A17" s="25">
        <v>5</v>
      </c>
      <c r="B17" s="48" t="s">
        <v>76</v>
      </c>
      <c r="C17" s="51">
        <v>9324000</v>
      </c>
      <c r="D17" s="51">
        <v>8585000</v>
      </c>
      <c r="E17" s="51">
        <f t="shared" si="0"/>
        <v>-739000</v>
      </c>
      <c r="F17" s="70">
        <f t="shared" si="1"/>
        <v>-7.925782925782926E-2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5445000</v>
      </c>
      <c r="D18" s="51">
        <v>4366000</v>
      </c>
      <c r="E18" s="51">
        <f t="shared" si="0"/>
        <v>-1079000</v>
      </c>
      <c r="F18" s="70">
        <f t="shared" si="1"/>
        <v>-0.19816345270890726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303185000</v>
      </c>
      <c r="D19" s="27">
        <f>SUM(D16:D18)</f>
        <v>323358000</v>
      </c>
      <c r="E19" s="27">
        <f t="shared" si="0"/>
        <v>20173000</v>
      </c>
      <c r="F19" s="28">
        <f t="shared" si="1"/>
        <v>6.6536932895756712E-2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118341342</v>
      </c>
      <c r="D22" s="51">
        <v>125958821</v>
      </c>
      <c r="E22" s="51">
        <f t="shared" ref="E22:E31" si="2">D22-C22</f>
        <v>7617479</v>
      </c>
      <c r="F22" s="70">
        <f t="shared" ref="F22:F31" si="3">IF(C22=0,0,E22/C22)</f>
        <v>6.43687055703661E-2</v>
      </c>
    </row>
    <row r="23" spans="1:7" ht="23.1" customHeight="1" x14ac:dyDescent="0.2">
      <c r="A23" s="25">
        <v>2</v>
      </c>
      <c r="B23" s="48" t="s">
        <v>81</v>
      </c>
      <c r="C23" s="51">
        <v>33384400</v>
      </c>
      <c r="D23" s="51">
        <v>38350504</v>
      </c>
      <c r="E23" s="51">
        <f t="shared" si="2"/>
        <v>4966104</v>
      </c>
      <c r="F23" s="70">
        <f t="shared" si="3"/>
        <v>0.14875522699224789</v>
      </c>
    </row>
    <row r="24" spans="1:7" ht="23.1" customHeight="1" x14ac:dyDescent="0.2">
      <c r="A24" s="25">
        <v>3</v>
      </c>
      <c r="B24" s="48" t="s">
        <v>82</v>
      </c>
      <c r="C24" s="51">
        <v>3944170</v>
      </c>
      <c r="D24" s="51">
        <v>4204096</v>
      </c>
      <c r="E24" s="51">
        <f t="shared" si="2"/>
        <v>259926</v>
      </c>
      <c r="F24" s="70">
        <f t="shared" si="3"/>
        <v>6.59013176409739E-2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38270558</v>
      </c>
      <c r="D25" s="51">
        <v>41117895</v>
      </c>
      <c r="E25" s="51">
        <f t="shared" si="2"/>
        <v>2847337</v>
      </c>
      <c r="F25" s="70">
        <f t="shared" si="3"/>
        <v>7.4400195575930722E-2</v>
      </c>
    </row>
    <row r="26" spans="1:7" ht="23.1" customHeight="1" x14ac:dyDescent="0.2">
      <c r="A26" s="25">
        <v>5</v>
      </c>
      <c r="B26" s="48" t="s">
        <v>84</v>
      </c>
      <c r="C26" s="51">
        <v>21723000</v>
      </c>
      <c r="D26" s="51">
        <v>20454000</v>
      </c>
      <c r="E26" s="51">
        <f t="shared" si="2"/>
        <v>-1269000</v>
      </c>
      <c r="F26" s="70">
        <f t="shared" si="3"/>
        <v>-5.8417345670487501E-2</v>
      </c>
    </row>
    <row r="27" spans="1:7" ht="23.1" customHeight="1" x14ac:dyDescent="0.2">
      <c r="A27" s="25">
        <v>6</v>
      </c>
      <c r="B27" s="48" t="s">
        <v>85</v>
      </c>
      <c r="C27" s="51">
        <v>10787000</v>
      </c>
      <c r="D27" s="51">
        <v>9444000</v>
      </c>
      <c r="E27" s="51">
        <f t="shared" si="2"/>
        <v>-1343000</v>
      </c>
      <c r="F27" s="70">
        <f t="shared" si="3"/>
        <v>-0.12450171502734773</v>
      </c>
    </row>
    <row r="28" spans="1:7" ht="23.1" customHeight="1" x14ac:dyDescent="0.2">
      <c r="A28" s="25">
        <v>7</v>
      </c>
      <c r="B28" s="48" t="s">
        <v>86</v>
      </c>
      <c r="C28" s="51">
        <v>449000</v>
      </c>
      <c r="D28" s="51">
        <v>425000</v>
      </c>
      <c r="E28" s="51">
        <f t="shared" si="2"/>
        <v>-24000</v>
      </c>
      <c r="F28" s="70">
        <f t="shared" si="3"/>
        <v>-5.3452115812917596E-2</v>
      </c>
    </row>
    <row r="29" spans="1:7" ht="23.1" customHeight="1" x14ac:dyDescent="0.2">
      <c r="A29" s="25">
        <v>8</v>
      </c>
      <c r="B29" s="48" t="s">
        <v>87</v>
      </c>
      <c r="C29" s="51">
        <v>2913343</v>
      </c>
      <c r="D29" s="51">
        <v>200972</v>
      </c>
      <c r="E29" s="51">
        <f t="shared" si="2"/>
        <v>-2712371</v>
      </c>
      <c r="F29" s="70">
        <f t="shared" si="3"/>
        <v>-0.9310167048644804</v>
      </c>
    </row>
    <row r="30" spans="1:7" ht="23.1" customHeight="1" x14ac:dyDescent="0.2">
      <c r="A30" s="25">
        <v>9</v>
      </c>
      <c r="B30" s="48" t="s">
        <v>88</v>
      </c>
      <c r="C30" s="51">
        <v>64888187</v>
      </c>
      <c r="D30" s="51">
        <v>74761712</v>
      </c>
      <c r="E30" s="51">
        <f t="shared" si="2"/>
        <v>9873525</v>
      </c>
      <c r="F30" s="70">
        <f t="shared" si="3"/>
        <v>0.15216213391815062</v>
      </c>
    </row>
    <row r="31" spans="1:7" ht="23.1" customHeight="1" x14ac:dyDescent="0.25">
      <c r="A31" s="29"/>
      <c r="B31" s="71" t="s">
        <v>89</v>
      </c>
      <c r="C31" s="27">
        <f>SUM(C22:C30)</f>
        <v>294701000</v>
      </c>
      <c r="D31" s="27">
        <f>SUM(D22:D30)</f>
        <v>314917000</v>
      </c>
      <c r="E31" s="27">
        <f t="shared" si="2"/>
        <v>20216000</v>
      </c>
      <c r="F31" s="28">
        <f t="shared" si="3"/>
        <v>6.8598342048381236E-2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8484000</v>
      </c>
      <c r="D33" s="27">
        <f>+D19-D31</f>
        <v>8441000</v>
      </c>
      <c r="E33" s="27">
        <f>D33-C33</f>
        <v>-43000</v>
      </c>
      <c r="F33" s="28">
        <f>IF(C33=0,0,E33/C33)</f>
        <v>-5.0683639792550687E-3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1052000</v>
      </c>
      <c r="D36" s="51">
        <v>752000</v>
      </c>
      <c r="E36" s="51">
        <f>D36-C36</f>
        <v>-300000</v>
      </c>
      <c r="F36" s="70">
        <f>IF(C36=0,0,E36/C36)</f>
        <v>-0.28517110266159695</v>
      </c>
    </row>
    <row r="37" spans="1:6" ht="23.1" customHeight="1" x14ac:dyDescent="0.2">
      <c r="A37" s="44">
        <v>2</v>
      </c>
      <c r="B37" s="48" t="s">
        <v>93</v>
      </c>
      <c r="C37" s="51">
        <v>1605000</v>
      </c>
      <c r="D37" s="51">
        <v>4117000</v>
      </c>
      <c r="E37" s="51">
        <f>D37-C37</f>
        <v>2512000</v>
      </c>
      <c r="F37" s="70">
        <f>IF(C37=0,0,E37/C37)</f>
        <v>1.5651090342679128</v>
      </c>
    </row>
    <row r="38" spans="1:6" ht="23.1" customHeight="1" x14ac:dyDescent="0.2">
      <c r="A38" s="44">
        <v>3</v>
      </c>
      <c r="B38" s="48" t="s">
        <v>94</v>
      </c>
      <c r="C38" s="51">
        <v>-4261000</v>
      </c>
      <c r="D38" s="51">
        <v>-7114000</v>
      </c>
      <c r="E38" s="51">
        <f>D38-C38</f>
        <v>-2853000</v>
      </c>
      <c r="F38" s="70">
        <f>IF(C38=0,0,E38/C38)</f>
        <v>0.66956113588359545</v>
      </c>
    </row>
    <row r="39" spans="1:6" ht="23.1" customHeight="1" x14ac:dyDescent="0.25">
      <c r="A39" s="20"/>
      <c r="B39" s="71" t="s">
        <v>95</v>
      </c>
      <c r="C39" s="27">
        <f>SUM(C36:C38)</f>
        <v>-1604000</v>
      </c>
      <c r="D39" s="27">
        <f>SUM(D36:D38)</f>
        <v>-2245000</v>
      </c>
      <c r="E39" s="27">
        <f>D39-C39</f>
        <v>-641000</v>
      </c>
      <c r="F39" s="28">
        <f>IF(C39=0,0,E39/C39)</f>
        <v>0.39962593516209477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6880000</v>
      </c>
      <c r="D41" s="27">
        <f>D33+D39</f>
        <v>6196000</v>
      </c>
      <c r="E41" s="27">
        <f>D41-C41</f>
        <v>-684000</v>
      </c>
      <c r="F41" s="28">
        <f>IF(C41=0,0,E41/C41)</f>
        <v>-9.9418604651162784E-2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4661000</v>
      </c>
      <c r="D44" s="51">
        <v>-2162000</v>
      </c>
      <c r="E44" s="51">
        <f>D44-C44</f>
        <v>-6823000</v>
      </c>
      <c r="F44" s="70">
        <f>IF(C44=0,0,E44/C44)</f>
        <v>-1.4638489594507615</v>
      </c>
    </row>
    <row r="45" spans="1:6" ht="23.1" customHeight="1" x14ac:dyDescent="0.2">
      <c r="A45" s="44"/>
      <c r="B45" s="48" t="s">
        <v>99</v>
      </c>
      <c r="C45" s="51">
        <v>-3435000</v>
      </c>
      <c r="D45" s="51">
        <v>-1847000</v>
      </c>
      <c r="E45" s="51">
        <f>D45-C45</f>
        <v>1588000</v>
      </c>
      <c r="F45" s="70">
        <f>IF(C45=0,0,E45/C45)</f>
        <v>-0.46229985443959243</v>
      </c>
    </row>
    <row r="46" spans="1:6" ht="23.1" customHeight="1" x14ac:dyDescent="0.25">
      <c r="A46" s="20"/>
      <c r="B46" s="74" t="s">
        <v>100</v>
      </c>
      <c r="C46" s="27">
        <f>SUM(C44:C45)</f>
        <v>1226000</v>
      </c>
      <c r="D46" s="27">
        <f>SUM(D44:D45)</f>
        <v>-4009000</v>
      </c>
      <c r="E46" s="27">
        <f>D46-C46</f>
        <v>-5235000</v>
      </c>
      <c r="F46" s="28">
        <f>IF(C46=0,0,E46/C46)</f>
        <v>-4.269983686786297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8106000</v>
      </c>
      <c r="D48" s="27">
        <f>D41+D46</f>
        <v>2187000</v>
      </c>
      <c r="E48" s="27">
        <f>D48-C48</f>
        <v>-5919000</v>
      </c>
      <c r="F48" s="28">
        <f>IF(C48=0,0,E48/C48)</f>
        <v>-0.73019985196150994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FILING&amp;R&amp;8GREENWICH HEALTH CARE SERVICES,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2012-06-21T12:04:16Z</cp:lastPrinted>
  <dcterms:created xsi:type="dcterms:W3CDTF">2006-08-03T13:49:12Z</dcterms:created>
  <dcterms:modified xsi:type="dcterms:W3CDTF">2012-06-28T12:22:12Z</dcterms:modified>
</cp:coreProperties>
</file>