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198" i="14"/>
  <c r="D290" i="14"/>
  <c r="D191" i="14"/>
  <c r="D264" i="14"/>
  <c r="D189" i="14"/>
  <c r="D278" i="14"/>
  <c r="D188" i="14"/>
  <c r="D261" i="14"/>
  <c r="D180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92" i="14"/>
  <c r="D120" i="14"/>
  <c r="D110" i="14"/>
  <c r="D109" i="14"/>
  <c r="D111" i="14"/>
  <c r="D101" i="14"/>
  <c r="D102" i="14"/>
  <c r="D103" i="14"/>
  <c r="D100" i="14"/>
  <c r="D95" i="14"/>
  <c r="D94" i="14"/>
  <c r="D89" i="14"/>
  <c r="D88" i="14"/>
  <c r="D85" i="14"/>
  <c r="D76" i="14"/>
  <c r="D77" i="14"/>
  <c r="D67" i="14"/>
  <c r="D66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17" i="14"/>
  <c r="E97" i="19"/>
  <c r="D97" i="19"/>
  <c r="C97" i="19"/>
  <c r="C98" i="19"/>
  <c r="E96" i="19"/>
  <c r="E98" i="19"/>
  <c r="D96" i="19"/>
  <c r="D98" i="19"/>
  <c r="C96" i="19"/>
  <c r="E92" i="19"/>
  <c r="D92" i="19"/>
  <c r="C92" i="19"/>
  <c r="E91" i="19"/>
  <c r="E93" i="19"/>
  <c r="D91" i="19"/>
  <c r="D93" i="19"/>
  <c r="C91" i="19"/>
  <c r="C93" i="19"/>
  <c r="E87" i="19"/>
  <c r="E88" i="19"/>
  <c r="D87" i="19"/>
  <c r="C87" i="19"/>
  <c r="E86" i="19"/>
  <c r="D86" i="19"/>
  <c r="D88" i="19"/>
  <c r="C86" i="19"/>
  <c r="C88" i="19"/>
  <c r="E83" i="19"/>
  <c r="E102" i="19"/>
  <c r="D83" i="19"/>
  <c r="C83" i="19"/>
  <c r="C102" i="19"/>
  <c r="E76" i="19"/>
  <c r="D76" i="19"/>
  <c r="D102" i="19"/>
  <c r="C76" i="19"/>
  <c r="E75" i="19"/>
  <c r="E77" i="19"/>
  <c r="D75" i="19"/>
  <c r="D101" i="19"/>
  <c r="D103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23" i="19"/>
  <c r="D21" i="18"/>
  <c r="E21" i="18"/>
  <c r="F21" i="18"/>
  <c r="C21" i="18"/>
  <c r="D19" i="18"/>
  <c r="E19" i="18"/>
  <c r="F19" i="18"/>
  <c r="C19" i="18"/>
  <c r="E17" i="18"/>
  <c r="F17" i="18"/>
  <c r="F15" i="18"/>
  <c r="E15" i="18"/>
  <c r="D45" i="17"/>
  <c r="E45" i="17"/>
  <c r="C45" i="17"/>
  <c r="F45" i="17"/>
  <c r="D44" i="17"/>
  <c r="E44" i="17"/>
  <c r="C44" i="17"/>
  <c r="D43" i="17"/>
  <c r="D46" i="17"/>
  <c r="C43" i="17"/>
  <c r="D36" i="17"/>
  <c r="D40" i="17"/>
  <c r="C36" i="17"/>
  <c r="E35" i="17"/>
  <c r="F35" i="17"/>
  <c r="E34" i="17"/>
  <c r="F34" i="17"/>
  <c r="E33" i="17"/>
  <c r="E36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F24" i="17"/>
  <c r="E24" i="17"/>
  <c r="E23" i="17"/>
  <c r="F23" i="17"/>
  <c r="F22" i="17"/>
  <c r="E22" i="17"/>
  <c r="E25" i="17"/>
  <c r="D19" i="17"/>
  <c r="D20" i="17"/>
  <c r="C19" i="17"/>
  <c r="E18" i="17"/>
  <c r="F18" i="17"/>
  <c r="D16" i="17"/>
  <c r="C16" i="17"/>
  <c r="E16" i="17"/>
  <c r="F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8" i="16"/>
  <c r="C64" i="16"/>
  <c r="C36" i="16"/>
  <c r="C32" i="16"/>
  <c r="C33" i="16"/>
  <c r="C21" i="16"/>
  <c r="C22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C293" i="15"/>
  <c r="E293" i="15"/>
  <c r="D292" i="15"/>
  <c r="E292" i="15"/>
  <c r="C292" i="15"/>
  <c r="D291" i="15"/>
  <c r="E291" i="15"/>
  <c r="C291" i="15"/>
  <c r="D290" i="15"/>
  <c r="C290" i="15"/>
  <c r="E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C280" i="15"/>
  <c r="E280" i="15"/>
  <c r="D279" i="15"/>
  <c r="E279" i="15"/>
  <c r="C279" i="15"/>
  <c r="D278" i="15"/>
  <c r="E278" i="15"/>
  <c r="C278" i="15"/>
  <c r="D277" i="15"/>
  <c r="E277" i="15"/>
  <c r="C277" i="15"/>
  <c r="D276" i="15"/>
  <c r="C276" i="15"/>
  <c r="E276" i="15"/>
  <c r="E270" i="15"/>
  <c r="E265" i="15"/>
  <c r="D265" i="15"/>
  <c r="D302" i="15"/>
  <c r="C265" i="15"/>
  <c r="C302" i="15"/>
  <c r="C303" i="15"/>
  <c r="C306" i="15"/>
  <c r="C310" i="15"/>
  <c r="D262" i="15"/>
  <c r="C262" i="15"/>
  <c r="E262" i="15"/>
  <c r="D251" i="15"/>
  <c r="C251" i="15"/>
  <c r="D233" i="15"/>
  <c r="C233" i="15"/>
  <c r="D232" i="15"/>
  <c r="E232" i="15"/>
  <c r="C232" i="15"/>
  <c r="D231" i="15"/>
  <c r="C231" i="15"/>
  <c r="E231" i="15"/>
  <c r="D230" i="15"/>
  <c r="E230" i="15"/>
  <c r="C230" i="15"/>
  <c r="D228" i="15"/>
  <c r="E228" i="15"/>
  <c r="C228" i="15"/>
  <c r="D227" i="15"/>
  <c r="C227" i="15"/>
  <c r="E227" i="15"/>
  <c r="D221" i="15"/>
  <c r="E221" i="15"/>
  <c r="C221" i="15"/>
  <c r="C245" i="15"/>
  <c r="D220" i="15"/>
  <c r="E220" i="15"/>
  <c r="C220" i="15"/>
  <c r="C244" i="15"/>
  <c r="D219" i="15"/>
  <c r="E219" i="15"/>
  <c r="C219" i="15"/>
  <c r="C243" i="15"/>
  <c r="D218" i="15"/>
  <c r="D242" i="15"/>
  <c r="C218" i="15"/>
  <c r="C222" i="15"/>
  <c r="D216" i="15"/>
  <c r="E216" i="15"/>
  <c r="C216" i="15"/>
  <c r="C240" i="15"/>
  <c r="D215" i="15"/>
  <c r="C215" i="15"/>
  <c r="C223" i="15"/>
  <c r="E209" i="15"/>
  <c r="E208" i="15"/>
  <c r="E207" i="15"/>
  <c r="E206" i="15"/>
  <c r="D205" i="15"/>
  <c r="E205" i="15"/>
  <c r="C205" i="15"/>
  <c r="C229" i="15"/>
  <c r="C210" i="15"/>
  <c r="E204" i="15"/>
  <c r="E203" i="15"/>
  <c r="E197" i="15"/>
  <c r="E196" i="15"/>
  <c r="D195" i="15"/>
  <c r="C195" i="15"/>
  <c r="C260" i="15"/>
  <c r="E194" i="15"/>
  <c r="E193" i="15"/>
  <c r="E192" i="15"/>
  <c r="E191" i="15"/>
  <c r="E190" i="15"/>
  <c r="D188" i="15"/>
  <c r="D261" i="15"/>
  <c r="C188" i="15"/>
  <c r="C189" i="15"/>
  <c r="E186" i="15"/>
  <c r="E185" i="15"/>
  <c r="D179" i="15"/>
  <c r="E179" i="15"/>
  <c r="C179" i="15"/>
  <c r="D178" i="15"/>
  <c r="C178" i="15"/>
  <c r="E178" i="15"/>
  <c r="D177" i="15"/>
  <c r="C177" i="15"/>
  <c r="D176" i="15"/>
  <c r="C176" i="15"/>
  <c r="E176" i="15"/>
  <c r="D174" i="15"/>
  <c r="C174" i="15"/>
  <c r="E174" i="15"/>
  <c r="D173" i="15"/>
  <c r="E173" i="15"/>
  <c r="C173" i="15"/>
  <c r="D167" i="15"/>
  <c r="E167" i="15"/>
  <c r="C167" i="15"/>
  <c r="D166" i="15"/>
  <c r="C166" i="15"/>
  <c r="D165" i="15"/>
  <c r="C165" i="15"/>
  <c r="E165" i="15"/>
  <c r="D164" i="15"/>
  <c r="C164" i="15"/>
  <c r="E164" i="15"/>
  <c r="D162" i="15"/>
  <c r="E162" i="15"/>
  <c r="C162" i="15"/>
  <c r="D161" i="15"/>
  <c r="C161" i="15"/>
  <c r="E161" i="15"/>
  <c r="E155" i="15"/>
  <c r="E154" i="15"/>
  <c r="E153" i="15"/>
  <c r="E152" i="15"/>
  <c r="D151" i="15"/>
  <c r="D156" i="15"/>
  <c r="D157" i="15"/>
  <c r="C151" i="15"/>
  <c r="C156" i="15"/>
  <c r="C157" i="15"/>
  <c r="E150" i="15"/>
  <c r="E149" i="15"/>
  <c r="D144" i="15"/>
  <c r="D145" i="15"/>
  <c r="D169" i="15"/>
  <c r="E143" i="15"/>
  <c r="E142" i="15"/>
  <c r="E141" i="15"/>
  <c r="E140" i="15"/>
  <c r="D139" i="15"/>
  <c r="C139" i="15"/>
  <c r="C144" i="15"/>
  <c r="E138" i="15"/>
  <c r="E137" i="15"/>
  <c r="D75" i="15"/>
  <c r="C75" i="15"/>
  <c r="D74" i="15"/>
  <c r="C74" i="15"/>
  <c r="E74" i="15"/>
  <c r="D73" i="15"/>
  <c r="E73" i="15"/>
  <c r="C73" i="15"/>
  <c r="D72" i="15"/>
  <c r="C72" i="15"/>
  <c r="E72" i="15"/>
  <c r="D70" i="15"/>
  <c r="C70" i="15"/>
  <c r="D69" i="15"/>
  <c r="E69" i="15"/>
  <c r="C69" i="15"/>
  <c r="E64" i="15"/>
  <c r="E63" i="15"/>
  <c r="E62" i="15"/>
  <c r="E61" i="15"/>
  <c r="D60" i="15"/>
  <c r="D71" i="15"/>
  <c r="D76" i="15"/>
  <c r="C60" i="15"/>
  <c r="C65" i="15"/>
  <c r="C66" i="15"/>
  <c r="E59" i="15"/>
  <c r="E58" i="15"/>
  <c r="D54" i="15"/>
  <c r="D55" i="15"/>
  <c r="C54" i="15"/>
  <c r="C55" i="15"/>
  <c r="E54" i="15"/>
  <c r="E53" i="15"/>
  <c r="E52" i="15"/>
  <c r="E51" i="15"/>
  <c r="E50" i="15"/>
  <c r="E49" i="15"/>
  <c r="E48" i="15"/>
  <c r="E47" i="15"/>
  <c r="D42" i="15"/>
  <c r="C42" i="15"/>
  <c r="E42" i="15"/>
  <c r="D41" i="15"/>
  <c r="C41" i="15"/>
  <c r="E41" i="15"/>
  <c r="D40" i="15"/>
  <c r="E40" i="15"/>
  <c r="C40" i="15"/>
  <c r="D39" i="15"/>
  <c r="C39" i="15"/>
  <c r="D38" i="15"/>
  <c r="C38" i="15"/>
  <c r="E38" i="15"/>
  <c r="D37" i="15"/>
  <c r="E37" i="15"/>
  <c r="C37" i="15"/>
  <c r="D36" i="15"/>
  <c r="C36" i="15"/>
  <c r="E36" i="15"/>
  <c r="D32" i="15"/>
  <c r="D33" i="15"/>
  <c r="C32" i="15"/>
  <c r="C33" i="15"/>
  <c r="C295" i="15"/>
  <c r="E31" i="15"/>
  <c r="E30" i="15"/>
  <c r="E29" i="15"/>
  <c r="E28" i="15"/>
  <c r="E27" i="15"/>
  <c r="E26" i="15"/>
  <c r="E25" i="15"/>
  <c r="D284" i="15"/>
  <c r="D21" i="15"/>
  <c r="D22" i="15"/>
  <c r="C21" i="15"/>
  <c r="E20" i="15"/>
  <c r="E19" i="15"/>
  <c r="E18" i="15"/>
  <c r="E17" i="15"/>
  <c r="E16" i="15"/>
  <c r="E15" i="15"/>
  <c r="E14" i="15"/>
  <c r="F335" i="14"/>
  <c r="E335" i="14"/>
  <c r="E334" i="14"/>
  <c r="F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E311" i="14"/>
  <c r="F311" i="14"/>
  <c r="F308" i="14"/>
  <c r="E308" i="14"/>
  <c r="C307" i="14"/>
  <c r="E307" i="14"/>
  <c r="C299" i="14"/>
  <c r="C298" i="14"/>
  <c r="E298" i="14"/>
  <c r="C297" i="14"/>
  <c r="E297" i="14"/>
  <c r="C296" i="14"/>
  <c r="E296" i="14"/>
  <c r="C295" i="14"/>
  <c r="E295" i="14"/>
  <c r="E294" i="14"/>
  <c r="C294" i="14"/>
  <c r="F294" i="14"/>
  <c r="C250" i="14"/>
  <c r="C306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F238" i="14"/>
  <c r="C237" i="14"/>
  <c r="E237" i="14"/>
  <c r="E234" i="14"/>
  <c r="F234" i="14"/>
  <c r="E233" i="14"/>
  <c r="F233" i="14"/>
  <c r="C230" i="14"/>
  <c r="E230" i="14"/>
  <c r="C229" i="14"/>
  <c r="E229" i="14"/>
  <c r="E228" i="14"/>
  <c r="F228" i="14"/>
  <c r="C226" i="14"/>
  <c r="E226" i="14"/>
  <c r="E225" i="14"/>
  <c r="F225" i="14"/>
  <c r="E224" i="14"/>
  <c r="F224" i="14"/>
  <c r="C223" i="14"/>
  <c r="E222" i="14"/>
  <c r="F222" i="14"/>
  <c r="E221" i="14"/>
  <c r="F221" i="14"/>
  <c r="E204" i="14"/>
  <c r="C204" i="14"/>
  <c r="C203" i="14"/>
  <c r="E203" i="14"/>
  <c r="F203" i="14"/>
  <c r="C198" i="14"/>
  <c r="E198" i="14"/>
  <c r="C191" i="14"/>
  <c r="E191" i="14"/>
  <c r="C189" i="14"/>
  <c r="C278" i="14"/>
  <c r="C188" i="14"/>
  <c r="C277" i="14"/>
  <c r="C180" i="14"/>
  <c r="E180" i="14"/>
  <c r="F180" i="14"/>
  <c r="C179" i="14"/>
  <c r="C181" i="14"/>
  <c r="C171" i="14"/>
  <c r="C172" i="14"/>
  <c r="C173" i="14"/>
  <c r="C170" i="14"/>
  <c r="E170" i="14"/>
  <c r="E169" i="14"/>
  <c r="F169" i="14"/>
  <c r="E168" i="14"/>
  <c r="F168" i="14"/>
  <c r="E165" i="14"/>
  <c r="C165" i="14"/>
  <c r="F165" i="14"/>
  <c r="C164" i="14"/>
  <c r="E164" i="14"/>
  <c r="E163" i="14"/>
  <c r="F163" i="14"/>
  <c r="C158" i="14"/>
  <c r="C159" i="14"/>
  <c r="E157" i="14"/>
  <c r="F157" i="14"/>
  <c r="E156" i="14"/>
  <c r="F156" i="14"/>
  <c r="E155" i="14"/>
  <c r="C155" i="14"/>
  <c r="F155" i="14"/>
  <c r="E154" i="14"/>
  <c r="F154" i="14"/>
  <c r="F153" i="14"/>
  <c r="E153" i="14"/>
  <c r="C145" i="14"/>
  <c r="C144" i="14"/>
  <c r="E144" i="14"/>
  <c r="C136" i="14"/>
  <c r="E136" i="14"/>
  <c r="C135" i="14"/>
  <c r="E135" i="14"/>
  <c r="E134" i="14"/>
  <c r="F134" i="14"/>
  <c r="E133" i="14"/>
  <c r="F133" i="14"/>
  <c r="C130" i="14"/>
  <c r="E130" i="14"/>
  <c r="F130" i="14"/>
  <c r="C129" i="14"/>
  <c r="E129" i="14"/>
  <c r="E128" i="14"/>
  <c r="F128" i="14"/>
  <c r="C123" i="14"/>
  <c r="E122" i="14"/>
  <c r="F122" i="14"/>
  <c r="E121" i="14"/>
  <c r="F121" i="14"/>
  <c r="C120" i="14"/>
  <c r="E120" i="14"/>
  <c r="F120" i="14"/>
  <c r="E119" i="14"/>
  <c r="F119" i="14"/>
  <c r="E118" i="14"/>
  <c r="F118" i="14"/>
  <c r="C110" i="14"/>
  <c r="C111" i="14"/>
  <c r="E111" i="14"/>
  <c r="C109" i="14"/>
  <c r="E109" i="14"/>
  <c r="F109" i="14"/>
  <c r="C101" i="14"/>
  <c r="C102" i="14"/>
  <c r="C100" i="14"/>
  <c r="E99" i="14"/>
  <c r="F99" i="14"/>
  <c r="E98" i="14"/>
  <c r="F98" i="14"/>
  <c r="E95" i="14"/>
  <c r="C95" i="14"/>
  <c r="F95" i="14"/>
  <c r="C94" i="14"/>
  <c r="E94" i="14"/>
  <c r="F93" i="14"/>
  <c r="E93" i="14"/>
  <c r="C88" i="14"/>
  <c r="E87" i="14"/>
  <c r="F87" i="14"/>
  <c r="F86" i="14"/>
  <c r="E86" i="14"/>
  <c r="C85" i="14"/>
  <c r="E85" i="14"/>
  <c r="E84" i="14"/>
  <c r="F84" i="14"/>
  <c r="E83" i="14"/>
  <c r="F83" i="14"/>
  <c r="C76" i="14"/>
  <c r="E74" i="14"/>
  <c r="F74" i="14"/>
  <c r="E73" i="14"/>
  <c r="F73" i="14"/>
  <c r="C67" i="14"/>
  <c r="E67" i="14"/>
  <c r="C66" i="14"/>
  <c r="C68" i="14"/>
  <c r="C59" i="14"/>
  <c r="E59" i="14"/>
  <c r="C58" i="14"/>
  <c r="E58" i="14"/>
  <c r="F57" i="14"/>
  <c r="E57" i="14"/>
  <c r="E56" i="14"/>
  <c r="F56" i="14"/>
  <c r="E53" i="14"/>
  <c r="C53" i="14"/>
  <c r="F52" i="14"/>
  <c r="C52" i="14"/>
  <c r="E52" i="14"/>
  <c r="E51" i="14"/>
  <c r="F51" i="14"/>
  <c r="C47" i="14"/>
  <c r="C48" i="14"/>
  <c r="F46" i="14"/>
  <c r="E46" i="14"/>
  <c r="E45" i="14"/>
  <c r="F45" i="14"/>
  <c r="C44" i="14"/>
  <c r="E44" i="14"/>
  <c r="E43" i="14"/>
  <c r="F43" i="14"/>
  <c r="E42" i="14"/>
  <c r="F42" i="14"/>
  <c r="C36" i="14"/>
  <c r="E36" i="14"/>
  <c r="C35" i="14"/>
  <c r="E35" i="14"/>
  <c r="C30" i="14"/>
  <c r="E30" i="14"/>
  <c r="C29" i="14"/>
  <c r="E29" i="14"/>
  <c r="E28" i="14"/>
  <c r="F28" i="14"/>
  <c r="E27" i="14"/>
  <c r="F27" i="14"/>
  <c r="E24" i="14"/>
  <c r="C24" i="14"/>
  <c r="F24" i="14"/>
  <c r="C23" i="14"/>
  <c r="E23" i="14"/>
  <c r="E22" i="14"/>
  <c r="F22" i="14"/>
  <c r="C20" i="14"/>
  <c r="E20" i="14"/>
  <c r="F20" i="14"/>
  <c r="E19" i="14"/>
  <c r="F19" i="14"/>
  <c r="E18" i="14"/>
  <c r="F18" i="14"/>
  <c r="C17" i="14"/>
  <c r="E17" i="14"/>
  <c r="F16" i="14"/>
  <c r="E16" i="14"/>
  <c r="E15" i="14"/>
  <c r="F15" i="14"/>
  <c r="D23" i="13"/>
  <c r="C23" i="13"/>
  <c r="E22" i="13"/>
  <c r="F22" i="13"/>
  <c r="D19" i="13"/>
  <c r="E19" i="13"/>
  <c r="C19" i="13"/>
  <c r="F19" i="13"/>
  <c r="F18" i="13"/>
  <c r="E18" i="13"/>
  <c r="F17" i="13"/>
  <c r="E17" i="13"/>
  <c r="D14" i="13"/>
  <c r="E14" i="13"/>
  <c r="C14" i="13"/>
  <c r="F14" i="13"/>
  <c r="E13" i="13"/>
  <c r="F13" i="13"/>
  <c r="F12" i="13"/>
  <c r="E12" i="13"/>
  <c r="D99" i="12"/>
  <c r="E99" i="12"/>
  <c r="C99" i="12"/>
  <c r="F98" i="12"/>
  <c r="E98" i="12"/>
  <c r="F97" i="12"/>
  <c r="E97" i="12"/>
  <c r="E96" i="12"/>
  <c r="F96" i="12"/>
  <c r="D92" i="12"/>
  <c r="E92" i="12"/>
  <c r="C92" i="12"/>
  <c r="F91" i="12"/>
  <c r="E91" i="12"/>
  <c r="F90" i="12"/>
  <c r="E90" i="12"/>
  <c r="F89" i="12"/>
  <c r="E89" i="12"/>
  <c r="F88" i="12"/>
  <c r="E88" i="12"/>
  <c r="F87" i="12"/>
  <c r="E87" i="12"/>
  <c r="D84" i="12"/>
  <c r="E84" i="12"/>
  <c r="F84" i="12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F73" i="12"/>
  <c r="E73" i="12"/>
  <c r="E75" i="12"/>
  <c r="D70" i="12"/>
  <c r="E70" i="12"/>
  <c r="C70" i="12"/>
  <c r="F70" i="12"/>
  <c r="E69" i="12"/>
  <c r="F69" i="12"/>
  <c r="E68" i="12"/>
  <c r="F68" i="12"/>
  <c r="D65" i="12"/>
  <c r="E65" i="12"/>
  <c r="C65" i="12"/>
  <c r="F64" i="12"/>
  <c r="E64" i="12"/>
  <c r="F63" i="12"/>
  <c r="E63" i="12"/>
  <c r="D60" i="12"/>
  <c r="C60" i="12"/>
  <c r="F59" i="12"/>
  <c r="E59" i="12"/>
  <c r="F58" i="12"/>
  <c r="E58" i="12"/>
  <c r="E60" i="12"/>
  <c r="D55" i="12"/>
  <c r="E55" i="12"/>
  <c r="C55" i="12"/>
  <c r="F54" i="12"/>
  <c r="E54" i="12"/>
  <c r="F53" i="12"/>
  <c r="E53" i="12"/>
  <c r="D50" i="12"/>
  <c r="E50" i="12"/>
  <c r="C50" i="12"/>
  <c r="F49" i="12"/>
  <c r="E49" i="12"/>
  <c r="F48" i="12"/>
  <c r="E48" i="12"/>
  <c r="D45" i="12"/>
  <c r="E45" i="12"/>
  <c r="C45" i="12"/>
  <c r="E44" i="12"/>
  <c r="F44" i="12"/>
  <c r="E43" i="12"/>
  <c r="F43" i="12"/>
  <c r="D37" i="12"/>
  <c r="E37" i="12"/>
  <c r="C37" i="12"/>
  <c r="F37" i="12"/>
  <c r="F36" i="12"/>
  <c r="E36" i="12"/>
  <c r="F35" i="12"/>
  <c r="E35" i="12"/>
  <c r="E34" i="12"/>
  <c r="F34" i="12"/>
  <c r="E33" i="12"/>
  <c r="F33" i="12"/>
  <c r="D30" i="12"/>
  <c r="E30" i="12"/>
  <c r="C30" i="12"/>
  <c r="F29" i="12"/>
  <c r="E29" i="12"/>
  <c r="F28" i="12"/>
  <c r="E28" i="12"/>
  <c r="F27" i="12"/>
  <c r="E27" i="12"/>
  <c r="F26" i="12"/>
  <c r="E26" i="12"/>
  <c r="D23" i="12"/>
  <c r="E23" i="12"/>
  <c r="C23" i="12"/>
  <c r="F23" i="12"/>
  <c r="F22" i="12"/>
  <c r="E22" i="12"/>
  <c r="F21" i="12"/>
  <c r="E21" i="12"/>
  <c r="F20" i="12"/>
  <c r="E20" i="12"/>
  <c r="F19" i="12"/>
  <c r="E19" i="12"/>
  <c r="D16" i="12"/>
  <c r="E16" i="12"/>
  <c r="C16" i="12"/>
  <c r="E15" i="12"/>
  <c r="F15" i="12"/>
  <c r="E14" i="12"/>
  <c r="F14" i="12"/>
  <c r="E13" i="12"/>
  <c r="F13" i="12"/>
  <c r="E12" i="12"/>
  <c r="F12" i="12"/>
  <c r="G37" i="11"/>
  <c r="F37" i="11"/>
  <c r="E33" i="11"/>
  <c r="E36" i="11"/>
  <c r="E38" i="11"/>
  <c r="E40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G17" i="11"/>
  <c r="E17" i="11"/>
  <c r="E31" i="11"/>
  <c r="G31" i="11"/>
  <c r="D17" i="11"/>
  <c r="D31" i="11"/>
  <c r="F31" i="11"/>
  <c r="C17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C80" i="10"/>
  <c r="C77" i="10"/>
  <c r="E78" i="10"/>
  <c r="E80" i="10"/>
  <c r="E77" i="10"/>
  <c r="D78" i="10"/>
  <c r="D80" i="10"/>
  <c r="D77" i="10"/>
  <c r="C78" i="10"/>
  <c r="C75" i="10"/>
  <c r="E73" i="10"/>
  <c r="E75" i="10"/>
  <c r="D73" i="10"/>
  <c r="D75" i="10"/>
  <c r="C73" i="10"/>
  <c r="E71" i="10"/>
  <c r="D71" i="10"/>
  <c r="C71" i="10"/>
  <c r="E66" i="10"/>
  <c r="E65" i="10"/>
  <c r="D66" i="10"/>
  <c r="C66" i="10"/>
  <c r="D65" i="10"/>
  <c r="C65" i="10"/>
  <c r="E60" i="10"/>
  <c r="D60" i="10"/>
  <c r="C60" i="10"/>
  <c r="C59" i="10"/>
  <c r="C61" i="10"/>
  <c r="C57" i="10"/>
  <c r="E58" i="10"/>
  <c r="D58" i="10"/>
  <c r="C58" i="10"/>
  <c r="E55" i="10"/>
  <c r="E50" i="10"/>
  <c r="D55" i="10"/>
  <c r="C55" i="10"/>
  <c r="C50" i="10"/>
  <c r="E54" i="10"/>
  <c r="D54" i="10"/>
  <c r="C54" i="10"/>
  <c r="D50" i="10"/>
  <c r="C48" i="10"/>
  <c r="C42" i="10"/>
  <c r="E46" i="10"/>
  <c r="E59" i="10"/>
  <c r="E61" i="10"/>
  <c r="E57" i="10"/>
  <c r="D46" i="10"/>
  <c r="D59" i="10"/>
  <c r="D61" i="10"/>
  <c r="D57" i="10"/>
  <c r="C46" i="10"/>
  <c r="E45" i="10"/>
  <c r="D45" i="10"/>
  <c r="C45" i="10"/>
  <c r="E38" i="10"/>
  <c r="D38" i="10"/>
  <c r="C38" i="10"/>
  <c r="E34" i="10"/>
  <c r="E33" i="10"/>
  <c r="D33" i="10"/>
  <c r="D34" i="10"/>
  <c r="E26" i="10"/>
  <c r="D26" i="10"/>
  <c r="C26" i="10"/>
  <c r="C25" i="10"/>
  <c r="C27" i="10"/>
  <c r="E13" i="10"/>
  <c r="E15" i="10"/>
  <c r="E24" i="10"/>
  <c r="D13" i="10"/>
  <c r="D15" i="10"/>
  <c r="C13" i="10"/>
  <c r="C15" i="10"/>
  <c r="D46" i="9"/>
  <c r="E46" i="9"/>
  <c r="C46" i="9"/>
  <c r="F46" i="9"/>
  <c r="E45" i="9"/>
  <c r="F45" i="9"/>
  <c r="E44" i="9"/>
  <c r="F44" i="9"/>
  <c r="D39" i="9"/>
  <c r="E39" i="9"/>
  <c r="C39" i="9"/>
  <c r="F38" i="9"/>
  <c r="E38" i="9"/>
  <c r="F37" i="9"/>
  <c r="E37" i="9"/>
  <c r="F36" i="9"/>
  <c r="E36" i="9"/>
  <c r="D31" i="9"/>
  <c r="E31" i="9"/>
  <c r="F31" i="9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D19" i="9"/>
  <c r="C16" i="9"/>
  <c r="C19" i="9"/>
  <c r="F15" i="9"/>
  <c r="E15" i="9"/>
  <c r="F14" i="9"/>
  <c r="E14" i="9"/>
  <c r="F13" i="9"/>
  <c r="E13" i="9"/>
  <c r="F12" i="9"/>
  <c r="E12" i="9"/>
  <c r="D73" i="8"/>
  <c r="E73" i="8"/>
  <c r="C73" i="8"/>
  <c r="F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D65" i="8"/>
  <c r="E65" i="8"/>
  <c r="C61" i="8"/>
  <c r="C65" i="8"/>
  <c r="F60" i="8"/>
  <c r="E60" i="8"/>
  <c r="E59" i="8"/>
  <c r="F59" i="8"/>
  <c r="D56" i="8"/>
  <c r="C56" i="8"/>
  <c r="E55" i="8"/>
  <c r="F55" i="8"/>
  <c r="F54" i="8"/>
  <c r="E54" i="8"/>
  <c r="E53" i="8"/>
  <c r="F53" i="8"/>
  <c r="F52" i="8"/>
  <c r="E52" i="8"/>
  <c r="E51" i="8"/>
  <c r="F51" i="8"/>
  <c r="F50" i="8"/>
  <c r="E50" i="8"/>
  <c r="A50" i="8"/>
  <c r="A51" i="8"/>
  <c r="A52" i="8"/>
  <c r="A53" i="8"/>
  <c r="A54" i="8"/>
  <c r="A55" i="8"/>
  <c r="E49" i="8"/>
  <c r="F49" i="8"/>
  <c r="E40" i="8"/>
  <c r="F40" i="8"/>
  <c r="D38" i="8"/>
  <c r="D41" i="8"/>
  <c r="C38" i="8"/>
  <c r="E38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F28" i="8"/>
  <c r="E28" i="8"/>
  <c r="F27" i="8"/>
  <c r="E27" i="8"/>
  <c r="F26" i="8"/>
  <c r="E26" i="8"/>
  <c r="F25" i="8"/>
  <c r="E25" i="8"/>
  <c r="D22" i="8"/>
  <c r="D43" i="8"/>
  <c r="C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/>
  <c r="F120" i="7"/>
  <c r="C120" i="7"/>
  <c r="D119" i="7"/>
  <c r="E119" i="7"/>
  <c r="F119" i="7"/>
  <c r="C119" i="7"/>
  <c r="D118" i="7"/>
  <c r="E118" i="7"/>
  <c r="F118" i="7"/>
  <c r="C118" i="7"/>
  <c r="D117" i="7"/>
  <c r="E117" i="7"/>
  <c r="F117" i="7"/>
  <c r="C117" i="7"/>
  <c r="D116" i="7"/>
  <c r="E116" i="7"/>
  <c r="F116" i="7"/>
  <c r="C116" i="7"/>
  <c r="D115" i="7"/>
  <c r="E115" i="7"/>
  <c r="F115" i="7"/>
  <c r="C115" i="7"/>
  <c r="D114" i="7"/>
  <c r="E114" i="7"/>
  <c r="F114" i="7"/>
  <c r="C114" i="7"/>
  <c r="D113" i="7"/>
  <c r="E113" i="7"/>
  <c r="F113" i="7"/>
  <c r="C113" i="7"/>
  <c r="C122" i="7"/>
  <c r="E112" i="7"/>
  <c r="D112" i="7"/>
  <c r="D121" i="7"/>
  <c r="C112" i="7"/>
  <c r="F112" i="7"/>
  <c r="C121" i="7"/>
  <c r="D108" i="7"/>
  <c r="C108" i="7"/>
  <c r="E108" i="7"/>
  <c r="D107" i="7"/>
  <c r="C107" i="7"/>
  <c r="E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F96" i="7"/>
  <c r="D95" i="7"/>
  <c r="E95" i="7"/>
  <c r="C95" i="7"/>
  <c r="F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E84" i="7"/>
  <c r="D83" i="7"/>
  <c r="C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D59" i="7"/>
  <c r="C59" i="7"/>
  <c r="E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/>
  <c r="D35" i="7"/>
  <c r="C35" i="7"/>
  <c r="E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F24" i="7"/>
  <c r="D23" i="7"/>
  <c r="E23" i="7"/>
  <c r="C23" i="7"/>
  <c r="F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C206" i="6"/>
  <c r="E206" i="6"/>
  <c r="D205" i="6"/>
  <c r="C205" i="6"/>
  <c r="E205" i="6"/>
  <c r="D204" i="6"/>
  <c r="C204" i="6"/>
  <c r="E204" i="6"/>
  <c r="D203" i="6"/>
  <c r="C203" i="6"/>
  <c r="E203" i="6"/>
  <c r="D202" i="6"/>
  <c r="C202" i="6"/>
  <c r="E202" i="6"/>
  <c r="D201" i="6"/>
  <c r="C201" i="6"/>
  <c r="E201" i="6"/>
  <c r="D200" i="6"/>
  <c r="C200" i="6"/>
  <c r="E200" i="6"/>
  <c r="D199" i="6"/>
  <c r="D208" i="6"/>
  <c r="C199" i="6"/>
  <c r="E199" i="6"/>
  <c r="D198" i="6"/>
  <c r="D207" i="6"/>
  <c r="C198" i="6"/>
  <c r="E198" i="6"/>
  <c r="D193" i="6"/>
  <c r="C193" i="6"/>
  <c r="E193" i="6"/>
  <c r="D192" i="6"/>
  <c r="C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E167" i="6"/>
  <c r="D166" i="6"/>
  <c r="C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/>
  <c r="D140" i="6"/>
  <c r="C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C128" i="6"/>
  <c r="D127" i="6"/>
  <c r="E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F118" i="6"/>
  <c r="E118" i="6"/>
  <c r="F115" i="6"/>
  <c r="D115" i="6"/>
  <c r="E115" i="6"/>
  <c r="C115" i="6"/>
  <c r="F114" i="6"/>
  <c r="D114" i="6"/>
  <c r="E114" i="6"/>
  <c r="C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F89" i="6"/>
  <c r="C89" i="6"/>
  <c r="D88" i="6"/>
  <c r="E88" i="6"/>
  <c r="F88" i="6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/>
  <c r="C76" i="6"/>
  <c r="D75" i="6"/>
  <c r="E75" i="6"/>
  <c r="C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/>
  <c r="F63" i="6"/>
  <c r="C63" i="6"/>
  <c r="D62" i="6"/>
  <c r="E62" i="6"/>
  <c r="F62" i="6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/>
  <c r="C50" i="6"/>
  <c r="F50" i="6"/>
  <c r="D49" i="6"/>
  <c r="E49" i="6"/>
  <c r="C49" i="6"/>
  <c r="F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7" i="6"/>
  <c r="D37" i="6"/>
  <c r="E37" i="6"/>
  <c r="C37" i="6"/>
  <c r="F36" i="6"/>
  <c r="D36" i="6"/>
  <c r="E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C24" i="6"/>
  <c r="D23" i="6"/>
  <c r="E23" i="6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/>
  <c r="D164" i="5"/>
  <c r="D160" i="5"/>
  <c r="C164" i="5"/>
  <c r="E162" i="5"/>
  <c r="D162" i="5"/>
  <c r="C162" i="5"/>
  <c r="E161" i="5"/>
  <c r="D161" i="5"/>
  <c r="C161" i="5"/>
  <c r="C160" i="5"/>
  <c r="C166" i="5"/>
  <c r="C155" i="5"/>
  <c r="E147" i="5"/>
  <c r="E143" i="5"/>
  <c r="D147" i="5"/>
  <c r="D143" i="5"/>
  <c r="C147" i="5"/>
  <c r="C143" i="5"/>
  <c r="C149" i="5"/>
  <c r="E145" i="5"/>
  <c r="D145" i="5"/>
  <c r="C145" i="5"/>
  <c r="E144" i="5"/>
  <c r="D144" i="5"/>
  <c r="C144" i="5"/>
  <c r="E126" i="5"/>
  <c r="D126" i="5"/>
  <c r="C126" i="5"/>
  <c r="E119" i="5"/>
  <c r="D119" i="5"/>
  <c r="C119" i="5"/>
  <c r="C109" i="5"/>
  <c r="C106" i="5"/>
  <c r="E108" i="5"/>
  <c r="D108" i="5"/>
  <c r="C108" i="5"/>
  <c r="E107" i="5"/>
  <c r="E109" i="5"/>
  <c r="E106" i="5"/>
  <c r="D107" i="5"/>
  <c r="D109" i="5"/>
  <c r="C107" i="5"/>
  <c r="D106" i="5"/>
  <c r="C104" i="5"/>
  <c r="E102" i="5"/>
  <c r="E104" i="5"/>
  <c r="D102" i="5"/>
  <c r="D104" i="5"/>
  <c r="C102" i="5"/>
  <c r="E100" i="5"/>
  <c r="D100" i="5"/>
  <c r="C100" i="5"/>
  <c r="E95" i="5"/>
  <c r="E94" i="5"/>
  <c r="D95" i="5"/>
  <c r="C95" i="5"/>
  <c r="D94" i="5"/>
  <c r="C94" i="5"/>
  <c r="E89" i="5"/>
  <c r="D89" i="5"/>
  <c r="C89" i="5"/>
  <c r="E87" i="5"/>
  <c r="D87" i="5"/>
  <c r="C87" i="5"/>
  <c r="E84" i="5"/>
  <c r="D84" i="5"/>
  <c r="C84" i="5"/>
  <c r="C79" i="5"/>
  <c r="E83" i="5"/>
  <c r="D83" i="5"/>
  <c r="D79" i="5"/>
  <c r="C83" i="5"/>
  <c r="C77" i="5"/>
  <c r="E75" i="5"/>
  <c r="E77" i="5"/>
  <c r="D75" i="5"/>
  <c r="D88" i="5"/>
  <c r="D90" i="5"/>
  <c r="D77" i="5"/>
  <c r="D71" i="5"/>
  <c r="C75" i="5"/>
  <c r="C88" i="5"/>
  <c r="C90" i="5"/>
  <c r="C86" i="5"/>
  <c r="E74" i="5"/>
  <c r="D74" i="5"/>
  <c r="C74" i="5"/>
  <c r="C71" i="5"/>
  <c r="E67" i="5"/>
  <c r="D67" i="5"/>
  <c r="C67" i="5"/>
  <c r="E38" i="5"/>
  <c r="E43" i="5"/>
  <c r="D38" i="5"/>
  <c r="D53" i="5"/>
  <c r="C38" i="5"/>
  <c r="C49" i="5"/>
  <c r="D34" i="5"/>
  <c r="E33" i="5"/>
  <c r="E34" i="5"/>
  <c r="D33" i="5"/>
  <c r="E26" i="5"/>
  <c r="D26" i="5"/>
  <c r="C26" i="5"/>
  <c r="E13" i="5"/>
  <c r="E15" i="5"/>
  <c r="D13" i="5"/>
  <c r="D15" i="5"/>
  <c r="C13" i="5"/>
  <c r="C15" i="5"/>
  <c r="E174" i="4"/>
  <c r="F174" i="4"/>
  <c r="D171" i="4"/>
  <c r="C171" i="4"/>
  <c r="E170" i="4"/>
  <c r="F170" i="4"/>
  <c r="E169" i="4"/>
  <c r="F169" i="4"/>
  <c r="E168" i="4"/>
  <c r="F168" i="4"/>
  <c r="E167" i="4"/>
  <c r="F167" i="4"/>
  <c r="F166" i="4"/>
  <c r="E166" i="4"/>
  <c r="E165" i="4"/>
  <c r="F165" i="4"/>
  <c r="E164" i="4"/>
  <c r="F164" i="4"/>
  <c r="E163" i="4"/>
  <c r="F163" i="4"/>
  <c r="E162" i="4"/>
  <c r="F162" i="4"/>
  <c r="E161" i="4"/>
  <c r="F161" i="4"/>
  <c r="F160" i="4"/>
  <c r="E160" i="4"/>
  <c r="E159" i="4"/>
  <c r="F159" i="4"/>
  <c r="E158" i="4"/>
  <c r="F158" i="4"/>
  <c r="D155" i="4"/>
  <c r="E155" i="4"/>
  <c r="C155" i="4"/>
  <c r="E154" i="4"/>
  <c r="F154" i="4"/>
  <c r="E153" i="4"/>
  <c r="F153" i="4"/>
  <c r="E152" i="4"/>
  <c r="F152" i="4"/>
  <c r="E151" i="4"/>
  <c r="F151" i="4"/>
  <c r="E150" i="4"/>
  <c r="F150" i="4"/>
  <c r="F149" i="4"/>
  <c r="E149" i="4"/>
  <c r="E148" i="4"/>
  <c r="F148" i="4"/>
  <c r="F147" i="4"/>
  <c r="E147" i="4"/>
  <c r="E146" i="4"/>
  <c r="F146" i="4"/>
  <c r="E145" i="4"/>
  <c r="F145" i="4"/>
  <c r="E144" i="4"/>
  <c r="F144" i="4"/>
  <c r="E143" i="4"/>
  <c r="F143" i="4"/>
  <c r="F142" i="4"/>
  <c r="E142" i="4"/>
  <c r="F141" i="4"/>
  <c r="E141" i="4"/>
  <c r="E140" i="4"/>
  <c r="F140" i="4"/>
  <c r="E139" i="4"/>
  <c r="F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E132" i="4"/>
  <c r="F132" i="4"/>
  <c r="E131" i="4"/>
  <c r="F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E118" i="4"/>
  <c r="C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D109" i="4"/>
  <c r="E109" i="4"/>
  <c r="C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102" i="4"/>
  <c r="F102" i="4"/>
  <c r="E101" i="4"/>
  <c r="F101" i="4"/>
  <c r="E100" i="4"/>
  <c r="F100" i="4"/>
  <c r="E99" i="4"/>
  <c r="F99" i="4"/>
  <c r="E98" i="4"/>
  <c r="F98" i="4"/>
  <c r="E97" i="4"/>
  <c r="F97" i="4"/>
  <c r="F96" i="4"/>
  <c r="E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C78" i="4"/>
  <c r="E77" i="4"/>
  <c r="F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E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/>
  <c r="F41" i="4"/>
  <c r="C41" i="4"/>
  <c r="F40" i="4"/>
  <c r="E40" i="4"/>
  <c r="F39" i="4"/>
  <c r="E39" i="4"/>
  <c r="F38" i="4"/>
  <c r="E38" i="4"/>
  <c r="D35" i="4"/>
  <c r="C35" i="4"/>
  <c r="F34" i="4"/>
  <c r="E34" i="4"/>
  <c r="E33" i="4"/>
  <c r="F33" i="4"/>
  <c r="D30" i="4"/>
  <c r="E30" i="4"/>
  <c r="C30" i="4"/>
  <c r="E29" i="4"/>
  <c r="F29" i="4"/>
  <c r="E28" i="4"/>
  <c r="F28" i="4"/>
  <c r="E27" i="4"/>
  <c r="F27" i="4"/>
  <c r="D24" i="4"/>
  <c r="C24" i="4"/>
  <c r="E23" i="4"/>
  <c r="F23" i="4"/>
  <c r="E22" i="4"/>
  <c r="F22" i="4"/>
  <c r="E21" i="4"/>
  <c r="F21" i="4"/>
  <c r="D18" i="4"/>
  <c r="C18" i="4"/>
  <c r="E17" i="4"/>
  <c r="F17" i="4"/>
  <c r="E16" i="4"/>
  <c r="F16" i="4"/>
  <c r="E15" i="4"/>
  <c r="F15" i="4"/>
  <c r="D179" i="3"/>
  <c r="E179" i="3"/>
  <c r="C179" i="3"/>
  <c r="F179" i="3"/>
  <c r="E178" i="3"/>
  <c r="F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C137" i="3"/>
  <c r="F136" i="3"/>
  <c r="E136" i="3"/>
  <c r="E135" i="3"/>
  <c r="F135" i="3"/>
  <c r="F134" i="3"/>
  <c r="E134" i="3"/>
  <c r="E133" i="3"/>
  <c r="F133" i="3"/>
  <c r="F132" i="3"/>
  <c r="E132" i="3"/>
  <c r="E131" i="3"/>
  <c r="F131" i="3"/>
  <c r="F130" i="3"/>
  <c r="E130" i="3"/>
  <c r="E129" i="3"/>
  <c r="F129" i="3"/>
  <c r="F128" i="3"/>
  <c r="E128" i="3"/>
  <c r="E127" i="3"/>
  <c r="F127" i="3"/>
  <c r="F126" i="3"/>
  <c r="E126" i="3"/>
  <c r="D124" i="3"/>
  <c r="E124" i="3"/>
  <c r="C124" i="3"/>
  <c r="E123" i="3"/>
  <c r="F123" i="3"/>
  <c r="F122" i="3"/>
  <c r="E122" i="3"/>
  <c r="E121" i="3"/>
  <c r="F121" i="3"/>
  <c r="F120" i="3"/>
  <c r="E120" i="3"/>
  <c r="E119" i="3"/>
  <c r="F119" i="3"/>
  <c r="F118" i="3"/>
  <c r="E118" i="3"/>
  <c r="E117" i="3"/>
  <c r="F117" i="3"/>
  <c r="F116" i="3"/>
  <c r="E116" i="3"/>
  <c r="E115" i="3"/>
  <c r="F115" i="3"/>
  <c r="F114" i="3"/>
  <c r="E114" i="3"/>
  <c r="E113" i="3"/>
  <c r="F113" i="3"/>
  <c r="D111" i="3"/>
  <c r="E111" i="3"/>
  <c r="C111" i="3"/>
  <c r="E110" i="3"/>
  <c r="F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/>
  <c r="C94" i="3"/>
  <c r="F94" i="3"/>
  <c r="D93" i="3"/>
  <c r="E93" i="3"/>
  <c r="C93" i="3"/>
  <c r="F93" i="3"/>
  <c r="D92" i="3"/>
  <c r="E92" i="3"/>
  <c r="C92" i="3"/>
  <c r="F92" i="3"/>
  <c r="D91" i="3"/>
  <c r="C91" i="3"/>
  <c r="D90" i="3"/>
  <c r="E90" i="3"/>
  <c r="C90" i="3"/>
  <c r="F90" i="3"/>
  <c r="D89" i="3"/>
  <c r="C89" i="3"/>
  <c r="D88" i="3"/>
  <c r="E88" i="3"/>
  <c r="C88" i="3"/>
  <c r="F88" i="3"/>
  <c r="D87" i="3"/>
  <c r="C87" i="3"/>
  <c r="D86" i="3"/>
  <c r="E86" i="3"/>
  <c r="C86" i="3"/>
  <c r="F86" i="3"/>
  <c r="D85" i="3"/>
  <c r="C85" i="3"/>
  <c r="D84" i="3"/>
  <c r="E84" i="3"/>
  <c r="F84" i="3"/>
  <c r="D95" i="3"/>
  <c r="C84" i="3"/>
  <c r="C95" i="3"/>
  <c r="D81" i="3"/>
  <c r="E81" i="3"/>
  <c r="C81" i="3"/>
  <c r="F81" i="3"/>
  <c r="E80" i="3"/>
  <c r="F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E51" i="3"/>
  <c r="D51" i="3"/>
  <c r="C51" i="3"/>
  <c r="F51" i="3"/>
  <c r="D50" i="3"/>
  <c r="E50" i="3"/>
  <c r="C50" i="3"/>
  <c r="E49" i="3"/>
  <c r="D49" i="3"/>
  <c r="C49" i="3"/>
  <c r="F49" i="3"/>
  <c r="D48" i="3"/>
  <c r="E48" i="3"/>
  <c r="C48" i="3"/>
  <c r="E47" i="3"/>
  <c r="D47" i="3"/>
  <c r="C47" i="3"/>
  <c r="F47" i="3"/>
  <c r="D46" i="3"/>
  <c r="E46" i="3"/>
  <c r="C46" i="3"/>
  <c r="E45" i="3"/>
  <c r="D45" i="3"/>
  <c r="C45" i="3"/>
  <c r="F45" i="3"/>
  <c r="D44" i="3"/>
  <c r="E44" i="3"/>
  <c r="C44" i="3"/>
  <c r="E43" i="3"/>
  <c r="D43" i="3"/>
  <c r="C43" i="3"/>
  <c r="F43" i="3"/>
  <c r="D42" i="3"/>
  <c r="E42" i="3"/>
  <c r="C42" i="3"/>
  <c r="E41" i="3"/>
  <c r="D41" i="3"/>
  <c r="C41" i="3"/>
  <c r="E38" i="3"/>
  <c r="D38" i="3"/>
  <c r="C38" i="3"/>
  <c r="F38" i="3"/>
  <c r="E37" i="3"/>
  <c r="F37" i="3"/>
  <c r="F36" i="3"/>
  <c r="E36" i="3"/>
  <c r="E35" i="3"/>
  <c r="F35" i="3"/>
  <c r="F34" i="3"/>
  <c r="E34" i="3"/>
  <c r="E33" i="3"/>
  <c r="F33" i="3"/>
  <c r="F32" i="3"/>
  <c r="E32" i="3"/>
  <c r="E31" i="3"/>
  <c r="F31" i="3"/>
  <c r="F30" i="3"/>
  <c r="E30" i="3"/>
  <c r="E29" i="3"/>
  <c r="F29" i="3"/>
  <c r="F28" i="3"/>
  <c r="E28" i="3"/>
  <c r="E27" i="3"/>
  <c r="F27" i="3"/>
  <c r="D25" i="3"/>
  <c r="E25" i="3"/>
  <c r="F25" i="3"/>
  <c r="C25" i="3"/>
  <c r="E24" i="3"/>
  <c r="F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C46" i="2"/>
  <c r="F45" i="2"/>
  <c r="E45" i="2"/>
  <c r="F44" i="2"/>
  <c r="E44" i="2"/>
  <c r="D39" i="2"/>
  <c r="E39" i="2"/>
  <c r="F39" i="2"/>
  <c r="C39" i="2"/>
  <c r="E38" i="2"/>
  <c r="F38" i="2"/>
  <c r="E37" i="2"/>
  <c r="F37" i="2"/>
  <c r="E36" i="2"/>
  <c r="F36" i="2"/>
  <c r="D31" i="2"/>
  <c r="E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F18" i="2"/>
  <c r="E18" i="2"/>
  <c r="F17" i="2"/>
  <c r="E17" i="2"/>
  <c r="D16" i="2"/>
  <c r="D19" i="2"/>
  <c r="C16" i="2"/>
  <c r="F15" i="2"/>
  <c r="E15" i="2"/>
  <c r="E14" i="2"/>
  <c r="F14" i="2"/>
  <c r="F13" i="2"/>
  <c r="E13" i="2"/>
  <c r="E12" i="2"/>
  <c r="F12" i="2"/>
  <c r="D73" i="1"/>
  <c r="C73" i="1"/>
  <c r="F72" i="1"/>
  <c r="E72" i="1"/>
  <c r="E71" i="1"/>
  <c r="F71" i="1"/>
  <c r="F70" i="1"/>
  <c r="E70" i="1"/>
  <c r="F67" i="1"/>
  <c r="E67" i="1"/>
  <c r="D65" i="1"/>
  <c r="E64" i="1"/>
  <c r="F64" i="1"/>
  <c r="E63" i="1"/>
  <c r="F63" i="1"/>
  <c r="D61" i="1"/>
  <c r="C61" i="1"/>
  <c r="F60" i="1"/>
  <c r="E60" i="1"/>
  <c r="E59" i="1"/>
  <c r="F59" i="1"/>
  <c r="D56" i="1"/>
  <c r="E56" i="1"/>
  <c r="C56" i="1"/>
  <c r="F55" i="1"/>
  <c r="E55" i="1"/>
  <c r="F54" i="1"/>
  <c r="E54" i="1"/>
  <c r="F53" i="1"/>
  <c r="E53" i="1"/>
  <c r="F52" i="1"/>
  <c r="E52" i="1"/>
  <c r="F51" i="1"/>
  <c r="E51" i="1"/>
  <c r="A51" i="1"/>
  <c r="A52" i="1"/>
  <c r="A53" i="1"/>
  <c r="A54" i="1"/>
  <c r="A55" i="1"/>
  <c r="E50" i="1"/>
  <c r="F50" i="1"/>
  <c r="A50" i="1"/>
  <c r="E49" i="1"/>
  <c r="F49" i="1"/>
  <c r="F40" i="1"/>
  <c r="E40" i="1"/>
  <c r="D38" i="1"/>
  <c r="D41" i="1"/>
  <c r="C38" i="1"/>
  <c r="C41" i="1"/>
  <c r="E37" i="1"/>
  <c r="F37" i="1"/>
  <c r="F36" i="1"/>
  <c r="E36" i="1"/>
  <c r="E33" i="1"/>
  <c r="F33" i="1"/>
  <c r="F32" i="1"/>
  <c r="E32" i="1"/>
  <c r="E31" i="1"/>
  <c r="F31" i="1"/>
  <c r="D29" i="1"/>
  <c r="E29" i="1"/>
  <c r="F29" i="1"/>
  <c r="C29" i="1"/>
  <c r="F28" i="1"/>
  <c r="E28" i="1"/>
  <c r="E27" i="1"/>
  <c r="F27" i="1"/>
  <c r="E26" i="1"/>
  <c r="F26" i="1"/>
  <c r="E25" i="1"/>
  <c r="F25" i="1"/>
  <c r="D22" i="1"/>
  <c r="C22" i="1"/>
  <c r="E21" i="1"/>
  <c r="F21" i="1"/>
  <c r="E20" i="1"/>
  <c r="F20" i="1"/>
  <c r="E19" i="1"/>
  <c r="F19" i="1"/>
  <c r="F18" i="1"/>
  <c r="E18" i="1"/>
  <c r="F17" i="1"/>
  <c r="E17" i="1"/>
  <c r="F16" i="1"/>
  <c r="E16" i="1"/>
  <c r="E15" i="1"/>
  <c r="F15" i="1"/>
  <c r="E14" i="1"/>
  <c r="F14" i="1"/>
  <c r="E13" i="1"/>
  <c r="F13" i="1"/>
  <c r="D193" i="14"/>
  <c r="D282" i="14"/>
  <c r="D277" i="14"/>
  <c r="D214" i="14"/>
  <c r="D68" i="14"/>
  <c r="E68" i="14"/>
  <c r="F68" i="14"/>
  <c r="D181" i="14"/>
  <c r="E181" i="14"/>
  <c r="F181" i="14"/>
  <c r="D24" i="10"/>
  <c r="D17" i="10"/>
  <c r="D28" i="10"/>
  <c r="E48" i="14"/>
  <c r="F48" i="14"/>
  <c r="C160" i="14"/>
  <c r="D75" i="1"/>
  <c r="F46" i="2"/>
  <c r="F68" i="3"/>
  <c r="F111" i="3"/>
  <c r="F166" i="3"/>
  <c r="F30" i="4"/>
  <c r="F59" i="4"/>
  <c r="E57" i="5"/>
  <c r="E62" i="5"/>
  <c r="E71" i="5"/>
  <c r="E88" i="5"/>
  <c r="E90" i="5"/>
  <c r="E86" i="5"/>
  <c r="D149" i="5"/>
  <c r="D166" i="5"/>
  <c r="E121" i="7"/>
  <c r="D75" i="8"/>
  <c r="F16" i="12"/>
  <c r="F30" i="12"/>
  <c r="F45" i="12"/>
  <c r="F55" i="12"/>
  <c r="F65" i="12"/>
  <c r="F75" i="12"/>
  <c r="E78" i="4"/>
  <c r="D83" i="4"/>
  <c r="E171" i="4"/>
  <c r="D176" i="4"/>
  <c r="C24" i="10"/>
  <c r="C20" i="10"/>
  <c r="C17" i="10"/>
  <c r="C28" i="10"/>
  <c r="C70" i="10"/>
  <c r="C72" i="10"/>
  <c r="C69" i="10"/>
  <c r="C21" i="10"/>
  <c r="C22" i="10"/>
  <c r="E159" i="14"/>
  <c r="F159" i="14"/>
  <c r="C168" i="15"/>
  <c r="C145" i="15"/>
  <c r="C180" i="15"/>
  <c r="F56" i="1"/>
  <c r="C65" i="1"/>
  <c r="C75" i="1"/>
  <c r="C19" i="2"/>
  <c r="E22" i="1"/>
  <c r="F22" i="1"/>
  <c r="E61" i="1"/>
  <c r="F61" i="1"/>
  <c r="E73" i="1"/>
  <c r="E16" i="2"/>
  <c r="F16" i="2"/>
  <c r="E137" i="3"/>
  <c r="F137" i="3"/>
  <c r="E18" i="4"/>
  <c r="F18" i="4"/>
  <c r="E35" i="4"/>
  <c r="F35" i="4"/>
  <c r="D57" i="5"/>
  <c r="D62" i="5"/>
  <c r="D86" i="5"/>
  <c r="F23" i="6"/>
  <c r="F75" i="6"/>
  <c r="F127" i="6"/>
  <c r="F121" i="7"/>
  <c r="F29" i="8"/>
  <c r="C75" i="8"/>
  <c r="F39" i="9"/>
  <c r="C83" i="4"/>
  <c r="F78" i="4"/>
  <c r="C176" i="4"/>
  <c r="F171" i="4"/>
  <c r="E24" i="5"/>
  <c r="E17" i="5"/>
  <c r="E53" i="5"/>
  <c r="E49" i="5"/>
  <c r="C137" i="5"/>
  <c r="C139" i="5"/>
  <c r="C140" i="5"/>
  <c r="C136" i="5"/>
  <c r="C154" i="5"/>
  <c r="C156" i="5"/>
  <c r="C157" i="5"/>
  <c r="C153" i="5"/>
  <c r="C152" i="5"/>
  <c r="C158" i="5"/>
  <c r="E19" i="9"/>
  <c r="D33" i="9"/>
  <c r="E102" i="14"/>
  <c r="F102" i="14"/>
  <c r="C103" i="14"/>
  <c r="F73" i="1"/>
  <c r="E25" i="5"/>
  <c r="E27" i="5"/>
  <c r="F60" i="12"/>
  <c r="D49" i="5"/>
  <c r="D43" i="5"/>
  <c r="C33" i="9"/>
  <c r="F19" i="9"/>
  <c r="E278" i="14"/>
  <c r="F278" i="14"/>
  <c r="E79" i="5"/>
  <c r="E149" i="5"/>
  <c r="E166" i="5"/>
  <c r="F24" i="6"/>
  <c r="F76" i="6"/>
  <c r="F128" i="6"/>
  <c r="F65" i="8"/>
  <c r="E21" i="15"/>
  <c r="D283" i="15"/>
  <c r="D260" i="15"/>
  <c r="E195" i="15"/>
  <c r="E109" i="19"/>
  <c r="E108" i="19"/>
  <c r="D175" i="14"/>
  <c r="D62" i="14"/>
  <c r="D105" i="14"/>
  <c r="D90" i="14"/>
  <c r="D160" i="14"/>
  <c r="E160" i="14"/>
  <c r="D194" i="14"/>
  <c r="D207" i="14"/>
  <c r="D138" i="14"/>
  <c r="D140" i="14"/>
  <c r="C57" i="5"/>
  <c r="C62" i="5"/>
  <c r="E48" i="10"/>
  <c r="E42" i="10"/>
  <c r="F17" i="11"/>
  <c r="D33" i="11"/>
  <c r="F29" i="14"/>
  <c r="C31" i="14"/>
  <c r="F35" i="14"/>
  <c r="C37" i="14"/>
  <c r="F58" i="14"/>
  <c r="C60" i="14"/>
  <c r="F111" i="14"/>
  <c r="F135" i="14"/>
  <c r="C137" i="14"/>
  <c r="E173" i="14"/>
  <c r="F173" i="14"/>
  <c r="C190" i="14"/>
  <c r="F191" i="14"/>
  <c r="C199" i="14"/>
  <c r="F229" i="14"/>
  <c r="F230" i="14"/>
  <c r="C254" i="14"/>
  <c r="C264" i="14"/>
  <c r="F296" i="14"/>
  <c r="F297" i="14"/>
  <c r="F307" i="14"/>
  <c r="C43" i="15"/>
  <c r="D77" i="15"/>
  <c r="C71" i="15"/>
  <c r="C283" i="15"/>
  <c r="C22" i="15"/>
  <c r="D320" i="15"/>
  <c r="E320" i="15"/>
  <c r="E316" i="15"/>
  <c r="D330" i="15"/>
  <c r="E330" i="15"/>
  <c r="E326" i="15"/>
  <c r="C108" i="19"/>
  <c r="C109" i="19"/>
  <c r="D254" i="14"/>
  <c r="E22" i="8"/>
  <c r="F22" i="8"/>
  <c r="E56" i="8"/>
  <c r="F56" i="8"/>
  <c r="E61" i="8"/>
  <c r="F61" i="8"/>
  <c r="E16" i="9"/>
  <c r="F16" i="9"/>
  <c r="D25" i="10"/>
  <c r="D27" i="10"/>
  <c r="C33" i="11"/>
  <c r="C36" i="11"/>
  <c r="C38" i="11"/>
  <c r="C40" i="11"/>
  <c r="F17" i="14"/>
  <c r="C21" i="14"/>
  <c r="F30" i="14"/>
  <c r="F36" i="14"/>
  <c r="E47" i="14"/>
  <c r="F47" i="14"/>
  <c r="F59" i="14"/>
  <c r="F85" i="14"/>
  <c r="F94" i="14"/>
  <c r="E101" i="14"/>
  <c r="F101" i="14"/>
  <c r="C192" i="14"/>
  <c r="F136" i="14"/>
  <c r="E145" i="14"/>
  <c r="F145" i="14"/>
  <c r="E158" i="14"/>
  <c r="F158" i="14"/>
  <c r="C206" i="14"/>
  <c r="C193" i="14"/>
  <c r="F204" i="14"/>
  <c r="C215" i="14"/>
  <c r="C227" i="14"/>
  <c r="C267" i="14"/>
  <c r="C269" i="14"/>
  <c r="C285" i="14"/>
  <c r="F295" i="14"/>
  <c r="E39" i="15"/>
  <c r="E75" i="15"/>
  <c r="E145" i="15"/>
  <c r="E151" i="15"/>
  <c r="D163" i="15"/>
  <c r="E163" i="15"/>
  <c r="E166" i="15"/>
  <c r="E302" i="15"/>
  <c r="F44" i="17"/>
  <c r="C262" i="14"/>
  <c r="C255" i="14"/>
  <c r="E189" i="14"/>
  <c r="F189" i="14"/>
  <c r="C280" i="14"/>
  <c r="C200" i="14"/>
  <c r="C274" i="14"/>
  <c r="F198" i="14"/>
  <c r="C294" i="15"/>
  <c r="E32" i="15"/>
  <c r="C76" i="15"/>
  <c r="C77" i="15"/>
  <c r="E70" i="15"/>
  <c r="C175" i="15"/>
  <c r="C163" i="15"/>
  <c r="E139" i="15"/>
  <c r="C261" i="15"/>
  <c r="E261" i="15"/>
  <c r="E188" i="15"/>
  <c r="D229" i="15"/>
  <c r="E229" i="15"/>
  <c r="D210" i="15"/>
  <c r="D175" i="15"/>
  <c r="E175" i="15"/>
  <c r="C46" i="19"/>
  <c r="C40" i="19"/>
  <c r="C36" i="19"/>
  <c r="C30" i="19"/>
  <c r="C111" i="19"/>
  <c r="C54" i="19"/>
  <c r="F170" i="14"/>
  <c r="E172" i="14"/>
  <c r="F172" i="14"/>
  <c r="C283" i="14"/>
  <c r="C290" i="14"/>
  <c r="C44" i="15"/>
  <c r="E177" i="15"/>
  <c r="C247" i="15"/>
  <c r="C246" i="15"/>
  <c r="F36" i="17"/>
  <c r="E277" i="14"/>
  <c r="F277" i="14"/>
  <c r="E33" i="15"/>
  <c r="C289" i="15"/>
  <c r="E60" i="15"/>
  <c r="E144" i="15"/>
  <c r="D168" i="15"/>
  <c r="E168" i="15"/>
  <c r="D139" i="14"/>
  <c r="D104" i="14"/>
  <c r="D174" i="14"/>
  <c r="E17" i="10"/>
  <c r="E28" i="10"/>
  <c r="E70" i="10"/>
  <c r="E72" i="10"/>
  <c r="E69" i="10"/>
  <c r="C205" i="14"/>
  <c r="C214" i="14"/>
  <c r="C304" i="14"/>
  <c r="F226" i="14"/>
  <c r="C279" i="14"/>
  <c r="E71" i="15"/>
  <c r="E156" i="15"/>
  <c r="C234" i="15"/>
  <c r="C211" i="15"/>
  <c r="C235" i="15"/>
  <c r="C65" i="16"/>
  <c r="C114" i="16"/>
  <c r="C116" i="16"/>
  <c r="C119" i="16"/>
  <c r="C123" i="16"/>
  <c r="D217" i="15"/>
  <c r="E218" i="15"/>
  <c r="E233" i="15"/>
  <c r="D239" i="15"/>
  <c r="C242" i="15"/>
  <c r="E242" i="15"/>
  <c r="D243" i="15"/>
  <c r="D252" i="15"/>
  <c r="E243" i="15"/>
  <c r="E251" i="15"/>
  <c r="C37" i="16"/>
  <c r="C38" i="16"/>
  <c r="C127" i="16"/>
  <c r="C129" i="16"/>
  <c r="C133" i="16"/>
  <c r="C20" i="17"/>
  <c r="C40" i="17"/>
  <c r="E40" i="17"/>
  <c r="C46" i="17"/>
  <c r="E22" i="19"/>
  <c r="C33" i="19"/>
  <c r="D34" i="19"/>
  <c r="D77" i="19"/>
  <c r="C101" i="19"/>
  <c r="C103" i="19"/>
  <c r="D267" i="14"/>
  <c r="D271" i="14"/>
  <c r="D285" i="14"/>
  <c r="E285" i="14"/>
  <c r="F285" i="14"/>
  <c r="D306" i="14"/>
  <c r="E306" i="14"/>
  <c r="E215" i="15"/>
  <c r="C217" i="15"/>
  <c r="C241" i="15"/>
  <c r="D222" i="15"/>
  <c r="D223" i="15"/>
  <c r="C239" i="15"/>
  <c r="E239" i="15"/>
  <c r="D240" i="15"/>
  <c r="D244" i="15"/>
  <c r="E244" i="15"/>
  <c r="D303" i="15"/>
  <c r="E314" i="15"/>
  <c r="C49" i="16"/>
  <c r="F33" i="17"/>
  <c r="D22" i="19"/>
  <c r="E23" i="19"/>
  <c r="C34" i="19"/>
  <c r="D124" i="14"/>
  <c r="D200" i="14"/>
  <c r="E200" i="14"/>
  <c r="D206" i="14"/>
  <c r="E206" i="14"/>
  <c r="D262" i="14"/>
  <c r="D266" i="14"/>
  <c r="D274" i="14"/>
  <c r="E274" i="14"/>
  <c r="D280" i="14"/>
  <c r="E324" i="15"/>
  <c r="E19" i="17"/>
  <c r="F19" i="17"/>
  <c r="E39" i="17"/>
  <c r="F39" i="17"/>
  <c r="E43" i="17"/>
  <c r="E46" i="17"/>
  <c r="C22" i="19"/>
  <c r="D23" i="19"/>
  <c r="E33" i="19"/>
  <c r="E101" i="19"/>
  <c r="E103" i="19"/>
  <c r="D199" i="14"/>
  <c r="E199" i="14"/>
  <c r="F199" i="14"/>
  <c r="D205" i="14"/>
  <c r="D215" i="14"/>
  <c r="D216" i="14"/>
  <c r="D279" i="14"/>
  <c r="E279" i="14"/>
  <c r="D283" i="14"/>
  <c r="D284" i="14"/>
  <c r="D21" i="14"/>
  <c r="D190" i="14"/>
  <c r="E190" i="14"/>
  <c r="F190" i="14"/>
  <c r="E223" i="15"/>
  <c r="D272" i="14"/>
  <c r="E262" i="14"/>
  <c r="F262" i="14"/>
  <c r="E240" i="15"/>
  <c r="E110" i="19"/>
  <c r="E53" i="19"/>
  <c r="E45" i="19"/>
  <c r="E39" i="19"/>
  <c r="E35" i="19"/>
  <c r="E29" i="19"/>
  <c r="C286" i="14"/>
  <c r="D234" i="15"/>
  <c r="E234" i="15"/>
  <c r="D211" i="15"/>
  <c r="E210" i="15"/>
  <c r="C272" i="14"/>
  <c r="C194" i="14"/>
  <c r="E192" i="14"/>
  <c r="F192" i="14"/>
  <c r="C196" i="14"/>
  <c r="C161" i="14"/>
  <c r="C49" i="14"/>
  <c r="E264" i="14"/>
  <c r="F264" i="14"/>
  <c r="C300" i="14"/>
  <c r="E31" i="14"/>
  <c r="F31" i="14"/>
  <c r="C32" i="14"/>
  <c r="D106" i="14"/>
  <c r="D176" i="14"/>
  <c r="E260" i="15"/>
  <c r="E156" i="5"/>
  <c r="E152" i="5"/>
  <c r="E155" i="5"/>
  <c r="E154" i="5"/>
  <c r="E157" i="5"/>
  <c r="E153" i="5"/>
  <c r="E28" i="5"/>
  <c r="E99" i="5"/>
  <c r="E101" i="5"/>
  <c r="E98" i="5"/>
  <c r="E112" i="5"/>
  <c r="E111" i="5"/>
  <c r="F43" i="17"/>
  <c r="F279" i="14"/>
  <c r="F200" i="14"/>
  <c r="C287" i="14"/>
  <c r="D268" i="14"/>
  <c r="D125" i="14"/>
  <c r="E176" i="4"/>
  <c r="C45" i="19"/>
  <c r="C39" i="19"/>
  <c r="C35" i="19"/>
  <c r="C29" i="19"/>
  <c r="C110" i="19"/>
  <c r="C53" i="19"/>
  <c r="E217" i="15"/>
  <c r="D241" i="15"/>
  <c r="E241" i="15"/>
  <c r="F290" i="14"/>
  <c r="E290" i="14"/>
  <c r="C270" i="14"/>
  <c r="D21" i="10"/>
  <c r="D20" i="10"/>
  <c r="C284" i="15"/>
  <c r="E284" i="15"/>
  <c r="E22" i="15"/>
  <c r="D125" i="15"/>
  <c r="D121" i="15"/>
  <c r="D114" i="15"/>
  <c r="D110" i="15"/>
  <c r="D124" i="15"/>
  <c r="D113" i="15"/>
  <c r="D109" i="15"/>
  <c r="D126" i="15"/>
  <c r="D115" i="15"/>
  <c r="D127" i="15"/>
  <c r="D122" i="15"/>
  <c r="D111" i="15"/>
  <c r="D123" i="15"/>
  <c r="D112" i="15"/>
  <c r="E60" i="14"/>
  <c r="F60" i="14"/>
  <c r="C61" i="14"/>
  <c r="D36" i="11"/>
  <c r="D38" i="11"/>
  <c r="D40" i="11"/>
  <c r="F33" i="11"/>
  <c r="F36" i="11"/>
  <c r="F38" i="11"/>
  <c r="F40" i="11"/>
  <c r="D141" i="14"/>
  <c r="C33" i="2"/>
  <c r="F274" i="14"/>
  <c r="E20" i="17"/>
  <c r="F20" i="17"/>
  <c r="E194" i="14"/>
  <c r="F176" i="4"/>
  <c r="E75" i="8"/>
  <c r="F75" i="8"/>
  <c r="D286" i="14"/>
  <c r="E286" i="14"/>
  <c r="F286" i="14"/>
  <c r="E283" i="14"/>
  <c r="F283" i="14"/>
  <c r="D126" i="14"/>
  <c r="D91" i="14"/>
  <c r="D49" i="14"/>
  <c r="D196" i="14"/>
  <c r="D161" i="14"/>
  <c r="E21" i="14"/>
  <c r="F21" i="14"/>
  <c r="C216" i="14"/>
  <c r="E216" i="14"/>
  <c r="E214" i="14"/>
  <c r="F214" i="14"/>
  <c r="C258" i="15"/>
  <c r="C101" i="15"/>
  <c r="C97" i="15"/>
  <c r="C86" i="15"/>
  <c r="C100" i="15"/>
  <c r="C96" i="15"/>
  <c r="C102" i="15"/>
  <c r="C89" i="15"/>
  <c r="C85" i="15"/>
  <c r="C98" i="15"/>
  <c r="C87" i="15"/>
  <c r="C99" i="15"/>
  <c r="C88" i="15"/>
  <c r="C83" i="15"/>
  <c r="C95" i="15"/>
  <c r="C103" i="15"/>
  <c r="C105" i="15"/>
  <c r="C84" i="15"/>
  <c r="E269" i="14"/>
  <c r="F269" i="14"/>
  <c r="E137" i="14"/>
  <c r="F137" i="14"/>
  <c r="C207" i="14"/>
  <c r="C138" i="14"/>
  <c r="E138" i="14"/>
  <c r="F138" i="14"/>
  <c r="E37" i="14"/>
  <c r="F37" i="14"/>
  <c r="D63" i="14"/>
  <c r="E103" i="14"/>
  <c r="F103" i="14"/>
  <c r="D138" i="5"/>
  <c r="D137" i="5"/>
  <c r="D140" i="5"/>
  <c r="D135" i="5"/>
  <c r="D139" i="5"/>
  <c r="D136" i="5"/>
  <c r="F40" i="17"/>
  <c r="D300" i="14"/>
  <c r="E300" i="14"/>
  <c r="F300" i="14"/>
  <c r="F206" i="14"/>
  <c r="D263" i="14"/>
  <c r="D288" i="14"/>
  <c r="C282" i="14"/>
  <c r="C266" i="14"/>
  <c r="E193" i="14"/>
  <c r="F193" i="14"/>
  <c r="D195" i="14"/>
  <c r="E83" i="4"/>
  <c r="G33" i="11"/>
  <c r="G36" i="11"/>
  <c r="G38" i="11"/>
  <c r="G40" i="11"/>
  <c r="F160" i="14"/>
  <c r="D270" i="14"/>
  <c r="E270" i="14"/>
  <c r="F270" i="14"/>
  <c r="E267" i="14"/>
  <c r="F267" i="14"/>
  <c r="D46" i="19"/>
  <c r="D40" i="19"/>
  <c r="D36" i="19"/>
  <c r="D30" i="19"/>
  <c r="D111" i="19"/>
  <c r="D54" i="19"/>
  <c r="D53" i="19"/>
  <c r="D45" i="19"/>
  <c r="D39" i="19"/>
  <c r="D35" i="19"/>
  <c r="D29" i="19"/>
  <c r="D110" i="19"/>
  <c r="D306" i="15"/>
  <c r="E303" i="15"/>
  <c r="E222" i="15"/>
  <c r="D255" i="14"/>
  <c r="E255" i="14"/>
  <c r="F255" i="14"/>
  <c r="E215" i="14"/>
  <c r="F215" i="14"/>
  <c r="E280" i="14"/>
  <c r="F280" i="14"/>
  <c r="E54" i="19"/>
  <c r="E46" i="19"/>
  <c r="E40" i="19"/>
  <c r="E36" i="19"/>
  <c r="E30" i="19"/>
  <c r="E111" i="19"/>
  <c r="D109" i="19"/>
  <c r="D108" i="19"/>
  <c r="C56" i="19"/>
  <c r="C48" i="19"/>
  <c r="C38" i="19"/>
  <c r="C113" i="19"/>
  <c r="C281" i="14"/>
  <c r="E227" i="14"/>
  <c r="F227" i="14"/>
  <c r="E254" i="14"/>
  <c r="F254" i="14"/>
  <c r="D208" i="14"/>
  <c r="E207" i="14"/>
  <c r="E139" i="5"/>
  <c r="E135" i="5"/>
  <c r="E138" i="5"/>
  <c r="E140" i="5"/>
  <c r="E136" i="5"/>
  <c r="E137" i="5"/>
  <c r="C41" i="9"/>
  <c r="E33" i="9"/>
  <c r="F33" i="9"/>
  <c r="D41" i="9"/>
  <c r="C181" i="15"/>
  <c r="C169" i="15"/>
  <c r="E169" i="15"/>
  <c r="D155" i="5"/>
  <c r="D153" i="5"/>
  <c r="D154" i="5"/>
  <c r="D157" i="5"/>
  <c r="D156" i="5"/>
  <c r="D152" i="5"/>
  <c r="E205" i="14"/>
  <c r="F205" i="14"/>
  <c r="E41" i="17"/>
  <c r="F46" i="17"/>
  <c r="D265" i="14"/>
  <c r="D180" i="15"/>
  <c r="E180" i="15"/>
  <c r="C284" i="14"/>
  <c r="C41" i="17"/>
  <c r="D287" i="14"/>
  <c r="C259" i="15"/>
  <c r="C263" i="15"/>
  <c r="E283" i="15"/>
  <c r="C288" i="14"/>
  <c r="F83" i="4"/>
  <c r="E65" i="1"/>
  <c r="F65" i="1"/>
  <c r="D48" i="9"/>
  <c r="E41" i="9"/>
  <c r="C48" i="9"/>
  <c r="F41" i="9"/>
  <c r="D210" i="14"/>
  <c r="D209" i="14"/>
  <c r="E48" i="19"/>
  <c r="E38" i="19"/>
  <c r="E113" i="19"/>
  <c r="E56" i="19"/>
  <c r="D310" i="15"/>
  <c r="E310" i="15"/>
  <c r="E306" i="15"/>
  <c r="F207" i="14"/>
  <c r="C208" i="14"/>
  <c r="D162" i="14"/>
  <c r="E161" i="14"/>
  <c r="F161" i="14"/>
  <c r="D127" i="14"/>
  <c r="C174" i="14"/>
  <c r="C139" i="14"/>
  <c r="C104" i="14"/>
  <c r="E61" i="14"/>
  <c r="F61" i="14"/>
  <c r="C162" i="14"/>
  <c r="E141" i="5"/>
  <c r="D141" i="5"/>
  <c r="C90" i="15"/>
  <c r="D92" i="14"/>
  <c r="C41" i="2"/>
  <c r="C291" i="14"/>
  <c r="C289" i="14"/>
  <c r="C210" i="14"/>
  <c r="C140" i="14"/>
  <c r="C105" i="14"/>
  <c r="C62" i="14"/>
  <c r="C175" i="14"/>
  <c r="E32" i="14"/>
  <c r="F32" i="14"/>
  <c r="F194" i="14"/>
  <c r="C195" i="14"/>
  <c r="E158" i="5"/>
  <c r="E284" i="14"/>
  <c r="F284" i="14"/>
  <c r="D291" i="14"/>
  <c r="D289" i="14"/>
  <c r="E287" i="14"/>
  <c r="F287" i="14"/>
  <c r="D47" i="19"/>
  <c r="D37" i="19"/>
  <c r="D112" i="19"/>
  <c r="D55" i="19"/>
  <c r="C264" i="15"/>
  <c r="C266" i="15"/>
  <c r="C267" i="15"/>
  <c r="D50" i="14"/>
  <c r="E49" i="14"/>
  <c r="F49" i="14"/>
  <c r="D128" i="15"/>
  <c r="D116" i="15"/>
  <c r="C112" i="19"/>
  <c r="C55" i="19"/>
  <c r="C47" i="19"/>
  <c r="C37" i="19"/>
  <c r="C50" i="14"/>
  <c r="F41" i="17"/>
  <c r="D158" i="5"/>
  <c r="E288" i="14"/>
  <c r="F288" i="14"/>
  <c r="C91" i="15"/>
  <c r="C265" i="14"/>
  <c r="E265" i="14"/>
  <c r="F265" i="14"/>
  <c r="E272" i="14"/>
  <c r="F272" i="14"/>
  <c r="D113" i="19"/>
  <c r="D56" i="19"/>
  <c r="D48" i="19"/>
  <c r="D38" i="19"/>
  <c r="D197" i="14"/>
  <c r="E196" i="14"/>
  <c r="F196" i="14"/>
  <c r="D322" i="14"/>
  <c r="D235" i="15"/>
  <c r="E235" i="15"/>
  <c r="E211" i="15"/>
  <c r="D181" i="15"/>
  <c r="E181" i="15"/>
  <c r="E47" i="19"/>
  <c r="E37" i="19"/>
  <c r="E112" i="19"/>
  <c r="E55" i="19"/>
  <c r="E195" i="14"/>
  <c r="F216" i="14"/>
  <c r="E266" i="14"/>
  <c r="F266" i="14"/>
  <c r="C63" i="14"/>
  <c r="E62" i="14"/>
  <c r="F62" i="14"/>
  <c r="E139" i="14"/>
  <c r="F139" i="14"/>
  <c r="D305" i="14"/>
  <c r="E291" i="14"/>
  <c r="F291" i="14"/>
  <c r="C176" i="14"/>
  <c r="C323" i="14"/>
  <c r="E175" i="14"/>
  <c r="F175" i="14"/>
  <c r="C141" i="14"/>
  <c r="E140" i="14"/>
  <c r="F140" i="14"/>
  <c r="D324" i="14"/>
  <c r="D113" i="14"/>
  <c r="E104" i="14"/>
  <c r="F104" i="14"/>
  <c r="D183" i="14"/>
  <c r="D323" i="14"/>
  <c r="E162" i="14"/>
  <c r="F162" i="14"/>
  <c r="C70" i="14"/>
  <c r="D70" i="14"/>
  <c r="E70" i="14"/>
  <c r="F70" i="14"/>
  <c r="E50" i="14"/>
  <c r="F50" i="14"/>
  <c r="C305" i="14"/>
  <c r="C48" i="2"/>
  <c r="E289" i="14"/>
  <c r="F289" i="14"/>
  <c r="F195" i="14"/>
  <c r="C209" i="14"/>
  <c r="E208" i="14"/>
  <c r="F208" i="14"/>
  <c r="E48" i="9"/>
  <c r="F48" i="9"/>
  <c r="C106" i="14"/>
  <c r="E105" i="14"/>
  <c r="F105" i="14"/>
  <c r="E174" i="14"/>
  <c r="F174" i="14"/>
  <c r="D148" i="14"/>
  <c r="D211" i="14"/>
  <c r="E211" i="14"/>
  <c r="F211" i="14"/>
  <c r="E210" i="14"/>
  <c r="F210" i="14"/>
  <c r="D117" i="15"/>
  <c r="D129" i="15"/>
  <c r="D131" i="15"/>
  <c r="E106" i="14"/>
  <c r="F106" i="14"/>
  <c r="C309" i="14"/>
  <c r="C322" i="14"/>
  <c r="E322" i="14"/>
  <c r="F322" i="14"/>
  <c r="C211" i="14"/>
  <c r="E141" i="14"/>
  <c r="F141" i="14"/>
  <c r="E176" i="14"/>
  <c r="F176" i="14"/>
  <c r="D325" i="14"/>
  <c r="D309" i="14"/>
  <c r="E305" i="14"/>
  <c r="F305" i="14"/>
  <c r="E63" i="14"/>
  <c r="F63" i="14"/>
  <c r="C183" i="14"/>
  <c r="E183" i="14"/>
  <c r="F183" i="14"/>
  <c r="E209" i="14"/>
  <c r="F209" i="14"/>
  <c r="E309" i="14"/>
  <c r="F309" i="14"/>
  <c r="C310" i="14"/>
  <c r="C312" i="14"/>
  <c r="C313" i="14"/>
  <c r="C113" i="15"/>
  <c r="E113" i="15"/>
  <c r="C127" i="15"/>
  <c r="E127" i="15"/>
  <c r="C112" i="15"/>
  <c r="E112" i="15"/>
  <c r="C110" i="15"/>
  <c r="C111" i="15"/>
  <c r="E111" i="15"/>
  <c r="C114" i="15"/>
  <c r="C115" i="15"/>
  <c r="E77" i="15"/>
  <c r="C124" i="15"/>
  <c r="E124" i="15"/>
  <c r="C109" i="15"/>
  <c r="C123" i="15"/>
  <c r="E123" i="15"/>
  <c r="C121" i="15"/>
  <c r="C122" i="15"/>
  <c r="C125" i="15"/>
  <c r="E125" i="15"/>
  <c r="C126" i="15"/>
  <c r="E126" i="15"/>
  <c r="E21" i="5"/>
  <c r="E22" i="5"/>
  <c r="E20" i="5"/>
  <c r="E75" i="1"/>
  <c r="F75" i="1"/>
  <c r="D281" i="14"/>
  <c r="E281" i="14"/>
  <c r="F281" i="14"/>
  <c r="E282" i="14"/>
  <c r="F282" i="14"/>
  <c r="D43" i="1"/>
  <c r="E41" i="1"/>
  <c r="F31" i="2"/>
  <c r="C251" i="14"/>
  <c r="C315" i="14"/>
  <c r="C256" i="14"/>
  <c r="C314" i="14"/>
  <c r="F323" i="14"/>
  <c r="E323" i="14"/>
  <c r="C269" i="15"/>
  <c r="C268" i="15"/>
  <c r="C271" i="15"/>
  <c r="E115" i="15"/>
  <c r="E114" i="15"/>
  <c r="D273" i="14"/>
  <c r="D304" i="14"/>
  <c r="D22" i="10"/>
  <c r="D70" i="10"/>
  <c r="D72" i="10"/>
  <c r="D69" i="10"/>
  <c r="F41" i="1"/>
  <c r="C43" i="1"/>
  <c r="D33" i="2"/>
  <c r="E19" i="2"/>
  <c r="F19" i="2"/>
  <c r="F85" i="3"/>
  <c r="F89" i="3"/>
  <c r="E76" i="15"/>
  <c r="F41" i="3"/>
  <c r="C52" i="3"/>
  <c r="D52" i="3"/>
  <c r="E52" i="3"/>
  <c r="F42" i="3"/>
  <c r="F44" i="3"/>
  <c r="F46" i="3"/>
  <c r="F48" i="3"/>
  <c r="F50" i="3"/>
  <c r="E95" i="3"/>
  <c r="F95" i="3"/>
  <c r="E85" i="3"/>
  <c r="E87" i="3"/>
  <c r="F87" i="3"/>
  <c r="E89" i="3"/>
  <c r="E91" i="3"/>
  <c r="F91" i="3"/>
  <c r="F124" i="3"/>
  <c r="F118" i="4"/>
  <c r="F155" i="4"/>
  <c r="C24" i="5"/>
  <c r="C17" i="5"/>
  <c r="C135" i="5"/>
  <c r="C138" i="5"/>
  <c r="E38" i="1"/>
  <c r="F38" i="1"/>
  <c r="D17" i="5"/>
  <c r="D24" i="5"/>
  <c r="E24" i="4"/>
  <c r="F24" i="4"/>
  <c r="C25" i="5"/>
  <c r="C27" i="5"/>
  <c r="D25" i="5"/>
  <c r="D27" i="5"/>
  <c r="C53" i="5"/>
  <c r="F99" i="12"/>
  <c r="C43" i="5"/>
  <c r="F50" i="12"/>
  <c r="F92" i="12"/>
  <c r="F140" i="6"/>
  <c r="F141" i="6"/>
  <c r="F166" i="6"/>
  <c r="F167" i="6"/>
  <c r="F192" i="6"/>
  <c r="F193" i="6"/>
  <c r="C207" i="6"/>
  <c r="F198" i="6"/>
  <c r="C208" i="6"/>
  <c r="F199" i="6"/>
  <c r="F200" i="6"/>
  <c r="F201" i="6"/>
  <c r="F202" i="6"/>
  <c r="F203" i="6"/>
  <c r="F204" i="6"/>
  <c r="F205" i="6"/>
  <c r="F206" i="6"/>
  <c r="F35" i="7"/>
  <c r="F36" i="7"/>
  <c r="F59" i="7"/>
  <c r="F60" i="7"/>
  <c r="F83" i="7"/>
  <c r="F84" i="7"/>
  <c r="F107" i="7"/>
  <c r="F108" i="7"/>
  <c r="D122" i="7"/>
  <c r="E122" i="7"/>
  <c r="F122" i="7"/>
  <c r="F38" i="8"/>
  <c r="C41" i="8"/>
  <c r="E25" i="10"/>
  <c r="E27" i="10"/>
  <c r="D48" i="10"/>
  <c r="D42" i="10"/>
  <c r="E23" i="13"/>
  <c r="F23" i="13"/>
  <c r="F53" i="14"/>
  <c r="F76" i="14"/>
  <c r="F23" i="14"/>
  <c r="F44" i="14"/>
  <c r="E66" i="14"/>
  <c r="F66" i="14"/>
  <c r="F67" i="14"/>
  <c r="C77" i="14"/>
  <c r="E77" i="14"/>
  <c r="E76" i="14"/>
  <c r="C89" i="14"/>
  <c r="E88" i="14"/>
  <c r="F88" i="14"/>
  <c r="E100" i="14"/>
  <c r="F100" i="14"/>
  <c r="E110" i="14"/>
  <c r="E123" i="14"/>
  <c r="F123" i="14"/>
  <c r="C124" i="14"/>
  <c r="F129" i="14"/>
  <c r="F144" i="14"/>
  <c r="C146" i="14"/>
  <c r="F164" i="14"/>
  <c r="E171" i="14"/>
  <c r="F171" i="14"/>
  <c r="E188" i="14"/>
  <c r="F188" i="14"/>
  <c r="E223" i="14"/>
  <c r="F223" i="14"/>
  <c r="F237" i="14"/>
  <c r="C239" i="14"/>
  <c r="E250" i="14"/>
  <c r="F250" i="14"/>
  <c r="C261" i="14"/>
  <c r="F298" i="14"/>
  <c r="E299" i="14"/>
  <c r="F299" i="14"/>
  <c r="E55" i="15"/>
  <c r="E157" i="15"/>
  <c r="D41" i="17"/>
  <c r="F110" i="14"/>
  <c r="E179" i="14"/>
  <c r="F179" i="14"/>
  <c r="C252" i="15"/>
  <c r="C253" i="15"/>
  <c r="D43" i="15"/>
  <c r="D245" i="15"/>
  <c r="D289" i="15"/>
  <c r="E289" i="15"/>
  <c r="D65" i="15"/>
  <c r="D189" i="15"/>
  <c r="E189" i="15"/>
  <c r="F25" i="17"/>
  <c r="D44" i="15"/>
  <c r="E43" i="15"/>
  <c r="D259" i="15"/>
  <c r="C254" i="15"/>
  <c r="E261" i="14"/>
  <c r="F261" i="14"/>
  <c r="C268" i="14"/>
  <c r="C263" i="14"/>
  <c r="C271" i="14"/>
  <c r="E239" i="14"/>
  <c r="F239" i="14"/>
  <c r="C126" i="14"/>
  <c r="C125" i="14"/>
  <c r="C43" i="8"/>
  <c r="E41" i="8"/>
  <c r="F41" i="8"/>
  <c r="C21" i="5"/>
  <c r="C20" i="5"/>
  <c r="C141" i="5"/>
  <c r="F52" i="3"/>
  <c r="D41" i="2"/>
  <c r="E33" i="2"/>
  <c r="F33" i="2"/>
  <c r="D310" i="14"/>
  <c r="E304" i="14"/>
  <c r="F304" i="14"/>
  <c r="C318" i="14"/>
  <c r="E121" i="15"/>
  <c r="E109" i="15"/>
  <c r="C116" i="15"/>
  <c r="E116" i="15"/>
  <c r="E110" i="15"/>
  <c r="E252" i="15"/>
  <c r="E124" i="14"/>
  <c r="F124" i="14"/>
  <c r="D66" i="15"/>
  <c r="D294" i="15"/>
  <c r="E294" i="15"/>
  <c r="D246" i="15"/>
  <c r="E246" i="15"/>
  <c r="E65" i="15"/>
  <c r="E245" i="15"/>
  <c r="D253" i="15"/>
  <c r="F146" i="14"/>
  <c r="E146" i="14"/>
  <c r="C90" i="14"/>
  <c r="C91" i="14"/>
  <c r="E89" i="14"/>
  <c r="F89" i="14"/>
  <c r="E21" i="10"/>
  <c r="E20" i="10"/>
  <c r="E22" i="10"/>
  <c r="F207" i="6"/>
  <c r="E207" i="6"/>
  <c r="E208" i="6"/>
  <c r="F208" i="6"/>
  <c r="D20" i="5"/>
  <c r="D21" i="5"/>
  <c r="D112" i="5"/>
  <c r="D111" i="5"/>
  <c r="D28" i="5"/>
  <c r="D99" i="5"/>
  <c r="D101" i="5"/>
  <c r="D98" i="5"/>
  <c r="C112" i="5"/>
  <c r="C111" i="5"/>
  <c r="C28" i="5"/>
  <c r="C99" i="5"/>
  <c r="C101" i="5"/>
  <c r="C98" i="5"/>
  <c r="C257" i="14"/>
  <c r="E43" i="1"/>
  <c r="F43" i="1"/>
  <c r="C128" i="15"/>
  <c r="E128" i="15"/>
  <c r="E122" i="15"/>
  <c r="D22" i="5"/>
  <c r="E253" i="15"/>
  <c r="D254" i="15"/>
  <c r="E254" i="15"/>
  <c r="C117" i="15"/>
  <c r="C129" i="15"/>
  <c r="E129" i="15"/>
  <c r="E43" i="8"/>
  <c r="F43" i="8"/>
  <c r="E126" i="14"/>
  <c r="F126" i="14"/>
  <c r="C127" i="14"/>
  <c r="E268" i="14"/>
  <c r="F268" i="14"/>
  <c r="E91" i="14"/>
  <c r="F91" i="14"/>
  <c r="C92" i="14"/>
  <c r="F90" i="14"/>
  <c r="E90" i="14"/>
  <c r="E66" i="15"/>
  <c r="D295" i="15"/>
  <c r="E295" i="15"/>
  <c r="D247" i="15"/>
  <c r="E247" i="15"/>
  <c r="E310" i="14"/>
  <c r="F310" i="14"/>
  <c r="D312" i="14"/>
  <c r="D48" i="2"/>
  <c r="E48" i="2"/>
  <c r="F48" i="2"/>
  <c r="E41" i="2"/>
  <c r="F41" i="2"/>
  <c r="C22" i="5"/>
  <c r="E125" i="14"/>
  <c r="F125" i="14"/>
  <c r="C273" i="14"/>
  <c r="E271" i="14"/>
  <c r="F271" i="14"/>
  <c r="E263" i="14"/>
  <c r="F263" i="14"/>
  <c r="D263" i="15"/>
  <c r="E263" i="15"/>
  <c r="E259" i="15"/>
  <c r="D99" i="15"/>
  <c r="E99" i="15"/>
  <c r="D89" i="15"/>
  <c r="E89" i="15"/>
  <c r="D98" i="15"/>
  <c r="E98" i="15"/>
  <c r="D83" i="15"/>
  <c r="D97" i="15"/>
  <c r="E97" i="15"/>
  <c r="D85" i="15"/>
  <c r="E85" i="15"/>
  <c r="D84" i="15"/>
  <c r="D100" i="15"/>
  <c r="E100" i="15"/>
  <c r="D88" i="15"/>
  <c r="E88" i="15"/>
  <c r="D258" i="15"/>
  <c r="D87" i="15"/>
  <c r="E87" i="15"/>
  <c r="D101" i="15"/>
  <c r="E101" i="15"/>
  <c r="D86" i="15"/>
  <c r="E86" i="15"/>
  <c r="E44" i="15"/>
  <c r="D96" i="15"/>
  <c r="D95" i="15"/>
  <c r="D102" i="15"/>
  <c r="E102" i="15"/>
  <c r="E96" i="15"/>
  <c r="D90" i="15"/>
  <c r="E90" i="15"/>
  <c r="E84" i="15"/>
  <c r="E95" i="15"/>
  <c r="D264" i="15"/>
  <c r="E258" i="15"/>
  <c r="E83" i="15"/>
  <c r="D91" i="15"/>
  <c r="E312" i="14"/>
  <c r="F312" i="14"/>
  <c r="D313" i="14"/>
  <c r="E92" i="14"/>
  <c r="F92" i="14"/>
  <c r="C113" i="14"/>
  <c r="C324" i="14"/>
  <c r="C197" i="14"/>
  <c r="C148" i="14"/>
  <c r="E127" i="14"/>
  <c r="F127" i="14"/>
  <c r="C131" i="15"/>
  <c r="E131" i="15"/>
  <c r="E117" i="15"/>
  <c r="E273" i="14"/>
  <c r="F273" i="14"/>
  <c r="F324" i="14"/>
  <c r="E324" i="14"/>
  <c r="C325" i="14"/>
  <c r="E148" i="14"/>
  <c r="F148" i="14"/>
  <c r="E197" i="14"/>
  <c r="F197" i="14"/>
  <c r="E113" i="14"/>
  <c r="F113" i="14"/>
  <c r="D103" i="15"/>
  <c r="E103" i="15"/>
  <c r="D314" i="14"/>
  <c r="D251" i="14"/>
  <c r="E251" i="14"/>
  <c r="F251" i="14"/>
  <c r="D256" i="14"/>
  <c r="E313" i="14"/>
  <c r="F313" i="14"/>
  <c r="D315" i="14"/>
  <c r="E315" i="14"/>
  <c r="F315" i="14"/>
  <c r="E91" i="15"/>
  <c r="D105" i="15"/>
  <c r="E105" i="15"/>
  <c r="D266" i="15"/>
  <c r="E264" i="15"/>
  <c r="E266" i="15"/>
  <c r="D267" i="15"/>
  <c r="E256" i="14"/>
  <c r="F256" i="14"/>
  <c r="D257" i="14"/>
  <c r="E257" i="14"/>
  <c r="F257" i="14"/>
  <c r="E314" i="14"/>
  <c r="F314" i="14"/>
  <c r="D318" i="14"/>
  <c r="E318" i="14"/>
  <c r="F318" i="14"/>
  <c r="E325" i="14"/>
  <c r="F325" i="14"/>
  <c r="D269" i="15"/>
  <c r="E269" i="15"/>
  <c r="D268" i="15"/>
  <c r="E267" i="15"/>
  <c r="D271" i="15"/>
  <c r="E271" i="15"/>
  <c r="E268" i="15"/>
</calcChain>
</file>

<file path=xl/sharedStrings.xml><?xml version="1.0" encoding="utf-8"?>
<sst xmlns="http://schemas.openxmlformats.org/spreadsheetml/2006/main" count="2302" uniqueCount="981">
  <si>
    <t>GREENWICH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</si>
  <si>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</si>
  <si>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</si>
  <si>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</si>
  <si>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</si>
  <si>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</si>
  <si>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</si>
  <si>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</si>
  <si>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</si>
  <si>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</si>
  <si>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</si>
  <si>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</si>
  <si>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</si>
  <si>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</si>
  <si>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</si>
  <si>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</si>
  <si>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</si>
  <si>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</si>
  <si>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</si>
  <si>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</si>
  <si>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</si>
  <si>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</si>
  <si>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</si>
  <si>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</si>
  <si>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</si>
  <si>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</si>
  <si>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</si>
  <si>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</si>
  <si>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</si>
  <si>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</si>
  <si>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</si>
  <si>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</si>
  <si>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</si>
  <si>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</si>
  <si>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</si>
  <si>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</si>
  <si>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</si>
  <si>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</si>
  <si>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</si>
  <si>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</si>
  <si>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</si>
  <si>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</si>
  <si>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</si>
  <si>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</si>
  <si>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</si>
  <si>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</si>
  <si>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</si>
  <si>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</si>
  <si>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</si>
  <si>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</si>
  <si>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</si>
  <si>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</si>
  <si>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</si>
  <si>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</si>
  <si>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</si>
  <si>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</si>
  <si>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</si>
  <si>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</si>
  <si>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</si>
  <si>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</si>
  <si>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</si>
  <si>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</si>
  <si>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</si>
  <si>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</si>
  <si>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</si>
  <si>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</si>
  <si>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</si>
  <si>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</si>
  <si>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</si>
  <si>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</si>
  <si>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</si>
  <si>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</si>
  <si>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</si>
  <si>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</si>
  <si>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</si>
  <si>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</si>
  <si>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</si>
  <si>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</si>
  <si>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</si>
  <si>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</si>
  <si>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</si>
  <si>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</si>
  <si>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</si>
  <si>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</si>
  <si>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</si>
  <si>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</si>
  <si>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</si>
  <si>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</si>
  <si>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</si>
  <si>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</si>
  <si>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</si>
  <si>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</si>
  <si>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</si>
  <si>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</si>
  <si>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</si>
  <si>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</si>
  <si>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</si>
  <si>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</si>
  <si>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</si>
  <si>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</si>
  <si>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</si>
  <si>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</si>
  <si>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</si>
  <si>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</si>
  <si>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</si>
  <si>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</si>
  <si>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</si>
  <si>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</si>
  <si>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</si>
  <si>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</si>
  <si>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</si>
  <si>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</si>
  <si>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</si>
  <si>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</si>
  <si>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</si>
  <si>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</si>
  <si>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</si>
  <si>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</si>
  <si>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</si>
  <si>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</si>
  <si>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</si>
  <si>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</si>
  <si>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</si>
  <si>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</si>
  <si>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</si>
  <si>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</si>
  <si>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</si>
  <si>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</si>
  <si>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</si>
  <si>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</si>
  <si>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</si>
  <si>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</si>
  <si>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</si>
  <si>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</si>
  <si>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</si>
  <si>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</si>
  <si>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</si>
  <si>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</si>
  <si>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</si>
  <si>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</si>
  <si>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</si>
  <si>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</si>
  <si>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</si>
  <si>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</si>
  <si>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</si>
  <si>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</si>
  <si>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</si>
  <si>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</si>
  <si>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</si>
  <si>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</si>
  <si>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</si>
  <si>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</si>
  <si>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</si>
  <si>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</si>
  <si>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</si>
  <si>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</si>
  <si>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</si>
  <si>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</si>
  <si>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</si>
  <si>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</si>
  <si>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</si>
  <si>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</si>
  <si>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</si>
  <si>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</si>
  <si>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</si>
  <si>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</si>
  <si>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</si>
  <si>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</si>
  <si>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</si>
  <si>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</si>
  <si>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</si>
  <si>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</si>
  <si>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</si>
  <si>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</si>
  <si>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</si>
  <si>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</si>
  <si>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</si>
  <si>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</si>
  <si>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</si>
  <si>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</si>
  <si>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</si>
  <si>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</si>
  <si>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</si>
  <si>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</si>
  <si>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</si>
  <si>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</si>
  <si>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</si>
  <si>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</si>
  <si>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</si>
  <si>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</si>
  <si>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</si>
  <si>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</si>
  <si>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</si>
  <si>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</si>
  <si>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</si>
  <si>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</si>
  <si>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</si>
  <si>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</si>
  <si>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</si>
  <si>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</si>
  <si>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</si>
  <si>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</si>
  <si>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</si>
  <si>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</si>
  <si>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</si>
  <si>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</si>
  <si>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</si>
  <si>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</si>
  <si>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</si>
  <si>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</si>
  <si>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</si>
  <si>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</si>
  <si>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</si>
  <si>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</si>
  <si>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</si>
  <si>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</si>
  <si>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</si>
  <si>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</si>
  <si>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</si>
  <si>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</si>
  <si>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</si>
  <si>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</si>
  <si>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</si>
  <si>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</si>
  <si>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</si>
  <si>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</si>
  <si>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</si>
  <si>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</si>
  <si>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</si>
  <si>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</si>
  <si>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</si>
  <si>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</si>
  <si>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</si>
  <si>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</si>
  <si>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</si>
  <si>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</si>
  <si>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</si>
  <si>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</si>
  <si>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</si>
  <si>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</si>
  <si>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</si>
  <si>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</si>
  <si>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</si>
  <si>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</si>
  <si>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</si>
  <si>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</si>
  <si>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</si>
  <si>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</si>
  <si>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</si>
  <si>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</si>
  <si>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</si>
  <si>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</si>
  <si>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</si>
  <si>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</si>
  <si>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</si>
  <si>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</si>
  <si>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</si>
  <si>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</si>
  <si>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</si>
  <si>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</si>
  <si>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</si>
  <si>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</si>
  <si>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</si>
  <si>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</si>
  <si>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</si>
  <si>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</si>
  <si>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</si>
  <si>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</si>
  <si>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</si>
  <si>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</si>
  <si>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</si>
  <si>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</si>
  <si>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</si>
  <si>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</si>
  <si>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</si>
  <si>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</si>
  <si>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</si>
  <si>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</si>
  <si>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</si>
  <si>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</si>
  <si>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</si>
  <si>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</si>
  <si>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</si>
  <si>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</si>
  <si>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</si>
  <si>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</si>
  <si>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</si>
  <si>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</si>
  <si>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</si>
  <si>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</si>
  <si>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</si>
  <si>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</si>
  <si>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</si>
  <si>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</si>
  <si>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</si>
  <si>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</si>
  <si>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</si>
  <si>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</si>
  <si>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</si>
  <si>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</si>
  <si>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</si>
  <si>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</si>
  <si>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</si>
  <si>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</si>
  <si>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</si>
  <si>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</si>
  <si>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</si>
  <si>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</si>
  <si>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</si>
  <si>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</si>
  <si>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</si>
  <si>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</si>
  <si>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</si>
  <si>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</si>
  <si>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</si>
  <si>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</si>
  <si>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</si>
  <si>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</si>
  <si>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</si>
  <si>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</si>
  <si>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</si>
  <si>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</si>
  <si>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</si>
  <si>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</si>
  <si>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</si>
  <si>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</si>
  <si>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</si>
  <si>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</si>
  <si>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</si>
  <si>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</si>
  <si>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</si>
  <si>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</si>
  <si>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</si>
  <si>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</si>
  <si>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</si>
  <si>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</si>
  <si>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</si>
  <si>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</si>
  <si>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</si>
  <si>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</si>
  <si>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</si>
  <si>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</si>
  <si>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</si>
  <si>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</si>
  <si>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</si>
  <si>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</si>
  <si>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</si>
  <si>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</si>
  <si>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</si>
  <si>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</si>
  <si>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</si>
  <si>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</si>
  <si>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</si>
  <si>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</si>
  <si>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</si>
  <si>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</si>
  <si>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</si>
  <si>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</si>
  <si>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</si>
  <si>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</si>
  <si>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</si>
  <si>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</si>
  <si>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</si>
  <si>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</si>
  <si>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</si>
  <si>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</si>
  <si>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</si>
  <si>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</si>
  <si>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</si>
  <si>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</si>
  <si>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</si>
  <si>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</si>
  <si>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</si>
  <si>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</si>
  <si>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</si>
  <si>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</si>
  <si>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</si>
  <si>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</si>
  <si>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</si>
  <si>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</si>
  <si>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</si>
  <si>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</si>
  <si>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</si>
  <si>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</si>
  <si>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</si>
  <si>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</si>
  <si>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</si>
  <si>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</si>
  <si>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</si>
  <si>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</si>
  <si>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</si>
  <si>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</si>
  <si>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</si>
  <si>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</si>
  <si>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</si>
  <si>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</si>
  <si>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</si>
  <si>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</si>
  <si>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</si>
  <si>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</si>
  <si>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</si>
  <si>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</si>
  <si>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</si>
  <si>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</si>
  <si>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</si>
  <si>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</si>
  <si>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</si>
  <si>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</si>
  <si>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</si>
  <si>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</si>
  <si>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</si>
  <si>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</si>
  <si>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</si>
  <si>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</si>
  <si>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</si>
  <si>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</si>
  <si>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</si>
  <si>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</si>
  <si>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</si>
  <si>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</si>
  <si>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</si>
  <si>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</si>
  <si>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</si>
  <si>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</si>
  <si>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</si>
  <si>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</si>
  <si>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</si>
  <si>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</si>
  <si>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</si>
  <si>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</si>
  <si>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</si>
  <si>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</si>
  <si>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</si>
  <si>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</si>
  <si>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</si>
  <si>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</si>
  <si>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</si>
  <si>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</si>
  <si>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</si>
  <si>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</si>
  <si>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</si>
  <si>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</si>
  <si>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</si>
  <si>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</si>
  <si>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</si>
  <si>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</si>
  <si>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</si>
  <si>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</si>
  <si>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</si>
  <si>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</si>
  <si>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</si>
  <si>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</si>
  <si>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</si>
  <si>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</si>
  <si>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</si>
  <si>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</si>
  <si>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</si>
  <si>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</si>
  <si>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</si>
  <si>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</si>
  <si>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</si>
  <si>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</si>
  <si>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</si>
  <si>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</si>
  <si>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</si>
  <si>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</si>
  <si>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</si>
  <si>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</si>
  <si>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</si>
  <si>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</si>
  <si>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</si>
  <si>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</si>
  <si>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</si>
  <si>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</si>
  <si>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</si>
  <si>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</si>
  <si>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</si>
  <si>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</si>
  <si>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</si>
  <si>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GREENWICH HEALTH CARE SERVICES,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</si>
  <si>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</si>
  <si>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</si>
  <si>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</si>
  <si>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</si>
  <si>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</si>
  <si>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</si>
  <si>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</si>
  <si>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</si>
  <si>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</si>
  <si>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</si>
  <si>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</si>
  <si>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</si>
  <si>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</si>
  <si>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</si>
  <si>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</si>
  <si>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</si>
  <si>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</si>
  <si>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</si>
  <si>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</si>
  <si>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</si>
  <si>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</si>
  <si>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</si>
  <si>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</si>
  <si>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</si>
  <si>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</si>
  <si>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</si>
  <si>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</si>
  <si>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</si>
  <si>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</si>
  <si>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</si>
  <si>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</si>
  <si>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</si>
  <si>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</si>
  <si>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</si>
  <si>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</si>
  <si>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</si>
  <si>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</si>
  <si>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</si>
  <si>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</si>
  <si>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</si>
  <si>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</si>
  <si>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</si>
  <si>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</si>
  <si>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</si>
  <si>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</si>
  <si>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</si>
  <si>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</si>
  <si>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</si>
  <si>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</si>
  <si>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</si>
  <si>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</si>
  <si>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</si>
  <si>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</si>
  <si>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</si>
  <si>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</si>
  <si>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</si>
  <si>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</si>
  <si>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</si>
  <si>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</si>
  <si>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</si>
  <si>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</si>
  <si>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</si>
  <si>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</si>
  <si>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</si>
  <si>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</si>
  <si>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</si>
  <si>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</si>
  <si>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</si>
  <si>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</si>
  <si>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</si>
  <si>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</si>
  <si>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</si>
  <si>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</si>
  <si>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</si>
  <si>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</si>
  <si>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</si>
  <si>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</si>
  <si>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</si>
  <si>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</si>
  <si>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</si>
  <si>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</si>
  <si>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</si>
  <si>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</si>
  <si>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</si>
  <si>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</si>
  <si>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</si>
  <si>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</si>
  <si>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</si>
  <si>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</si>
  <si>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</si>
  <si>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</si>
  <si>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</si>
  <si>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</si>
  <si>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</si>
  <si>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</si>
  <si>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</si>
  <si>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</si>
  <si>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</si>
  <si>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</si>
  <si>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</si>
  <si>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</si>
  <si>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</si>
  <si>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</si>
  <si>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Helmsley Surgical Center</t>
  </si>
  <si>
    <t>at Greenwich Hospital Campus</t>
  </si>
  <si>
    <t xml:space="preserve">      Total Outpatient Surgical Procedures(A)     </t>
  </si>
  <si>
    <t>G Hosp @500 W Putnam St.</t>
  </si>
  <si>
    <t xml:space="preserve">      Total Outpatient Endoscopy Procedures(B)     </t>
  </si>
  <si>
    <t>Outpatient Hospital Emergency Room Visits</t>
  </si>
  <si>
    <t>At Greenwich Hospital Campus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</si>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</sst>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>
      <selection activeCell="A2" sqref="A2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32032000</v>
      </c>
      <c r="D13" s="23">
        <v>32013000</v>
      </c>
      <c r="E13" s="23">
        <f t="shared" ref="E13:E22" si="0">D13-C13</f>
        <v>-19000</v>
      </c>
      <c r="F13" s="24">
        <f t="shared" ref="F13:F22" si="1">IF(C13=0,0,E13/C13)</f>
        <v>-5.9315684315684313E-4</v>
      </c>
    </row>
    <row r="14" spans="1:8" ht="24" customHeight="1" x14ac:dyDescent="0.2">
      <c r="A14" s="21">
        <v>2</v>
      </c>
      <c r="B14" s="22" t="s">
        <v>17</v>
      </c>
      <c r="C14" s="23">
        <v>28273000</v>
      </c>
      <c r="D14" s="23">
        <v>23470000</v>
      </c>
      <c r="E14" s="23">
        <f t="shared" si="0"/>
        <v>-4803000</v>
      </c>
      <c r="F14" s="24">
        <f t="shared" si="1"/>
        <v>-0.16987939023096241</v>
      </c>
    </row>
    <row r="15" spans="1:8" ht="28.5" customHeight="1" x14ac:dyDescent="0.2">
      <c r="A15" s="21">
        <v>3</v>
      </c>
      <c r="B15" s="22" t="s">
        <v>18</v>
      </c>
      <c r="C15" s="23">
        <v>32088000</v>
      </c>
      <c r="D15" s="23">
        <v>32518000</v>
      </c>
      <c r="E15" s="23">
        <f t="shared" si="0"/>
        <v>430000</v>
      </c>
      <c r="F15" s="24">
        <f t="shared" si="1"/>
        <v>1.3400648217402144E-2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995000</v>
      </c>
      <c r="D19" s="23">
        <v>1275000</v>
      </c>
      <c r="E19" s="23">
        <f t="shared" si="0"/>
        <v>280000</v>
      </c>
      <c r="F19" s="24">
        <f t="shared" si="1"/>
        <v>0.28140703517587939</v>
      </c>
    </row>
    <row r="20" spans="1:11" ht="24" customHeight="1" x14ac:dyDescent="0.2">
      <c r="A20" s="21">
        <v>8</v>
      </c>
      <c r="B20" s="22" t="s">
        <v>23</v>
      </c>
      <c r="C20" s="23">
        <v>2260000</v>
      </c>
      <c r="D20" s="23">
        <v>2189000</v>
      </c>
      <c r="E20" s="23">
        <f t="shared" si="0"/>
        <v>-71000</v>
      </c>
      <c r="F20" s="24">
        <f t="shared" si="1"/>
        <v>-3.1415929203539826E-2</v>
      </c>
    </row>
    <row r="21" spans="1:11" ht="24" customHeight="1" x14ac:dyDescent="0.2">
      <c r="A21" s="21">
        <v>9</v>
      </c>
      <c r="B21" s="22" t="s">
        <v>24</v>
      </c>
      <c r="C21" s="23">
        <v>7680000</v>
      </c>
      <c r="D21" s="23">
        <v>9158000</v>
      </c>
      <c r="E21" s="23">
        <f t="shared" si="0"/>
        <v>1478000</v>
      </c>
      <c r="F21" s="24">
        <f t="shared" si="1"/>
        <v>0.19244791666666666</v>
      </c>
    </row>
    <row r="22" spans="1:11" ht="24" customHeight="1" x14ac:dyDescent="0.25">
      <c r="A22" s="25"/>
      <c r="B22" s="26" t="s">
        <v>25</v>
      </c>
      <c r="C22" s="27">
        <f>SUM(C13:C21)</f>
        <v>103328000</v>
      </c>
      <c r="D22" s="27">
        <f>SUM(D13:D21)</f>
        <v>100623000</v>
      </c>
      <c r="E22" s="27">
        <f t="shared" si="0"/>
        <v>-2705000</v>
      </c>
      <c r="F22" s="28">
        <f t="shared" si="1"/>
        <v>-2.6178770517187984E-2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802000</v>
      </c>
      <c r="D25" s="23">
        <v>800000</v>
      </c>
      <c r="E25" s="23">
        <f>D25-C25</f>
        <v>-2000</v>
      </c>
      <c r="F25" s="24">
        <f>IF(C25=0,0,E25/C25)</f>
        <v>-2.4937655860349127E-3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20735000</v>
      </c>
      <c r="D26" s="23">
        <v>17579000</v>
      </c>
      <c r="E26" s="23">
        <f>D26-C26</f>
        <v>-3156000</v>
      </c>
      <c r="F26" s="24">
        <f>IF(C26=0,0,E26/C26)</f>
        <v>-0.15220641427537979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10000</v>
      </c>
      <c r="D27" s="23">
        <v>9000</v>
      </c>
      <c r="E27" s="23">
        <f>D27-C27</f>
        <v>-1000</v>
      </c>
      <c r="F27" s="24">
        <f>IF(C27=0,0,E27/C27)</f>
        <v>-0.1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21547000</v>
      </c>
      <c r="D29" s="27">
        <f>SUM(D25:D28)</f>
        <v>18388000</v>
      </c>
      <c r="E29" s="27">
        <f>D29-C29</f>
        <v>-3159000</v>
      </c>
      <c r="F29" s="28">
        <f>IF(C29=0,0,E29/C29)</f>
        <v>-0.14660973685431847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47113000</v>
      </c>
      <c r="D31" s="23">
        <v>49641000</v>
      </c>
      <c r="E31" s="23">
        <f>D31-C31</f>
        <v>2528000</v>
      </c>
      <c r="F31" s="24">
        <f>IF(C31=0,0,E31/C31)</f>
        <v>5.3658225967355082E-2</v>
      </c>
    </row>
    <row r="32" spans="1:11" ht="24" customHeight="1" x14ac:dyDescent="0.2">
      <c r="A32" s="21">
        <v>6</v>
      </c>
      <c r="B32" s="22" t="s">
        <v>34</v>
      </c>
      <c r="C32" s="23">
        <v>31567000</v>
      </c>
      <c r="D32" s="23">
        <v>36595000</v>
      </c>
      <c r="E32" s="23">
        <f>D32-C32</f>
        <v>5028000</v>
      </c>
      <c r="F32" s="24">
        <f>IF(C32=0,0,E32/C32)</f>
        <v>0.15928026103209048</v>
      </c>
    </row>
    <row r="33" spans="1:8" ht="24" customHeight="1" x14ac:dyDescent="0.2">
      <c r="A33" s="21">
        <v>7</v>
      </c>
      <c r="B33" s="22" t="s">
        <v>35</v>
      </c>
      <c r="C33" s="23">
        <v>23801000</v>
      </c>
      <c r="D33" s="23">
        <v>23237000</v>
      </c>
      <c r="E33" s="23">
        <f>D33-C33</f>
        <v>-564000</v>
      </c>
      <c r="F33" s="24">
        <f>IF(C33=0,0,E33/C33)</f>
        <v>-2.3696483341036093E-2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397461000</v>
      </c>
      <c r="D36" s="23">
        <v>416831000</v>
      </c>
      <c r="E36" s="23">
        <f>D36-C36</f>
        <v>19370000</v>
      </c>
      <c r="F36" s="24">
        <f>IF(C36=0,0,E36/C36)</f>
        <v>4.873434123096354E-2</v>
      </c>
    </row>
    <row r="37" spans="1:8" ht="24" customHeight="1" x14ac:dyDescent="0.2">
      <c r="A37" s="21">
        <v>2</v>
      </c>
      <c r="B37" s="22" t="s">
        <v>39</v>
      </c>
      <c r="C37" s="23">
        <v>153823000</v>
      </c>
      <c r="D37" s="23">
        <v>173524000</v>
      </c>
      <c r="E37" s="23">
        <f>D37-C37</f>
        <v>19701000</v>
      </c>
      <c r="F37" s="24">
        <f>IF(C37=0,0,E37/C37)</f>
        <v>0.12807577540419834</v>
      </c>
    </row>
    <row r="38" spans="1:8" ht="24" customHeight="1" x14ac:dyDescent="0.25">
      <c r="A38" s="25"/>
      <c r="B38" s="26" t="s">
        <v>40</v>
      </c>
      <c r="C38" s="27">
        <f>C36-C37</f>
        <v>243638000</v>
      </c>
      <c r="D38" s="27">
        <f>D36-D37</f>
        <v>243307000</v>
      </c>
      <c r="E38" s="27">
        <f>D38-C38</f>
        <v>-331000</v>
      </c>
      <c r="F38" s="28">
        <f>IF(C38=0,0,E38/C38)</f>
        <v>-1.3585729648084453E-3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1331000</v>
      </c>
      <c r="D40" s="23">
        <v>1000</v>
      </c>
      <c r="E40" s="23">
        <f>D40-C40</f>
        <v>-1330000</v>
      </c>
      <c r="F40" s="24">
        <f>IF(C40=0,0,E40/C40)</f>
        <v>-0.99924868519909837</v>
      </c>
    </row>
    <row r="41" spans="1:8" ht="24" customHeight="1" x14ac:dyDescent="0.25">
      <c r="A41" s="25"/>
      <c r="B41" s="26" t="s">
        <v>42</v>
      </c>
      <c r="C41" s="27">
        <f>+C38+C40</f>
        <v>244969000</v>
      </c>
      <c r="D41" s="27">
        <f>+D38+D40</f>
        <v>243308000</v>
      </c>
      <c r="E41" s="27">
        <f>D41-C41</f>
        <v>-1661000</v>
      </c>
      <c r="F41" s="28">
        <f>IF(C41=0,0,E41/C41)</f>
        <v>-6.7804497711955389E-3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472325000</v>
      </c>
      <c r="D43" s="27">
        <f>D22+D29+D31+D32+D33+D41</f>
        <v>471792000</v>
      </c>
      <c r="E43" s="27">
        <f>D43-C43</f>
        <v>-533000</v>
      </c>
      <c r="F43" s="28">
        <f>IF(C43=0,0,E43/C43)</f>
        <v>-1.128460276292807E-3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18508436</v>
      </c>
      <c r="D49" s="23">
        <v>15528145</v>
      </c>
      <c r="E49" s="23">
        <f t="shared" ref="E49:E56" si="2">D49-C49</f>
        <v>-2980291</v>
      </c>
      <c r="F49" s="24">
        <f t="shared" ref="F49:F56" si="3">IF(C49=0,0,E49/C49)</f>
        <v>-0.16102338414763948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17583564</v>
      </c>
      <c r="D50" s="23">
        <v>10892855</v>
      </c>
      <c r="E50" s="23">
        <f t="shared" si="2"/>
        <v>-6690709</v>
      </c>
      <c r="F50" s="24">
        <f t="shared" si="3"/>
        <v>-0.38050926421969972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192000</v>
      </c>
      <c r="D51" s="23">
        <v>264000</v>
      </c>
      <c r="E51" s="23">
        <f t="shared" si="2"/>
        <v>72000</v>
      </c>
      <c r="F51" s="24">
        <f t="shared" si="3"/>
        <v>0.375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2190000</v>
      </c>
      <c r="D53" s="23">
        <v>2260000</v>
      </c>
      <c r="E53" s="23">
        <f t="shared" si="2"/>
        <v>70000</v>
      </c>
      <c r="F53" s="24">
        <f t="shared" si="3"/>
        <v>3.1963470319634701E-2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6239000</v>
      </c>
      <c r="D55" s="23">
        <v>8469000</v>
      </c>
      <c r="E55" s="23">
        <f t="shared" si="2"/>
        <v>2230000</v>
      </c>
      <c r="F55" s="24">
        <f t="shared" si="3"/>
        <v>0.35742907517230327</v>
      </c>
    </row>
    <row r="56" spans="1:6" ht="24" customHeight="1" x14ac:dyDescent="0.25">
      <c r="A56" s="25"/>
      <c r="B56" s="26" t="s">
        <v>54</v>
      </c>
      <c r="C56" s="27">
        <f>SUM(C49:C55)</f>
        <v>44713000</v>
      </c>
      <c r="D56" s="27">
        <f>SUM(D49:D55)</f>
        <v>37414000</v>
      </c>
      <c r="E56" s="27">
        <f t="shared" si="2"/>
        <v>-7299000</v>
      </c>
      <c r="F56" s="28">
        <f t="shared" si="3"/>
        <v>-0.16324111555923335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47265000</v>
      </c>
      <c r="D59" s="23">
        <v>45005000</v>
      </c>
      <c r="E59" s="23">
        <f>D59-C59</f>
        <v>-2260000</v>
      </c>
      <c r="F59" s="24">
        <f>IF(C59=0,0,E59/C59)</f>
        <v>-4.7815508304242041E-2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47265000</v>
      </c>
      <c r="D61" s="27">
        <f>SUM(D59:D60)</f>
        <v>45005000</v>
      </c>
      <c r="E61" s="27">
        <f>D61-C61</f>
        <v>-2260000</v>
      </c>
      <c r="F61" s="28">
        <f>IF(C61=0,0,E61/C61)</f>
        <v>-4.7815508304242041E-2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27902000</v>
      </c>
      <c r="D63" s="23">
        <v>29899000</v>
      </c>
      <c r="E63" s="23">
        <f>D63-C63</f>
        <v>1997000</v>
      </c>
      <c r="F63" s="24">
        <f>IF(C63=0,0,E63/C63)</f>
        <v>7.1571930327575084E-2</v>
      </c>
    </row>
    <row r="64" spans="1:6" ht="24" customHeight="1" x14ac:dyDescent="0.2">
      <c r="A64" s="21">
        <v>4</v>
      </c>
      <c r="B64" s="22" t="s">
        <v>60</v>
      </c>
      <c r="C64" s="23">
        <v>24345000</v>
      </c>
      <c r="D64" s="23">
        <v>27956000</v>
      </c>
      <c r="E64" s="23">
        <f>D64-C64</f>
        <v>3611000</v>
      </c>
      <c r="F64" s="24">
        <f>IF(C64=0,0,E64/C64)</f>
        <v>0.14832614499897309</v>
      </c>
    </row>
    <row r="65" spans="1:6" ht="24" customHeight="1" x14ac:dyDescent="0.25">
      <c r="A65" s="25"/>
      <c r="B65" s="26" t="s">
        <v>61</v>
      </c>
      <c r="C65" s="27">
        <f>SUM(C61:C64)</f>
        <v>99512000</v>
      </c>
      <c r="D65" s="27">
        <f>SUM(D61:D64)</f>
        <v>102860000</v>
      </c>
      <c r="E65" s="27">
        <f>D65-C65</f>
        <v>3348000</v>
      </c>
      <c r="F65" s="28">
        <f>IF(C65=0,0,E65/C65)</f>
        <v>3.3644183616046305E-2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280445000</v>
      </c>
      <c r="D70" s="23">
        <v>282678000</v>
      </c>
      <c r="E70" s="23">
        <f>D70-C70</f>
        <v>2233000</v>
      </c>
      <c r="F70" s="24">
        <f>IF(C70=0,0,E70/C70)</f>
        <v>7.9623455579525392E-3</v>
      </c>
    </row>
    <row r="71" spans="1:6" ht="24" customHeight="1" x14ac:dyDescent="0.2">
      <c r="A71" s="21">
        <v>2</v>
      </c>
      <c r="B71" s="22" t="s">
        <v>65</v>
      </c>
      <c r="C71" s="23">
        <v>25902000</v>
      </c>
      <c r="D71" s="23">
        <v>27295000</v>
      </c>
      <c r="E71" s="23">
        <f>D71-C71</f>
        <v>1393000</v>
      </c>
      <c r="F71" s="24">
        <f>IF(C71=0,0,E71/C71)</f>
        <v>5.377963091653154E-2</v>
      </c>
    </row>
    <row r="72" spans="1:6" ht="24" customHeight="1" x14ac:dyDescent="0.2">
      <c r="A72" s="21">
        <v>3</v>
      </c>
      <c r="B72" s="22" t="s">
        <v>66</v>
      </c>
      <c r="C72" s="23">
        <v>21753000</v>
      </c>
      <c r="D72" s="23">
        <v>21545000</v>
      </c>
      <c r="E72" s="23">
        <f>D72-C72</f>
        <v>-208000</v>
      </c>
      <c r="F72" s="24">
        <f>IF(C72=0,0,E72/C72)</f>
        <v>-9.561899508113824E-3</v>
      </c>
    </row>
    <row r="73" spans="1:6" ht="24" customHeight="1" x14ac:dyDescent="0.25">
      <c r="A73" s="21"/>
      <c r="B73" s="26" t="s">
        <v>67</v>
      </c>
      <c r="C73" s="27">
        <f>SUM(C70:C72)</f>
        <v>328100000</v>
      </c>
      <c r="D73" s="27">
        <f>SUM(D70:D72)</f>
        <v>331518000</v>
      </c>
      <c r="E73" s="27">
        <f>D73-C73</f>
        <v>3418000</v>
      </c>
      <c r="F73" s="28">
        <f>IF(C73=0,0,E73/C73)</f>
        <v>1.0417555623285583E-2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472325000</v>
      </c>
      <c r="D75" s="27">
        <f>D56+D65+D67+D73</f>
        <v>471792000</v>
      </c>
      <c r="E75" s="27">
        <f>D75-C75</f>
        <v>-533000</v>
      </c>
      <c r="F75" s="28">
        <f>IF(C75=0,0,E75/C75)</f>
        <v>-1.128460276292807E-3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3"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271418000</v>
      </c>
      <c r="D11" s="51">
        <v>281144231</v>
      </c>
      <c r="E11" s="51">
        <v>288416000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16818000</v>
      </c>
      <c r="D12" s="49">
        <v>17603769</v>
      </c>
      <c r="E12" s="49">
        <v>14769000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288236000</v>
      </c>
      <c r="D13" s="51">
        <f>+D11+D12</f>
        <v>298748000</v>
      </c>
      <c r="E13" s="51">
        <f>+E11+E12</f>
        <v>303185000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284499000</v>
      </c>
      <c r="D14" s="49">
        <v>290832000</v>
      </c>
      <c r="E14" s="49">
        <v>294701000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3737000</v>
      </c>
      <c r="D15" s="51">
        <f>+D13-D14</f>
        <v>7916000</v>
      </c>
      <c r="E15" s="51">
        <f>+E13-E14</f>
        <v>8484000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-15885000</v>
      </c>
      <c r="D16" s="49">
        <v>-1089000</v>
      </c>
      <c r="E16" s="49">
        <v>-378000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-12148000</v>
      </c>
      <c r="D17" s="51">
        <f>D15+D16</f>
        <v>6827000</v>
      </c>
      <c r="E17" s="51">
        <f>E15+E16</f>
        <v>8106000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1.3721264104042211E-2</v>
      </c>
      <c r="D20" s="169">
        <f>IF(+D27=0,0,+D24/+D27)</f>
        <v>2.6594189995934946E-2</v>
      </c>
      <c r="E20" s="169">
        <f>IF(+E27=0,0,+E24/+E27)</f>
        <v>2.8017846350976035E-2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-5.8325469706371556E-2</v>
      </c>
      <c r="D21" s="169">
        <f>IF(+D27=0,0,+D26/+D27)</f>
        <v>-3.6585488763988322E-3</v>
      </c>
      <c r="E21" s="169">
        <f>IF(+E27=0,0,+E26/+E27)</f>
        <v>-1.2483198869246749E-3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-4.4604205602329347E-2</v>
      </c>
      <c r="D22" s="169">
        <f>IF(+D27=0,0,+D28/+D27)</f>
        <v>2.2935641119536113E-2</v>
      </c>
      <c r="E22" s="169">
        <f>IF(+E27=0,0,+E28/+E27)</f>
        <v>2.6769526464051358E-2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3737000</v>
      </c>
      <c r="D24" s="51">
        <f>+D15</f>
        <v>7916000</v>
      </c>
      <c r="E24" s="51">
        <f>+E15</f>
        <v>8484000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288236000</v>
      </c>
      <c r="D25" s="51">
        <f>+D13</f>
        <v>298748000</v>
      </c>
      <c r="E25" s="51">
        <f>+E13</f>
        <v>303185000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-15885000</v>
      </c>
      <c r="D26" s="51">
        <f>+D16</f>
        <v>-1089000</v>
      </c>
      <c r="E26" s="51">
        <f>+E16</f>
        <v>-378000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272351000</v>
      </c>
      <c r="D27" s="51">
        <f>SUM(D25:D26)</f>
        <v>297659000</v>
      </c>
      <c r="E27" s="51">
        <f>SUM(E25:E26)</f>
        <v>302807000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-12148000</v>
      </c>
      <c r="D28" s="51">
        <f>+D17</f>
        <v>6827000</v>
      </c>
      <c r="E28" s="51">
        <f>+E17</f>
        <v>8106000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333893000</v>
      </c>
      <c r="D31" s="51">
        <v>308971000</v>
      </c>
      <c r="E31" s="52">
        <v>310901000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381077000</v>
      </c>
      <c r="D32" s="51">
        <v>356626000</v>
      </c>
      <c r="E32" s="51">
        <v>359741000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-24345000</v>
      </c>
      <c r="D33" s="51">
        <f>+D32-C32</f>
        <v>-24451000</v>
      </c>
      <c r="E33" s="51">
        <f>+E32-D32</f>
        <v>3115000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0.93989999999999996</v>
      </c>
      <c r="D34" s="171">
        <f>IF(C32=0,0,+D33/C32)</f>
        <v>-6.4162885716010157E-2</v>
      </c>
      <c r="E34" s="171">
        <f>IF(D32=0,0,+E33/D32)</f>
        <v>8.7346407721254193E-3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2.3239103715609342</v>
      </c>
      <c r="D38" s="269">
        <f>IF(+D40=0,0,+D39/+D40)</f>
        <v>2.1378637895584713</v>
      </c>
      <c r="E38" s="269">
        <f>IF(+E40=0,0,+E39/+E40)</f>
        <v>2.3428732726246286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98320000</v>
      </c>
      <c r="D39" s="270">
        <v>100858000</v>
      </c>
      <c r="E39" s="270">
        <v>95451000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42308000</v>
      </c>
      <c r="D40" s="270">
        <v>47177000</v>
      </c>
      <c r="E40" s="270">
        <v>40741000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79.988638326960782</v>
      </c>
      <c r="D42" s="271">
        <f>IF((D48/365)=0,0,+D45/(D48/365))</f>
        <v>84.244474356651295</v>
      </c>
      <c r="E42" s="271">
        <f>IF((E48/365)=0,0,+E45/(E48/365))</f>
        <v>77.268571093641242</v>
      </c>
    </row>
    <row r="43" spans="1:14" ht="24" customHeight="1" x14ac:dyDescent="0.2">
      <c r="A43" s="17">
        <v>5</v>
      </c>
      <c r="B43" s="188" t="s">
        <v>16</v>
      </c>
      <c r="C43" s="272">
        <v>31821000</v>
      </c>
      <c r="D43" s="272">
        <v>34142000</v>
      </c>
      <c r="E43" s="272">
        <v>34318000</v>
      </c>
    </row>
    <row r="44" spans="1:14" ht="24" customHeight="1" x14ac:dyDescent="0.2">
      <c r="A44" s="17">
        <v>6</v>
      </c>
      <c r="B44" s="273" t="s">
        <v>17</v>
      </c>
      <c r="C44" s="274">
        <v>26526000</v>
      </c>
      <c r="D44" s="274">
        <v>28273000</v>
      </c>
      <c r="E44" s="274">
        <v>23470000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58347000</v>
      </c>
      <c r="D45" s="270">
        <f>+D43+D44</f>
        <v>62415000</v>
      </c>
      <c r="E45" s="270">
        <f>+E43+E44</f>
        <v>57788000</v>
      </c>
    </row>
    <row r="46" spans="1:14" ht="24" customHeight="1" x14ac:dyDescent="0.2">
      <c r="A46" s="17">
        <v>8</v>
      </c>
      <c r="B46" s="45" t="s">
        <v>324</v>
      </c>
      <c r="C46" s="270">
        <f>+C14</f>
        <v>284499000</v>
      </c>
      <c r="D46" s="270">
        <f>+D14</f>
        <v>290832000</v>
      </c>
      <c r="E46" s="270">
        <f>+E14</f>
        <v>294701000</v>
      </c>
    </row>
    <row r="47" spans="1:14" ht="24" customHeight="1" x14ac:dyDescent="0.2">
      <c r="A47" s="17">
        <v>9</v>
      </c>
      <c r="B47" s="45" t="s">
        <v>347</v>
      </c>
      <c r="C47" s="270">
        <v>18253000</v>
      </c>
      <c r="D47" s="270">
        <v>20411000</v>
      </c>
      <c r="E47" s="270">
        <v>21723000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266246000</v>
      </c>
      <c r="D48" s="270">
        <f>+D46-D47</f>
        <v>270421000</v>
      </c>
      <c r="E48" s="270">
        <f>+E46-E47</f>
        <v>272978000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46.992314437509677</v>
      </c>
      <c r="D50" s="278">
        <f>IF((D55/365)=0,0,+D54/(D55/365))</f>
        <v>43.350400456909959</v>
      </c>
      <c r="E50" s="278">
        <f>IF((E55/365)=0,0,+E54/(E55/365))</f>
        <v>41.939767557971813</v>
      </c>
    </row>
    <row r="51" spans="1:5" ht="24" customHeight="1" x14ac:dyDescent="0.2">
      <c r="A51" s="17">
        <v>12</v>
      </c>
      <c r="B51" s="188" t="s">
        <v>350</v>
      </c>
      <c r="C51" s="279">
        <v>35108000</v>
      </c>
      <c r="D51" s="279">
        <v>33583000</v>
      </c>
      <c r="E51" s="279">
        <v>33404000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164000</v>
      </c>
      <c r="D53" s="270">
        <v>192000</v>
      </c>
      <c r="E53" s="270">
        <v>264000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34944000</v>
      </c>
      <c r="D54" s="280">
        <f>+D51+D52-D53</f>
        <v>33391000</v>
      </c>
      <c r="E54" s="280">
        <f>+E51+E52-E53</f>
        <v>33140000</v>
      </c>
    </row>
    <row r="55" spans="1:5" ht="24" customHeight="1" x14ac:dyDescent="0.2">
      <c r="A55" s="17">
        <v>16</v>
      </c>
      <c r="B55" s="45" t="s">
        <v>75</v>
      </c>
      <c r="C55" s="270">
        <f>+C11</f>
        <v>271418000</v>
      </c>
      <c r="D55" s="270">
        <f>+D11</f>
        <v>281144231</v>
      </c>
      <c r="E55" s="270">
        <f>+E11</f>
        <v>288416000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58.00057090059569</v>
      </c>
      <c r="D57" s="283">
        <f>IF((D61/365)=0,0,+D58/(D61/365))</f>
        <v>63.677025822698681</v>
      </c>
      <c r="E57" s="283">
        <f>IF((E61/365)=0,0,+E58/(E61/365))</f>
        <v>54.474957688898002</v>
      </c>
    </row>
    <row r="58" spans="1:5" ht="24" customHeight="1" x14ac:dyDescent="0.2">
      <c r="A58" s="17">
        <v>18</v>
      </c>
      <c r="B58" s="45" t="s">
        <v>54</v>
      </c>
      <c r="C58" s="281">
        <f>+C40</f>
        <v>42308000</v>
      </c>
      <c r="D58" s="281">
        <f>+D40</f>
        <v>47177000</v>
      </c>
      <c r="E58" s="281">
        <f>+E40</f>
        <v>40741000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284499000</v>
      </c>
      <c r="D59" s="281">
        <f t="shared" si="0"/>
        <v>290832000</v>
      </c>
      <c r="E59" s="281">
        <f t="shared" si="0"/>
        <v>294701000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18253000</v>
      </c>
      <c r="D60" s="176">
        <f t="shared" si="0"/>
        <v>20411000</v>
      </c>
      <c r="E60" s="176">
        <f t="shared" si="0"/>
        <v>21723000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266246000</v>
      </c>
      <c r="D61" s="281">
        <f>+D59-D60</f>
        <v>270421000</v>
      </c>
      <c r="E61" s="281">
        <f>+E59-E60</f>
        <v>272978000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77.141249273783956</v>
      </c>
      <c r="D65" s="284">
        <f>IF(D67=0,0,(D66/D67)*100)</f>
        <v>70.855428508985426</v>
      </c>
      <c r="E65" s="284">
        <f>IF(E67=0,0,(E66/E67)*100)</f>
        <v>71.47049123657473</v>
      </c>
    </row>
    <row r="66" spans="1:5" ht="24" customHeight="1" x14ac:dyDescent="0.2">
      <c r="A66" s="17">
        <v>2</v>
      </c>
      <c r="B66" s="45" t="s">
        <v>67</v>
      </c>
      <c r="C66" s="281">
        <f>+C32</f>
        <v>381077000</v>
      </c>
      <c r="D66" s="281">
        <f>+D32</f>
        <v>356626000</v>
      </c>
      <c r="E66" s="281">
        <f>+E32</f>
        <v>359741000</v>
      </c>
    </row>
    <row r="67" spans="1:5" ht="24" customHeight="1" x14ac:dyDescent="0.2">
      <c r="A67" s="17">
        <v>3</v>
      </c>
      <c r="B67" s="45" t="s">
        <v>43</v>
      </c>
      <c r="C67" s="281">
        <v>493999000</v>
      </c>
      <c r="D67" s="281">
        <v>503315000</v>
      </c>
      <c r="E67" s="281">
        <v>503342000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5.8753332242635379</v>
      </c>
      <c r="D69" s="284">
        <f>IF(D75=0,0,(D72/D75)*100)</f>
        <v>28.8409817665869</v>
      </c>
      <c r="E69" s="284">
        <f>IF(E75=0,0,(E72/E75)*100)</f>
        <v>34.787628577426354</v>
      </c>
    </row>
    <row r="70" spans="1:5" ht="24" customHeight="1" x14ac:dyDescent="0.2">
      <c r="A70" s="17">
        <v>5</v>
      </c>
      <c r="B70" s="45" t="s">
        <v>358</v>
      </c>
      <c r="C70" s="281">
        <f>+C28</f>
        <v>-12148000</v>
      </c>
      <c r="D70" s="281">
        <f>+D28</f>
        <v>6827000</v>
      </c>
      <c r="E70" s="281">
        <f>+E28</f>
        <v>8106000</v>
      </c>
    </row>
    <row r="71" spans="1:5" ht="24" customHeight="1" x14ac:dyDescent="0.2">
      <c r="A71" s="17">
        <v>6</v>
      </c>
      <c r="B71" s="45" t="s">
        <v>347</v>
      </c>
      <c r="C71" s="176">
        <f>+C47</f>
        <v>18253000</v>
      </c>
      <c r="D71" s="176">
        <f>+D47</f>
        <v>20411000</v>
      </c>
      <c r="E71" s="176">
        <f>+E47</f>
        <v>21723000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6105000</v>
      </c>
      <c r="D72" s="281">
        <f>+D70+D71</f>
        <v>27238000</v>
      </c>
      <c r="E72" s="281">
        <f>+E70+E71</f>
        <v>29829000</v>
      </c>
    </row>
    <row r="73" spans="1:5" ht="24" customHeight="1" x14ac:dyDescent="0.2">
      <c r="A73" s="17">
        <v>8</v>
      </c>
      <c r="B73" s="45" t="s">
        <v>54</v>
      </c>
      <c r="C73" s="270">
        <f>+C40</f>
        <v>42308000</v>
      </c>
      <c r="D73" s="270">
        <f>+D40</f>
        <v>47177000</v>
      </c>
      <c r="E73" s="270">
        <f>+E40</f>
        <v>40741000</v>
      </c>
    </row>
    <row r="74" spans="1:5" ht="24" customHeight="1" x14ac:dyDescent="0.2">
      <c r="A74" s="17">
        <v>9</v>
      </c>
      <c r="B74" s="45" t="s">
        <v>58</v>
      </c>
      <c r="C74" s="281">
        <v>61601000</v>
      </c>
      <c r="D74" s="281">
        <v>47265000</v>
      </c>
      <c r="E74" s="281">
        <v>45005000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103909000</v>
      </c>
      <c r="D75" s="270">
        <f>+D73+D74</f>
        <v>94442000</v>
      </c>
      <c r="E75" s="270">
        <f>+E73+E74</f>
        <v>85746000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13.915532283059019</v>
      </c>
      <c r="D77" s="286">
        <f>IF(D80=0,0,(D78/D80)*100)</f>
        <v>11.702414760418034</v>
      </c>
      <c r="E77" s="286">
        <f>IF(E80=0,0,(E78/E80)*100)</f>
        <v>11.119319276780994</v>
      </c>
    </row>
    <row r="78" spans="1:5" ht="24" customHeight="1" x14ac:dyDescent="0.2">
      <c r="A78" s="17">
        <v>12</v>
      </c>
      <c r="B78" s="45" t="s">
        <v>58</v>
      </c>
      <c r="C78" s="270">
        <f>+C74</f>
        <v>61601000</v>
      </c>
      <c r="D78" s="270">
        <f>+D74</f>
        <v>47265000</v>
      </c>
      <c r="E78" s="270">
        <f>+E74</f>
        <v>45005000</v>
      </c>
    </row>
    <row r="79" spans="1:5" ht="24" customHeight="1" x14ac:dyDescent="0.2">
      <c r="A79" s="17">
        <v>13</v>
      </c>
      <c r="B79" s="45" t="s">
        <v>67</v>
      </c>
      <c r="C79" s="270">
        <f>+C32</f>
        <v>381077000</v>
      </c>
      <c r="D79" s="270">
        <f>+D32</f>
        <v>356626000</v>
      </c>
      <c r="E79" s="270">
        <f>+E32</f>
        <v>359741000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442678000</v>
      </c>
      <c r="D80" s="270">
        <f>+D78+D79</f>
        <v>403891000</v>
      </c>
      <c r="E80" s="270">
        <f>+E78+E79</f>
        <v>404746000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FILING&amp;R&amp;8GREENWICH HEALTH CARE SERVICES,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35559</v>
      </c>
      <c r="D11" s="297">
        <v>129</v>
      </c>
      <c r="E11" s="297">
        <v>129</v>
      </c>
      <c r="F11" s="298">
        <f>IF(D11=0,0,$C11/(D11*365))</f>
        <v>0.75520866517999363</v>
      </c>
      <c r="G11" s="298">
        <f>IF(E11=0,0,$C11/(E11*365))</f>
        <v>0.75520866517999363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2109</v>
      </c>
      <c r="D13" s="297">
        <v>10</v>
      </c>
      <c r="E13" s="297">
        <v>10</v>
      </c>
      <c r="F13" s="298">
        <f>IF(D13=0,0,$C13/(D13*365))</f>
        <v>0.57780821917808223</v>
      </c>
      <c r="G13" s="298">
        <f>IF(E13=0,0,$C13/(E13*365))</f>
        <v>0.57780821917808223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0</v>
      </c>
      <c r="D16" s="297">
        <v>0</v>
      </c>
      <c r="E16" s="297">
        <v>0</v>
      </c>
      <c r="F16" s="298">
        <f t="shared" si="0"/>
        <v>0</v>
      </c>
      <c r="G16" s="298">
        <f t="shared" si="0"/>
        <v>0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1">
        <f t="shared" si="0"/>
        <v>0</v>
      </c>
      <c r="G17" s="301">
        <f t="shared" si="0"/>
        <v>0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7186</v>
      </c>
      <c r="D21" s="297">
        <v>25</v>
      </c>
      <c r="E21" s="297">
        <v>25</v>
      </c>
      <c r="F21" s="298">
        <f>IF(D21=0,0,$C21/(D21*365))</f>
        <v>0.78750684931506854</v>
      </c>
      <c r="G21" s="298">
        <f>IF(E21=0,0,$C21/(E21*365))</f>
        <v>0.78750684931506854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5398</v>
      </c>
      <c r="D23" s="297">
        <v>22</v>
      </c>
      <c r="E23" s="297">
        <v>22</v>
      </c>
      <c r="F23" s="298">
        <f>IF(D23=0,0,$C23/(D23*365))</f>
        <v>0.67222914072229145</v>
      </c>
      <c r="G23" s="298">
        <f>IF(E23=0,0,$C23/(E23*365))</f>
        <v>0.67222914072229145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1980</v>
      </c>
      <c r="D25" s="297">
        <v>10</v>
      </c>
      <c r="E25" s="297">
        <v>10</v>
      </c>
      <c r="F25" s="298">
        <f>IF(D25=0,0,$C25/(D25*365))</f>
        <v>0.54246575342465753</v>
      </c>
      <c r="G25" s="298">
        <f>IF(E25=0,0,$C25/(E25*365))</f>
        <v>0.54246575342465753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827</v>
      </c>
      <c r="D27" s="297">
        <v>10</v>
      </c>
      <c r="E27" s="297">
        <v>10</v>
      </c>
      <c r="F27" s="298">
        <f>IF(D27=0,0,$C27/(D27*365))</f>
        <v>0.22657534246575342</v>
      </c>
      <c r="G27" s="298">
        <f>IF(E27=0,0,$C27/(E27*365))</f>
        <v>0.22657534246575342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47661</v>
      </c>
      <c r="D31" s="300">
        <f>SUM(D10:D29)-D17-D23</f>
        <v>184</v>
      </c>
      <c r="E31" s="300">
        <f>SUM(E10:E29)-E17-E23</f>
        <v>184</v>
      </c>
      <c r="F31" s="301">
        <f>IF(D31=0,0,$C31/(D31*365))</f>
        <v>0.7096634901727219</v>
      </c>
      <c r="G31" s="301">
        <f>IF(E31=0,0,$C31/(E31*365))</f>
        <v>0.7096634901727219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53059</v>
      </c>
      <c r="D33" s="300">
        <f>SUM(D10:D29)-D17</f>
        <v>206</v>
      </c>
      <c r="E33" s="300">
        <f>SUM(E10:E29)-E17</f>
        <v>206</v>
      </c>
      <c r="F33" s="301">
        <f>IF(D33=0,0,$C33/(D33*365))</f>
        <v>0.70566564702753021</v>
      </c>
      <c r="G33" s="301">
        <f>IF(E33=0,0,$C33/(E33*365))</f>
        <v>0.70566564702753021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53059</v>
      </c>
      <c r="D36" s="300">
        <f>+D33</f>
        <v>206</v>
      </c>
      <c r="E36" s="300">
        <f>+E33</f>
        <v>206</v>
      </c>
      <c r="F36" s="301">
        <f>+F33</f>
        <v>0.70566564702753021</v>
      </c>
      <c r="G36" s="301">
        <f>+G33</f>
        <v>0.70566564702753021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50149</v>
      </c>
      <c r="D37" s="302">
        <v>206</v>
      </c>
      <c r="E37" s="302">
        <v>206</v>
      </c>
      <c r="F37" s="301">
        <f>IF(D37=0,0,$C37/(D37*365))</f>
        <v>0.66696369198031658</v>
      </c>
      <c r="G37" s="301">
        <f>IF(E37=0,0,$C37/(E37*365))</f>
        <v>0.66696369198031658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2910</v>
      </c>
      <c r="D38" s="300">
        <f>+D36-D37</f>
        <v>0</v>
      </c>
      <c r="E38" s="300">
        <f>+E36-E37</f>
        <v>0</v>
      </c>
      <c r="F38" s="301">
        <f>+F36-F37</f>
        <v>3.8701955047213632E-2</v>
      </c>
      <c r="G38" s="301">
        <f>+G36-G37</f>
        <v>3.8701955047213632E-2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5.8027079303675046E-2</v>
      </c>
      <c r="D40" s="148">
        <f>IF(D37=0,0,D38/D37)</f>
        <v>0</v>
      </c>
      <c r="E40" s="148">
        <f>IF(E37=0,0,E38/E37)</f>
        <v>0</v>
      </c>
      <c r="F40" s="148">
        <f>IF(F37=0,0,F38/F37)</f>
        <v>5.8027079303674907E-2</v>
      </c>
      <c r="G40" s="148">
        <f>IF(G37=0,0,G38/G37)</f>
        <v>5.8027079303674907E-2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206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FILING&amp;RGREENWICH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6755</v>
      </c>
      <c r="D12" s="296">
        <v>7108</v>
      </c>
      <c r="E12" s="296">
        <f>+D12-C12</f>
        <v>353</v>
      </c>
      <c r="F12" s="316">
        <f>IF(C12=0,0,+E12/C12)</f>
        <v>5.2257586972612881E-2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6907</v>
      </c>
      <c r="D13" s="296">
        <v>6477</v>
      </c>
      <c r="E13" s="296">
        <f>+D13-C13</f>
        <v>-430</v>
      </c>
      <c r="F13" s="316">
        <f>IF(C13=0,0,+E13/C13)</f>
        <v>-6.2255682640799191E-2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8072</v>
      </c>
      <c r="D14" s="296">
        <v>8735</v>
      </c>
      <c r="E14" s="296">
        <f>+D14-C14</f>
        <v>663</v>
      </c>
      <c r="F14" s="316">
        <f>IF(C14=0,0,+E14/C14)</f>
        <v>8.2135777998017842E-2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1332</v>
      </c>
      <c r="D15" s="296">
        <v>885</v>
      </c>
      <c r="E15" s="296">
        <f>+D15-C15</f>
        <v>-447</v>
      </c>
      <c r="F15" s="316">
        <f>IF(C15=0,0,+E15/C15)</f>
        <v>-0.3355855855855856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23066</v>
      </c>
      <c r="D16" s="300">
        <f>SUM(D12:D15)</f>
        <v>23205</v>
      </c>
      <c r="E16" s="300">
        <f>+D16-C16</f>
        <v>139</v>
      </c>
      <c r="F16" s="309">
        <f>IF(C16=0,0,+E16/C16)</f>
        <v>6.0261857279112112E-3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982</v>
      </c>
      <c r="D19" s="296">
        <v>1141</v>
      </c>
      <c r="E19" s="296">
        <f>+D19-C19</f>
        <v>159</v>
      </c>
      <c r="F19" s="316">
        <f>IF(C19=0,0,+E19/C19)</f>
        <v>0.16191446028513237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5604</v>
      </c>
      <c r="D20" s="296">
        <v>4729</v>
      </c>
      <c r="E20" s="296">
        <f>+D20-C20</f>
        <v>-875</v>
      </c>
      <c r="F20" s="316">
        <f>IF(C20=0,0,+E20/C20)</f>
        <v>-0.15613847251962884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128</v>
      </c>
      <c r="D21" s="296">
        <v>112</v>
      </c>
      <c r="E21" s="296">
        <f>+D21-C21</f>
        <v>-16</v>
      </c>
      <c r="F21" s="316">
        <f>IF(C21=0,0,+E21/C21)</f>
        <v>-0.125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1232</v>
      </c>
      <c r="D22" s="296">
        <v>1600</v>
      </c>
      <c r="E22" s="296">
        <f>+D22-C22</f>
        <v>368</v>
      </c>
      <c r="F22" s="316">
        <f>IF(C22=0,0,+E22/C22)</f>
        <v>0.29870129870129869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7946</v>
      </c>
      <c r="D23" s="300">
        <f>SUM(D19:D22)</f>
        <v>7582</v>
      </c>
      <c r="E23" s="300">
        <f>+D23-C23</f>
        <v>-364</v>
      </c>
      <c r="F23" s="309">
        <f>IF(C23=0,0,+E23/C23)</f>
        <v>-4.5809212182230052E-2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4</v>
      </c>
      <c r="D27" s="296">
        <v>2</v>
      </c>
      <c r="E27" s="296">
        <f>+D27-C27</f>
        <v>-2</v>
      </c>
      <c r="F27" s="316">
        <f>IF(C27=0,0,+E27/C27)</f>
        <v>-0.5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4</v>
      </c>
      <c r="D30" s="300">
        <f>SUM(D26:D29)</f>
        <v>2</v>
      </c>
      <c r="E30" s="300">
        <f>+D30-C30</f>
        <v>-2</v>
      </c>
      <c r="F30" s="309">
        <f>IF(C30=0,0,+E30/C30)</f>
        <v>-0.5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48</v>
      </c>
      <c r="D33" s="296">
        <v>23</v>
      </c>
      <c r="E33" s="296">
        <f>+D33-C33</f>
        <v>-25</v>
      </c>
      <c r="F33" s="316">
        <f>IF(C33=0,0,+E33/C33)</f>
        <v>-0.52083333333333337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932</v>
      </c>
      <c r="D34" s="296">
        <v>800</v>
      </c>
      <c r="E34" s="296">
        <f>+D34-C34</f>
        <v>-132</v>
      </c>
      <c r="F34" s="316">
        <f>IF(C34=0,0,+E34/C34)</f>
        <v>-0.14163090128755365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980</v>
      </c>
      <c r="D37" s="300">
        <f>SUM(D33:D36)</f>
        <v>823</v>
      </c>
      <c r="E37" s="300">
        <f>+D37-C37</f>
        <v>-157</v>
      </c>
      <c r="F37" s="309">
        <f>IF(C37=0,0,+E37/C37)</f>
        <v>-0.16020408163265307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228</v>
      </c>
      <c r="D43" s="296">
        <v>277</v>
      </c>
      <c r="E43" s="296">
        <f>+D43-C43</f>
        <v>49</v>
      </c>
      <c r="F43" s="316">
        <f>IF(C43=0,0,+E43/C43)</f>
        <v>0.21491228070175439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6290</v>
      </c>
      <c r="D44" s="296">
        <v>5195</v>
      </c>
      <c r="E44" s="296">
        <f>+D44-C44</f>
        <v>-1095</v>
      </c>
      <c r="F44" s="316">
        <f>IF(C44=0,0,+E44/C44)</f>
        <v>-0.1740858505564388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6518</v>
      </c>
      <c r="D45" s="300">
        <f>SUM(D43:D44)</f>
        <v>5472</v>
      </c>
      <c r="E45" s="300">
        <f>+D45-C45</f>
        <v>-1046</v>
      </c>
      <c r="F45" s="309">
        <f>IF(C45=0,0,+E45/C45)</f>
        <v>-0.16047867444001226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180</v>
      </c>
      <c r="D48" s="296">
        <v>162</v>
      </c>
      <c r="E48" s="296">
        <f>+D48-C48</f>
        <v>-18</v>
      </c>
      <c r="F48" s="316">
        <f>IF(C48=0,0,+E48/C48)</f>
        <v>-0.1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124</v>
      </c>
      <c r="D49" s="296">
        <v>103</v>
      </c>
      <c r="E49" s="296">
        <f>+D49-C49</f>
        <v>-21</v>
      </c>
      <c r="F49" s="316">
        <f>IF(C49=0,0,+E49/C49)</f>
        <v>-0.16935483870967741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304</v>
      </c>
      <c r="D50" s="300">
        <f>SUM(D48:D49)</f>
        <v>265</v>
      </c>
      <c r="E50" s="300">
        <f>+D50-C50</f>
        <v>-39</v>
      </c>
      <c r="F50" s="309">
        <f>IF(C50=0,0,+E50/C50)</f>
        <v>-0.12828947368421054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42</v>
      </c>
      <c r="D53" s="296">
        <v>33</v>
      </c>
      <c r="E53" s="296">
        <f>+D53-C53</f>
        <v>-9</v>
      </c>
      <c r="F53" s="316">
        <f>IF(C53=0,0,+E53/C53)</f>
        <v>-0.21428571428571427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42</v>
      </c>
      <c r="D55" s="300">
        <f>SUM(D53:D54)</f>
        <v>33</v>
      </c>
      <c r="E55" s="300">
        <f>+D55-C55</f>
        <v>-9</v>
      </c>
      <c r="F55" s="309">
        <f>IF(C55=0,0,+E55/C55)</f>
        <v>-0.21428571428571427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7</v>
      </c>
      <c r="D58" s="296">
        <v>2</v>
      </c>
      <c r="E58" s="296">
        <f>+D58-C58</f>
        <v>-5</v>
      </c>
      <c r="F58" s="316">
        <f>IF(C58=0,0,+E58/C58)</f>
        <v>-0.7142857142857143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1</v>
      </c>
      <c r="D59" s="296">
        <v>2</v>
      </c>
      <c r="E59" s="296">
        <f>+D59-C59</f>
        <v>1</v>
      </c>
      <c r="F59" s="316">
        <f>IF(C59=0,0,+E59/C59)</f>
        <v>1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8</v>
      </c>
      <c r="D60" s="300">
        <f>SUM(D58:D59)</f>
        <v>4</v>
      </c>
      <c r="E60" s="300">
        <f>SUM(E58:E59)</f>
        <v>-4</v>
      </c>
      <c r="F60" s="309">
        <f>IF(C60=0,0,+E60/C60)</f>
        <v>-0.5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2720</v>
      </c>
      <c r="D63" s="296">
        <v>2706</v>
      </c>
      <c r="E63" s="296">
        <f>+D63-C63</f>
        <v>-14</v>
      </c>
      <c r="F63" s="316">
        <f>IF(C63=0,0,+E63/C63)</f>
        <v>-5.1470588235294117E-3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7250</v>
      </c>
      <c r="D64" s="296">
        <v>7219</v>
      </c>
      <c r="E64" s="296">
        <f>+D64-C64</f>
        <v>-31</v>
      </c>
      <c r="F64" s="316">
        <f>IF(C64=0,0,+E64/C64)</f>
        <v>-4.2758620689655174E-3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9970</v>
      </c>
      <c r="D65" s="300">
        <f>SUM(D63:D64)</f>
        <v>9925</v>
      </c>
      <c r="E65" s="300">
        <f>+D65-C65</f>
        <v>-45</v>
      </c>
      <c r="F65" s="309">
        <f>IF(C65=0,0,+E65/C65)</f>
        <v>-4.5135406218655971E-3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451</v>
      </c>
      <c r="D68" s="296">
        <v>551</v>
      </c>
      <c r="E68" s="296">
        <f>+D68-C68</f>
        <v>100</v>
      </c>
      <c r="F68" s="316">
        <f>IF(C68=0,0,+E68/C68)</f>
        <v>0.22172949002217296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3164</v>
      </c>
      <c r="D69" s="296">
        <v>3086</v>
      </c>
      <c r="E69" s="296">
        <f>+D69-C69</f>
        <v>-78</v>
      </c>
      <c r="F69" s="318">
        <f>IF(C69=0,0,+E69/C69)</f>
        <v>-2.4652338811630849E-2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3615</v>
      </c>
      <c r="D70" s="300">
        <f>SUM(D68:D69)</f>
        <v>3637</v>
      </c>
      <c r="E70" s="300">
        <f>+D70-C70</f>
        <v>22</v>
      </c>
      <c r="F70" s="309">
        <f>IF(C70=0,0,+E70/C70)</f>
        <v>6.0857538035961273E-3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7824</v>
      </c>
      <c r="D73" s="319">
        <v>7764</v>
      </c>
      <c r="E73" s="296">
        <f>+D73-C73</f>
        <v>-60</v>
      </c>
      <c r="F73" s="316">
        <f>IF(C73=0,0,+E73/C73)</f>
        <v>-7.6687116564417178E-3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35461</v>
      </c>
      <c r="D74" s="319">
        <v>34887</v>
      </c>
      <c r="E74" s="296">
        <f>+D74-C74</f>
        <v>-574</v>
      </c>
      <c r="F74" s="316">
        <f>IF(C74=0,0,+E74/C74)</f>
        <v>-1.6186796762640648E-2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43285</v>
      </c>
      <c r="D75" s="300">
        <f>SUM(D73:D74)</f>
        <v>42651</v>
      </c>
      <c r="E75" s="300">
        <f>SUM(E73:E74)</f>
        <v>-634</v>
      </c>
      <c r="F75" s="309">
        <f>IF(C75=0,0,+E75/C75)</f>
        <v>-1.4647106387894189E-2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7066</v>
      </c>
      <c r="D79" s="319">
        <v>6492</v>
      </c>
      <c r="E79" s="296">
        <f t="shared" ref="E79:E84" si="0">+D79-C79</f>
        <v>-574</v>
      </c>
      <c r="F79" s="316">
        <f t="shared" ref="F79:F84" si="1">IF(C79=0,0,+E79/C79)</f>
        <v>-8.1234078686668557E-2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2420</v>
      </c>
      <c r="D80" s="319">
        <v>2598</v>
      </c>
      <c r="E80" s="296">
        <f t="shared" si="0"/>
        <v>178</v>
      </c>
      <c r="F80" s="316">
        <f t="shared" si="1"/>
        <v>7.3553719008264462E-2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9032</v>
      </c>
      <c r="D81" s="319">
        <v>8092</v>
      </c>
      <c r="E81" s="296">
        <f t="shared" si="0"/>
        <v>-940</v>
      </c>
      <c r="F81" s="316">
        <f t="shared" si="1"/>
        <v>-0.10407440212577503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9779</v>
      </c>
      <c r="D82" s="319">
        <v>10496</v>
      </c>
      <c r="E82" s="296">
        <f t="shared" si="0"/>
        <v>717</v>
      </c>
      <c r="F82" s="316">
        <f t="shared" si="1"/>
        <v>7.3320380406994581E-2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4025</v>
      </c>
      <c r="D83" s="319">
        <v>4290</v>
      </c>
      <c r="E83" s="296">
        <f t="shared" si="0"/>
        <v>265</v>
      </c>
      <c r="F83" s="316">
        <f t="shared" si="1"/>
        <v>6.5838509316770183E-2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32322</v>
      </c>
      <c r="D84" s="320">
        <f>SUM(D79:D83)</f>
        <v>31968</v>
      </c>
      <c r="E84" s="300">
        <f t="shared" si="0"/>
        <v>-354</v>
      </c>
      <c r="F84" s="309">
        <f t="shared" si="1"/>
        <v>-1.0952292556153704E-2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34768</v>
      </c>
      <c r="D87" s="322">
        <v>33960</v>
      </c>
      <c r="E87" s="323">
        <f t="shared" ref="E87:E92" si="2">+D87-C87</f>
        <v>-808</v>
      </c>
      <c r="F87" s="318">
        <f t="shared" ref="F87:F92" si="3">IF(C87=0,0,+E87/C87)</f>
        <v>-2.3239760699493787E-2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2825</v>
      </c>
      <c r="D88" s="322">
        <v>2687</v>
      </c>
      <c r="E88" s="296">
        <f t="shared" si="2"/>
        <v>-138</v>
      </c>
      <c r="F88" s="316">
        <f t="shared" si="3"/>
        <v>-4.8849557522123895E-2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37812</v>
      </c>
      <c r="D89" s="322">
        <v>36350</v>
      </c>
      <c r="E89" s="296">
        <f t="shared" si="2"/>
        <v>-1462</v>
      </c>
      <c r="F89" s="316">
        <f t="shared" si="3"/>
        <v>-3.8664974082301913E-2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1064</v>
      </c>
      <c r="D90" s="322">
        <v>1589</v>
      </c>
      <c r="E90" s="296">
        <f t="shared" si="2"/>
        <v>525</v>
      </c>
      <c r="F90" s="316">
        <f t="shared" si="3"/>
        <v>0.49342105263157893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311220</v>
      </c>
      <c r="D91" s="322">
        <v>236633</v>
      </c>
      <c r="E91" s="296">
        <f t="shared" si="2"/>
        <v>-74587</v>
      </c>
      <c r="F91" s="316">
        <f t="shared" si="3"/>
        <v>-0.2396600475547844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387689</v>
      </c>
      <c r="D92" s="320">
        <f>SUM(D87:D91)</f>
        <v>311219</v>
      </c>
      <c r="E92" s="300">
        <f t="shared" si="2"/>
        <v>-76470</v>
      </c>
      <c r="F92" s="309">
        <f t="shared" si="3"/>
        <v>-0.19724573046952584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338.2</v>
      </c>
      <c r="D96" s="325">
        <v>351.9</v>
      </c>
      <c r="E96" s="326">
        <f>+D96-C96</f>
        <v>13.699999999999989</v>
      </c>
      <c r="F96" s="316">
        <f>IF(C96=0,0,+E96/C96)</f>
        <v>4.0508574807806001E-2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60.1</v>
      </c>
      <c r="D97" s="325">
        <v>51.3</v>
      </c>
      <c r="E97" s="326">
        <f>+D97-C97</f>
        <v>-8.8000000000000043</v>
      </c>
      <c r="F97" s="316">
        <f>IF(C97=0,0,+E97/C97)</f>
        <v>-0.14642262895174715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1041.8</v>
      </c>
      <c r="D98" s="325">
        <v>1058.5</v>
      </c>
      <c r="E98" s="326">
        <f>+D98-C98</f>
        <v>16.700000000000045</v>
      </c>
      <c r="F98" s="316">
        <f>IF(C98=0,0,+E98/C98)</f>
        <v>1.6029948166634715E-2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1440.1</v>
      </c>
      <c r="D99" s="327">
        <f>SUM(D96:D98)</f>
        <v>1461.7</v>
      </c>
      <c r="E99" s="327">
        <f>+D99-C99</f>
        <v>21.600000000000136</v>
      </c>
      <c r="F99" s="309">
        <f>IF(C99=0,0,+E99/C99)</f>
        <v>1.4998958405666368E-2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FILING&amp;RGREENWICH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SheetLayoutView="90" workbookViewId="0">
      <selection activeCell="B29" sqref="B29:F29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876</v>
      </c>
      <c r="D12" s="296">
        <v>1364</v>
      </c>
      <c r="E12" s="296">
        <f>+D12-C12</f>
        <v>488</v>
      </c>
      <c r="F12" s="316">
        <f>IF(C12=0,0,+E12/C12)</f>
        <v>0.55707762557077622</v>
      </c>
    </row>
    <row r="13" spans="1:16" ht="15.75" customHeight="1" x14ac:dyDescent="0.2">
      <c r="A13" s="294">
        <v>2</v>
      </c>
      <c r="B13" s="295" t="s">
        <v>584</v>
      </c>
      <c r="C13" s="296">
        <v>6374</v>
      </c>
      <c r="D13" s="296">
        <v>5855</v>
      </c>
      <c r="E13" s="296">
        <f>+D13-C13</f>
        <v>-519</v>
      </c>
      <c r="F13" s="316">
        <f>IF(C13=0,0,+E13/C13)</f>
        <v>-8.1424537182303108E-2</v>
      </c>
    </row>
    <row r="14" spans="1:16" ht="15.75" customHeight="1" x14ac:dyDescent="0.25">
      <c r="A14" s="294"/>
      <c r="B14" s="135" t="s">
        <v>585</v>
      </c>
      <c r="C14" s="300">
        <f>SUM(C11:C13)</f>
        <v>7250</v>
      </c>
      <c r="D14" s="300">
        <f>SUM(D11:D13)</f>
        <v>7219</v>
      </c>
      <c r="E14" s="300">
        <f>+D14-C14</f>
        <v>-31</v>
      </c>
      <c r="F14" s="309">
        <f>IF(C14=0,0,+E14/C14)</f>
        <v>-4.2758620689655174E-3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558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584</v>
      </c>
      <c r="C17" s="296">
        <v>232</v>
      </c>
      <c r="D17" s="296">
        <v>336</v>
      </c>
      <c r="E17" s="296">
        <f>+D17-C17</f>
        <v>104</v>
      </c>
      <c r="F17" s="316">
        <f>IF(C17=0,0,+E17/C17)</f>
        <v>0.44827586206896552</v>
      </c>
    </row>
    <row r="18" spans="1:6" ht="15.75" customHeight="1" x14ac:dyDescent="0.2">
      <c r="A18" s="294">
        <v>2</v>
      </c>
      <c r="B18" s="295" t="s">
        <v>586</v>
      </c>
      <c r="C18" s="296">
        <v>2932</v>
      </c>
      <c r="D18" s="296">
        <v>2750</v>
      </c>
      <c r="E18" s="296">
        <f>+D18-C18</f>
        <v>-182</v>
      </c>
      <c r="F18" s="316">
        <f>IF(C18=0,0,+E18/C18)</f>
        <v>-6.207366984993179E-2</v>
      </c>
    </row>
    <row r="19" spans="1:6" ht="15.75" customHeight="1" x14ac:dyDescent="0.25">
      <c r="A19" s="294"/>
      <c r="B19" s="135" t="s">
        <v>587</v>
      </c>
      <c r="C19" s="300">
        <f>SUM(C16:C18)</f>
        <v>3164</v>
      </c>
      <c r="D19" s="300">
        <f>SUM(D16:D18)</f>
        <v>3086</v>
      </c>
      <c r="E19" s="300">
        <f>+D19-C19</f>
        <v>-78</v>
      </c>
      <c r="F19" s="309">
        <f>IF(C19=0,0,+E19/C19)</f>
        <v>-2.4652338811630849E-2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588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589</v>
      </c>
      <c r="C22" s="296">
        <v>35461</v>
      </c>
      <c r="D22" s="296">
        <v>34887</v>
      </c>
      <c r="E22" s="296">
        <f>+D22-C22</f>
        <v>-574</v>
      </c>
      <c r="F22" s="316">
        <f>IF(C22=0,0,+E22/C22)</f>
        <v>-1.6186796762640648E-2</v>
      </c>
    </row>
    <row r="23" spans="1:6" ht="15.75" customHeight="1" x14ac:dyDescent="0.25">
      <c r="A23" s="294"/>
      <c r="B23" s="135" t="s">
        <v>590</v>
      </c>
      <c r="C23" s="300">
        <f>SUM(C21:C22)</f>
        <v>35461</v>
      </c>
      <c r="D23" s="300">
        <f>SUM(D21:D22)</f>
        <v>34887</v>
      </c>
      <c r="E23" s="300">
        <f>+D23-C23</f>
        <v>-574</v>
      </c>
      <c r="F23" s="309">
        <f>IF(C23=0,0,+E23/C23)</f>
        <v>-1.6186796762640648E-2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591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592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593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FILING&amp;RGREENWICH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594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595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596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597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598</v>
      </c>
      <c r="D7" s="341" t="s">
        <v>598</v>
      </c>
      <c r="E7" s="341" t="s">
        <v>599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600</v>
      </c>
      <c r="D8" s="344" t="s">
        <v>601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602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603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604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605</v>
      </c>
      <c r="C15" s="361">
        <v>191475529</v>
      </c>
      <c r="D15" s="361">
        <v>210495804</v>
      </c>
      <c r="E15" s="361">
        <f t="shared" ref="E15:E24" si="0">D15-C15</f>
        <v>19020275</v>
      </c>
      <c r="F15" s="362">
        <f t="shared" ref="F15:F24" si="1">IF(C15=0,0,E15/C15)</f>
        <v>9.9335278504440114E-2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606</v>
      </c>
      <c r="C16" s="361">
        <v>51163674</v>
      </c>
      <c r="D16" s="361">
        <v>52168576</v>
      </c>
      <c r="E16" s="361">
        <f t="shared" si="0"/>
        <v>1004902</v>
      </c>
      <c r="F16" s="362">
        <f t="shared" si="1"/>
        <v>1.9640927271954708E-2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607</v>
      </c>
      <c r="C17" s="366">
        <f>IF(C15=0,0,C16/C15)</f>
        <v>0.26720737771143593</v>
      </c>
      <c r="D17" s="366">
        <f>IF(LN_IA1=0,0,LN_IA2/LN_IA1)</f>
        <v>0.24783665521427686</v>
      </c>
      <c r="E17" s="367">
        <f t="shared" si="0"/>
        <v>-1.9370722497159071E-2</v>
      </c>
      <c r="F17" s="362">
        <f t="shared" si="1"/>
        <v>-7.2493217302098623E-2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5054</v>
      </c>
      <c r="D18" s="369">
        <v>5269</v>
      </c>
      <c r="E18" s="369">
        <f t="shared" si="0"/>
        <v>215</v>
      </c>
      <c r="F18" s="362">
        <f t="shared" si="1"/>
        <v>4.2540561931143646E-2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608</v>
      </c>
      <c r="C19" s="372">
        <v>1.4065000000000001</v>
      </c>
      <c r="D19" s="372">
        <v>1.4205000000000001</v>
      </c>
      <c r="E19" s="373">
        <f t="shared" si="0"/>
        <v>1.4000000000000012E-2</v>
      </c>
      <c r="F19" s="362">
        <f t="shared" si="1"/>
        <v>9.9537859936011455E-3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609</v>
      </c>
      <c r="C20" s="376">
        <f>C18*C19</f>
        <v>7108.451</v>
      </c>
      <c r="D20" s="376">
        <f>LN_IA4*LN_IA5</f>
        <v>7484.6145000000006</v>
      </c>
      <c r="E20" s="376">
        <f t="shared" si="0"/>
        <v>376.16350000000057</v>
      </c>
      <c r="F20" s="362">
        <f t="shared" si="1"/>
        <v>5.2917787574255006E-2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610</v>
      </c>
      <c r="C21" s="378">
        <f>IF(C20=0,0,C16/C20)</f>
        <v>7197.5841150202768</v>
      </c>
      <c r="D21" s="378">
        <f>IF(LN_IA6=0,0,LN_IA2/LN_IA6)</f>
        <v>6970.1086141443884</v>
      </c>
      <c r="E21" s="378">
        <f t="shared" si="0"/>
        <v>-227.47550087588843</v>
      </c>
      <c r="F21" s="362">
        <f t="shared" si="1"/>
        <v>-3.160442410130105E-2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24189</v>
      </c>
      <c r="D22" s="369">
        <v>25222</v>
      </c>
      <c r="E22" s="369">
        <f t="shared" si="0"/>
        <v>1033</v>
      </c>
      <c r="F22" s="362">
        <f t="shared" si="1"/>
        <v>4.2705361941378313E-2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611</v>
      </c>
      <c r="C23" s="378">
        <f>IF(C22=0,0,C16/C22)</f>
        <v>2115.1628426144116</v>
      </c>
      <c r="D23" s="378">
        <f>IF(LN_IA8=0,0,LN_IA2/LN_IA8)</f>
        <v>2068.3758623423996</v>
      </c>
      <c r="E23" s="378">
        <f t="shared" si="0"/>
        <v>-46.786980272011988</v>
      </c>
      <c r="F23" s="362">
        <f t="shared" si="1"/>
        <v>-2.2119800579600633E-2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612</v>
      </c>
      <c r="C24" s="379">
        <f>IF(C18=0,0,C22/C18)</f>
        <v>4.7861100118717843</v>
      </c>
      <c r="D24" s="379">
        <f>IF(LN_IA4=0,0,LN_IA8/LN_IA4)</f>
        <v>4.7868665780983113</v>
      </c>
      <c r="E24" s="379">
        <f t="shared" si="0"/>
        <v>7.5656622652697791E-4</v>
      </c>
      <c r="F24" s="362">
        <f t="shared" si="1"/>
        <v>1.5807539414061544E-4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613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614</v>
      </c>
      <c r="C27" s="361">
        <v>124687082</v>
      </c>
      <c r="D27" s="361">
        <v>130242934</v>
      </c>
      <c r="E27" s="361">
        <f t="shared" ref="E27:E32" si="2">D27-C27</f>
        <v>5555852</v>
      </c>
      <c r="F27" s="362">
        <f t="shared" ref="F27:F32" si="3">IF(C27=0,0,E27/C27)</f>
        <v>4.4558360905422423E-2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615</v>
      </c>
      <c r="C28" s="361">
        <v>23926080</v>
      </c>
      <c r="D28" s="361">
        <v>22736943</v>
      </c>
      <c r="E28" s="361">
        <f t="shared" si="2"/>
        <v>-1189137</v>
      </c>
      <c r="F28" s="362">
        <f t="shared" si="3"/>
        <v>-4.9700452393371584E-2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616</v>
      </c>
      <c r="C29" s="366">
        <f>IF(C27=0,0,C28/C27)</f>
        <v>0.19188900418729823</v>
      </c>
      <c r="D29" s="366">
        <f>IF(LN_IA11=0,0,LN_IA12/LN_IA11)</f>
        <v>0.17457333232373282</v>
      </c>
      <c r="E29" s="367">
        <f t="shared" si="2"/>
        <v>-1.7315671863565418E-2</v>
      </c>
      <c r="F29" s="362">
        <f t="shared" si="3"/>
        <v>-9.0237957807441677E-2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617</v>
      </c>
      <c r="C30" s="366">
        <f>IF(C15=0,0,C27/C15)</f>
        <v>0.6511906907957935</v>
      </c>
      <c r="D30" s="366">
        <f>IF(LN_IA1=0,0,LN_IA11/LN_IA1)</f>
        <v>0.61874361163037717</v>
      </c>
      <c r="E30" s="367">
        <f t="shared" si="2"/>
        <v>-3.2447079165416337E-2</v>
      </c>
      <c r="F30" s="362">
        <f t="shared" si="3"/>
        <v>-4.9827308074327795E-2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618</v>
      </c>
      <c r="C31" s="376">
        <f>C30*C18</f>
        <v>3291.1177512819404</v>
      </c>
      <c r="D31" s="376">
        <f>LN_IA14*LN_IA4</f>
        <v>3260.1600896804571</v>
      </c>
      <c r="E31" s="376">
        <f t="shared" si="2"/>
        <v>-30.957661601483323</v>
      </c>
      <c r="F31" s="362">
        <f t="shared" si="3"/>
        <v>-9.4064278281823389E-3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619</v>
      </c>
      <c r="C32" s="378">
        <f>IF(C31=0,0,C28/C31)</f>
        <v>7269.8948527990005</v>
      </c>
      <c r="D32" s="378">
        <f>IF(LN_IA15=0,0,LN_IA12/LN_IA15)</f>
        <v>6974.1799097444173</v>
      </c>
      <c r="E32" s="378">
        <f t="shared" si="2"/>
        <v>-295.71494305458327</v>
      </c>
      <c r="F32" s="362">
        <f t="shared" si="3"/>
        <v>-4.0676646504829342E-2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620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621</v>
      </c>
      <c r="C35" s="361">
        <f>C15+C27</f>
        <v>316162611</v>
      </c>
      <c r="D35" s="361">
        <f>LN_IA1+LN_IA11</f>
        <v>340738738</v>
      </c>
      <c r="E35" s="361">
        <f>D35-C35</f>
        <v>24576127</v>
      </c>
      <c r="F35" s="362">
        <f>IF(C35=0,0,E35/C35)</f>
        <v>7.7732553265129761E-2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622</v>
      </c>
      <c r="C36" s="361">
        <f>C16+C28</f>
        <v>75089754</v>
      </c>
      <c r="D36" s="361">
        <f>LN_IA2+LN_IA12</f>
        <v>74905519</v>
      </c>
      <c r="E36" s="361">
        <f>D36-C36</f>
        <v>-184235</v>
      </c>
      <c r="F36" s="362">
        <f>IF(C36=0,0,E36/C36)</f>
        <v>-2.4535304776734253E-3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623</v>
      </c>
      <c r="C37" s="361">
        <f>C35-C36</f>
        <v>241072857</v>
      </c>
      <c r="D37" s="361">
        <f>LN_IA17-LN_IA18</f>
        <v>265833219</v>
      </c>
      <c r="E37" s="361">
        <f>D37-C37</f>
        <v>24760362</v>
      </c>
      <c r="F37" s="362">
        <f>IF(C37=0,0,E37/C37)</f>
        <v>0.10270904119247236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624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625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605</v>
      </c>
      <c r="C42" s="361">
        <v>157553804</v>
      </c>
      <c r="D42" s="361">
        <v>178027564</v>
      </c>
      <c r="E42" s="361">
        <f t="shared" ref="E42:E53" si="4">D42-C42</f>
        <v>20473760</v>
      </c>
      <c r="F42" s="362">
        <f t="shared" ref="F42:F53" si="5">IF(C42=0,0,E42/C42)</f>
        <v>0.1299477351876569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606</v>
      </c>
      <c r="C43" s="361">
        <v>61548564</v>
      </c>
      <c r="D43" s="361">
        <v>69954026</v>
      </c>
      <c r="E43" s="361">
        <f t="shared" si="4"/>
        <v>8405462</v>
      </c>
      <c r="F43" s="362">
        <f t="shared" si="5"/>
        <v>0.13656633808710794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607</v>
      </c>
      <c r="C44" s="366">
        <f>IF(C42=0,0,C43/C42)</f>
        <v>0.39065108196308607</v>
      </c>
      <c r="D44" s="366">
        <f>IF(LN_IB1=0,0,LN_IB2/LN_IB1)</f>
        <v>0.39293929787187337</v>
      </c>
      <c r="E44" s="367">
        <f t="shared" si="4"/>
        <v>2.2882159087873055E-3</v>
      </c>
      <c r="F44" s="362">
        <f t="shared" si="5"/>
        <v>5.8574416261402461E-3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7298</v>
      </c>
      <c r="D45" s="369">
        <v>7582</v>
      </c>
      <c r="E45" s="369">
        <f t="shared" si="4"/>
        <v>284</v>
      </c>
      <c r="F45" s="362">
        <f t="shared" si="5"/>
        <v>3.8914771170183611E-2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608</v>
      </c>
      <c r="C46" s="372">
        <v>0.84550000000000003</v>
      </c>
      <c r="D46" s="372">
        <v>0.87150000000000005</v>
      </c>
      <c r="E46" s="373">
        <f t="shared" si="4"/>
        <v>2.6000000000000023E-2</v>
      </c>
      <c r="F46" s="362">
        <f t="shared" si="5"/>
        <v>3.0751034890597304E-2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609</v>
      </c>
      <c r="C47" s="376">
        <f>C45*C46</f>
        <v>6170.4589999999998</v>
      </c>
      <c r="D47" s="376">
        <f>LN_IB4*LN_IB5</f>
        <v>6607.7130000000006</v>
      </c>
      <c r="E47" s="376">
        <f t="shared" si="4"/>
        <v>437.25400000000081</v>
      </c>
      <c r="F47" s="362">
        <f t="shared" si="5"/>
        <v>7.0862475546794951E-2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610</v>
      </c>
      <c r="C48" s="378">
        <f>IF(C47=0,0,C43/C47)</f>
        <v>9974.7140366705298</v>
      </c>
      <c r="D48" s="378">
        <f>IF(LN_IB6=0,0,LN_IB2/LN_IB6)</f>
        <v>10586.722819226561</v>
      </c>
      <c r="E48" s="378">
        <f t="shared" si="4"/>
        <v>612.00878255603129</v>
      </c>
      <c r="F48" s="362">
        <f t="shared" si="5"/>
        <v>6.1356022870036518E-2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626</v>
      </c>
      <c r="C49" s="378">
        <f>C21-C48</f>
        <v>-2777.129921650253</v>
      </c>
      <c r="D49" s="378">
        <f>LN_IA7-LN_IB7</f>
        <v>-3616.6142050821727</v>
      </c>
      <c r="E49" s="378">
        <f t="shared" si="4"/>
        <v>-839.48428343191972</v>
      </c>
      <c r="F49" s="362">
        <f t="shared" si="5"/>
        <v>0.30228484338718775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627</v>
      </c>
      <c r="C50" s="391">
        <f>C49*C47</f>
        <v>-17136166.319216099</v>
      </c>
      <c r="D50" s="391">
        <f>LN_IB8*LN_IB6</f>
        <v>-23897548.698906142</v>
      </c>
      <c r="E50" s="391">
        <f t="shared" si="4"/>
        <v>-6761382.3796900436</v>
      </c>
      <c r="F50" s="362">
        <f t="shared" si="5"/>
        <v>0.39456797125667403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23847</v>
      </c>
      <c r="D51" s="369">
        <v>24620</v>
      </c>
      <c r="E51" s="369">
        <f t="shared" si="4"/>
        <v>773</v>
      </c>
      <c r="F51" s="362">
        <f t="shared" si="5"/>
        <v>3.2414978823332073E-2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611</v>
      </c>
      <c r="C52" s="378">
        <f>IF(C51=0,0,C43/C51)</f>
        <v>2580.9772298402313</v>
      </c>
      <c r="D52" s="378">
        <f>IF(LN_IB10=0,0,LN_IB2/LN_IB10)</f>
        <v>2841.3495532087732</v>
      </c>
      <c r="E52" s="378">
        <f t="shared" si="4"/>
        <v>260.37232336854186</v>
      </c>
      <c r="F52" s="362">
        <f t="shared" si="5"/>
        <v>0.10088129424708622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612</v>
      </c>
      <c r="C53" s="379">
        <f>IF(C45=0,0,C51/C45)</f>
        <v>3.2676075637160866</v>
      </c>
      <c r="D53" s="379">
        <f>IF(LN_IB4=0,0,LN_IB10/LN_IB4)</f>
        <v>3.2471643365866525</v>
      </c>
      <c r="E53" s="379">
        <f t="shared" si="4"/>
        <v>-2.0443227129434138E-2</v>
      </c>
      <c r="F53" s="362">
        <f t="shared" si="5"/>
        <v>-6.2563287453604368E-3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628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614</v>
      </c>
      <c r="C56" s="361">
        <v>324242786</v>
      </c>
      <c r="D56" s="361">
        <v>338694849</v>
      </c>
      <c r="E56" s="361">
        <f t="shared" ref="E56:E63" si="6">D56-C56</f>
        <v>14452063</v>
      </c>
      <c r="F56" s="362">
        <f t="shared" ref="F56:F63" si="7">IF(C56=0,0,E56/C56)</f>
        <v>4.457173335538759E-2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615</v>
      </c>
      <c r="C57" s="361">
        <v>122241013</v>
      </c>
      <c r="D57" s="361">
        <v>116973107</v>
      </c>
      <c r="E57" s="361">
        <f t="shared" si="6"/>
        <v>-5267906</v>
      </c>
      <c r="F57" s="362">
        <f t="shared" si="7"/>
        <v>-4.3094423636688937E-2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616</v>
      </c>
      <c r="C58" s="366">
        <f>IF(C56=0,0,C57/C56)</f>
        <v>0.37700457274013183</v>
      </c>
      <c r="D58" s="366">
        <f>IF(LN_IB13=0,0,LN_IB14/LN_IB13)</f>
        <v>0.34536429280033132</v>
      </c>
      <c r="E58" s="367">
        <f t="shared" si="6"/>
        <v>-3.1640279939800509E-2</v>
      </c>
      <c r="F58" s="362">
        <f t="shared" si="7"/>
        <v>-8.3925454033179761E-2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617</v>
      </c>
      <c r="C59" s="366">
        <f>IF(C42=0,0,C56/C42)</f>
        <v>2.0579813230025219</v>
      </c>
      <c r="D59" s="366">
        <f>IF(LN_IB1=0,0,LN_IB13/LN_IB1)</f>
        <v>1.9024854432092324</v>
      </c>
      <c r="E59" s="367">
        <f t="shared" si="6"/>
        <v>-0.15549587979328949</v>
      </c>
      <c r="F59" s="362">
        <f t="shared" si="7"/>
        <v>-7.5557478610362952E-2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618</v>
      </c>
      <c r="C60" s="376">
        <f>C59*C45</f>
        <v>15019.147695272404</v>
      </c>
      <c r="D60" s="376">
        <f>LN_IB16*LN_IB4</f>
        <v>14424.6446304124</v>
      </c>
      <c r="E60" s="376">
        <f t="shared" si="6"/>
        <v>-594.50306486000409</v>
      </c>
      <c r="F60" s="362">
        <f t="shared" si="7"/>
        <v>-3.9583009430497612E-2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619</v>
      </c>
      <c r="C61" s="378">
        <f>IF(C60=0,0,C57/C60)</f>
        <v>8139.011312770961</v>
      </c>
      <c r="D61" s="378">
        <f>IF(LN_IB17=0,0,LN_IB14/LN_IB17)</f>
        <v>8109.2539883705786</v>
      </c>
      <c r="E61" s="378">
        <f t="shared" si="6"/>
        <v>-29.757324400382458</v>
      </c>
      <c r="F61" s="362">
        <f t="shared" si="7"/>
        <v>-3.6561350337098193E-3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629</v>
      </c>
      <c r="C62" s="378">
        <f>C32-C61</f>
        <v>-869.11645997196047</v>
      </c>
      <c r="D62" s="378">
        <f>LN_IA16-LN_IB18</f>
        <v>-1135.0740786261613</v>
      </c>
      <c r="E62" s="378">
        <f t="shared" si="6"/>
        <v>-265.95761865420081</v>
      </c>
      <c r="F62" s="362">
        <f t="shared" si="7"/>
        <v>0.30600918392775711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630</v>
      </c>
      <c r="C63" s="361">
        <f>C62*C60</f>
        <v>-13053388.47671118</v>
      </c>
      <c r="D63" s="361">
        <f>LN_IB19*LN_IB17</f>
        <v>-16373040.21337516</v>
      </c>
      <c r="E63" s="361">
        <f t="shared" si="6"/>
        <v>-3319651.7366639804</v>
      </c>
      <c r="F63" s="362">
        <f t="shared" si="7"/>
        <v>0.25431341008402836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631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621</v>
      </c>
      <c r="C66" s="361">
        <f>C42+C56</f>
        <v>481796590</v>
      </c>
      <c r="D66" s="361">
        <f>LN_IB1+LN_IB13</f>
        <v>516722413</v>
      </c>
      <c r="E66" s="361">
        <f>D66-C66</f>
        <v>34925823</v>
      </c>
      <c r="F66" s="362">
        <f>IF(C66=0,0,E66/C66)</f>
        <v>7.2490805715333104E-2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622</v>
      </c>
      <c r="C67" s="361">
        <f>C43+C57</f>
        <v>183789577</v>
      </c>
      <c r="D67" s="361">
        <f>LN_IB2+LN_IB14</f>
        <v>186927133</v>
      </c>
      <c r="E67" s="361">
        <f>D67-C67</f>
        <v>3137556</v>
      </c>
      <c r="F67" s="362">
        <f>IF(C67=0,0,E67/C67)</f>
        <v>1.7071457757367819E-2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623</v>
      </c>
      <c r="C68" s="361">
        <f>C66-C67</f>
        <v>298007013</v>
      </c>
      <c r="D68" s="361">
        <f>LN_IB21-LN_IB22</f>
        <v>329795280</v>
      </c>
      <c r="E68" s="361">
        <f>D68-C68</f>
        <v>31788267</v>
      </c>
      <c r="F68" s="362">
        <f>IF(C68=0,0,E68/C68)</f>
        <v>0.10666952659936228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632</v>
      </c>
      <c r="C70" s="353">
        <f>C50+C63</f>
        <v>-30189554.795927279</v>
      </c>
      <c r="D70" s="353">
        <f>LN_IB9+LN_IB20</f>
        <v>-40270588.912281305</v>
      </c>
      <c r="E70" s="361">
        <f>D70-C70</f>
        <v>-10081034.116354026</v>
      </c>
      <c r="F70" s="362">
        <f>IF(C70=0,0,E70/C70)</f>
        <v>0.33392457041844181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633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634</v>
      </c>
      <c r="C73" s="400">
        <v>430930871</v>
      </c>
      <c r="D73" s="400">
        <v>464749003</v>
      </c>
      <c r="E73" s="400">
        <f>D73-C73</f>
        <v>33818132</v>
      </c>
      <c r="F73" s="401">
        <f>IF(C73=0,0,E73/C73)</f>
        <v>7.8476930468042522E-2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635</v>
      </c>
      <c r="C74" s="400">
        <v>175546118</v>
      </c>
      <c r="D74" s="400">
        <v>180919545</v>
      </c>
      <c r="E74" s="400">
        <f>D74-C74</f>
        <v>5373427</v>
      </c>
      <c r="F74" s="401">
        <f>IF(C74=0,0,E74/C74)</f>
        <v>3.0609774008218172E-2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636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637</v>
      </c>
      <c r="C76" s="353">
        <f>C73-C74</f>
        <v>255384753</v>
      </c>
      <c r="D76" s="353">
        <f>LN_IB32-LN_IB33</f>
        <v>283829458</v>
      </c>
      <c r="E76" s="400">
        <f>D76-C76</f>
        <v>28444705</v>
      </c>
      <c r="F76" s="401">
        <f>IF(C76=0,0,E76/C76)</f>
        <v>0.11137980895828969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638</v>
      </c>
      <c r="C77" s="366">
        <f>IF(C73=0,0,C76/C73)</f>
        <v>0.5926350841548319</v>
      </c>
      <c r="D77" s="366">
        <f>IF(LN_IB1=0,0,LN_IB34/LN_IB32)</f>
        <v>0.61071558232046386</v>
      </c>
      <c r="E77" s="405">
        <f>D77-C77</f>
        <v>1.8080498165631953E-2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639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640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605</v>
      </c>
      <c r="C83" s="361">
        <v>8103855</v>
      </c>
      <c r="D83" s="361">
        <v>8419911</v>
      </c>
      <c r="E83" s="361">
        <f t="shared" ref="E83:E95" si="8">D83-C83</f>
        <v>316056</v>
      </c>
      <c r="F83" s="362">
        <f t="shared" ref="F83:F95" si="9">IF(C83=0,0,E83/C83)</f>
        <v>3.9000697816039404E-2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606</v>
      </c>
      <c r="C84" s="361">
        <v>1073055</v>
      </c>
      <c r="D84" s="361">
        <v>885530</v>
      </c>
      <c r="E84" s="361">
        <f t="shared" si="8"/>
        <v>-187525</v>
      </c>
      <c r="F84" s="362">
        <f t="shared" si="9"/>
        <v>-0.17475805061250355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607</v>
      </c>
      <c r="C85" s="366">
        <f>IF(C83=0,0,C84/C83)</f>
        <v>0.13241290719046675</v>
      </c>
      <c r="D85" s="366">
        <f>IF(LN_IC1=0,0,LN_IC2/LN_IC1)</f>
        <v>0.10517094539360333</v>
      </c>
      <c r="E85" s="367">
        <f t="shared" si="8"/>
        <v>-2.7241961796863418E-2</v>
      </c>
      <c r="F85" s="362">
        <f t="shared" si="9"/>
        <v>-0.20573494212069335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296</v>
      </c>
      <c r="D86" s="369">
        <v>333</v>
      </c>
      <c r="E86" s="369">
        <f t="shared" si="8"/>
        <v>37</v>
      </c>
      <c r="F86" s="362">
        <f t="shared" si="9"/>
        <v>0.125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608</v>
      </c>
      <c r="C87" s="372">
        <v>0.91779999999999995</v>
      </c>
      <c r="D87" s="372">
        <v>0.99360000000000004</v>
      </c>
      <c r="E87" s="373">
        <f t="shared" si="8"/>
        <v>7.580000000000009E-2</v>
      </c>
      <c r="F87" s="362">
        <f t="shared" si="9"/>
        <v>8.2588799302680427E-2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609</v>
      </c>
      <c r="C88" s="376">
        <f>C86*C87</f>
        <v>271.66879999999998</v>
      </c>
      <c r="D88" s="376">
        <f>LN_IC4*LN_IC5</f>
        <v>330.86880000000002</v>
      </c>
      <c r="E88" s="376">
        <f t="shared" si="8"/>
        <v>59.200000000000045</v>
      </c>
      <c r="F88" s="362">
        <f t="shared" si="9"/>
        <v>0.21791239921551556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610</v>
      </c>
      <c r="C89" s="378">
        <f>IF(C88=0,0,C84/C88)</f>
        <v>3949.864688179136</v>
      </c>
      <c r="D89" s="378">
        <f>IF(LN_IC6=0,0,LN_IC2/LN_IC6)</f>
        <v>2676.3780688901461</v>
      </c>
      <c r="E89" s="378">
        <f t="shared" si="8"/>
        <v>-1273.4866192889899</v>
      </c>
      <c r="F89" s="362">
        <f t="shared" si="9"/>
        <v>-0.32241272039019131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641</v>
      </c>
      <c r="C90" s="378">
        <f>C48-C89</f>
        <v>6024.8493484913943</v>
      </c>
      <c r="D90" s="378">
        <f>LN_IB7-LN_IC7</f>
        <v>7910.344750336415</v>
      </c>
      <c r="E90" s="378">
        <f t="shared" si="8"/>
        <v>1885.4954018450208</v>
      </c>
      <c r="F90" s="362">
        <f t="shared" si="9"/>
        <v>0.31295312011696086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642</v>
      </c>
      <c r="C91" s="378">
        <f>C21-C89</f>
        <v>3247.7194268411408</v>
      </c>
      <c r="D91" s="378">
        <f>LN_IA7-LN_IC7</f>
        <v>4293.7305452542423</v>
      </c>
      <c r="E91" s="378">
        <f t="shared" si="8"/>
        <v>1046.0111184131015</v>
      </c>
      <c r="F91" s="362">
        <f t="shared" si="9"/>
        <v>0.32207558010344906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627</v>
      </c>
      <c r="C92" s="353">
        <f>C91*C88</f>
        <v>882304.03942662047</v>
      </c>
      <c r="D92" s="353">
        <f>LN_IC9*LN_IC6</f>
        <v>1420661.473031617</v>
      </c>
      <c r="E92" s="353">
        <f t="shared" si="8"/>
        <v>538357.43360499653</v>
      </c>
      <c r="F92" s="362">
        <f t="shared" si="9"/>
        <v>0.61017224170803619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1000</v>
      </c>
      <c r="D93" s="369">
        <v>1005</v>
      </c>
      <c r="E93" s="369">
        <f t="shared" si="8"/>
        <v>5</v>
      </c>
      <c r="F93" s="362">
        <f t="shared" si="9"/>
        <v>5.0000000000000001E-3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611</v>
      </c>
      <c r="C94" s="411">
        <f>IF(C93=0,0,C84/C93)</f>
        <v>1073.0550000000001</v>
      </c>
      <c r="D94" s="411">
        <f>IF(LN_IC11=0,0,LN_IC2/LN_IC11)</f>
        <v>881.12437810945278</v>
      </c>
      <c r="E94" s="411">
        <f t="shared" si="8"/>
        <v>-191.93062189054729</v>
      </c>
      <c r="F94" s="362">
        <f t="shared" si="9"/>
        <v>-0.17886373195273986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612</v>
      </c>
      <c r="C95" s="379">
        <f>IF(C86=0,0,C93/C86)</f>
        <v>3.3783783783783785</v>
      </c>
      <c r="D95" s="379">
        <f>IF(LN_IC4=0,0,LN_IC11/LN_IC4)</f>
        <v>3.0180180180180178</v>
      </c>
      <c r="E95" s="379">
        <f t="shared" si="8"/>
        <v>-0.36036036036036068</v>
      </c>
      <c r="F95" s="362">
        <f t="shared" si="9"/>
        <v>-0.10666666666666676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643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614</v>
      </c>
      <c r="C98" s="361">
        <v>25299716</v>
      </c>
      <c r="D98" s="361">
        <v>25712243</v>
      </c>
      <c r="E98" s="361">
        <f t="shared" ref="E98:E106" si="10">D98-C98</f>
        <v>412527</v>
      </c>
      <c r="F98" s="362">
        <f t="shared" ref="F98:F106" si="11">IF(C98=0,0,E98/C98)</f>
        <v>1.6305598054934686E-2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615</v>
      </c>
      <c r="C99" s="361">
        <v>3350009</v>
      </c>
      <c r="D99" s="361">
        <v>2704180</v>
      </c>
      <c r="E99" s="361">
        <f t="shared" si="10"/>
        <v>-645829</v>
      </c>
      <c r="F99" s="362">
        <f t="shared" si="11"/>
        <v>-0.19278425819154515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616</v>
      </c>
      <c r="C100" s="366">
        <f>IF(C98=0,0,C99/C98)</f>
        <v>0.13241290929906091</v>
      </c>
      <c r="D100" s="366">
        <f>IF(LN_IC14=0,0,LN_IC15/LN_IC14)</f>
        <v>0.10517091021580653</v>
      </c>
      <c r="E100" s="367">
        <f t="shared" si="10"/>
        <v>-2.7241999083254378E-2</v>
      </c>
      <c r="F100" s="362">
        <f t="shared" si="11"/>
        <v>-0.20573522043630216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617</v>
      </c>
      <c r="C101" s="366">
        <f>IF(C83=0,0,C98/C83)</f>
        <v>3.1219359181525337</v>
      </c>
      <c r="D101" s="366">
        <f>IF(LN_IC1=0,0,LN_IC14/LN_IC1)</f>
        <v>3.0537428483507725</v>
      </c>
      <c r="E101" s="367">
        <f t="shared" si="10"/>
        <v>-6.8193069801761208E-2</v>
      </c>
      <c r="F101" s="362">
        <f t="shared" si="11"/>
        <v>-2.1843199729133386E-2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618</v>
      </c>
      <c r="C102" s="376">
        <f>C101*C86</f>
        <v>924.09303177314996</v>
      </c>
      <c r="D102" s="376">
        <f>LN_IC17*LN_IC4</f>
        <v>1016.8963685008073</v>
      </c>
      <c r="E102" s="376">
        <f t="shared" si="10"/>
        <v>92.803336727657324</v>
      </c>
      <c r="F102" s="362">
        <f t="shared" si="11"/>
        <v>0.10042640030472501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619</v>
      </c>
      <c r="C103" s="378">
        <f>IF(C102=0,0,C99/C102)</f>
        <v>3625.185868539666</v>
      </c>
      <c r="D103" s="378">
        <f>IF(LN_IC18=0,0,LN_IC15/LN_IC18)</f>
        <v>2659.2483597780233</v>
      </c>
      <c r="E103" s="378">
        <f t="shared" si="10"/>
        <v>-965.93750876164268</v>
      </c>
      <c r="F103" s="362">
        <f t="shared" si="11"/>
        <v>-0.26645185758454681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644</v>
      </c>
      <c r="C104" s="378">
        <f>C61-C103</f>
        <v>4513.8254442312955</v>
      </c>
      <c r="D104" s="378">
        <f>LN_IB18-LN_IC19</f>
        <v>5450.0056285925548</v>
      </c>
      <c r="E104" s="378">
        <f t="shared" si="10"/>
        <v>936.18018436125931</v>
      </c>
      <c r="F104" s="362">
        <f t="shared" si="11"/>
        <v>0.20740283290256714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645</v>
      </c>
      <c r="C105" s="378">
        <f>C32-C103</f>
        <v>3644.7089842593346</v>
      </c>
      <c r="D105" s="378">
        <f>LN_IA16-LN_IC19</f>
        <v>4314.9315499663935</v>
      </c>
      <c r="E105" s="378">
        <f t="shared" si="10"/>
        <v>670.22256570705895</v>
      </c>
      <c r="F105" s="362">
        <f t="shared" si="11"/>
        <v>0.18388918528244563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630</v>
      </c>
      <c r="C106" s="361">
        <f>C105*C102</f>
        <v>3368050.1751950462</v>
      </c>
      <c r="D106" s="361">
        <f>LN_IC21*LN_IC18</f>
        <v>4387838.2234903853</v>
      </c>
      <c r="E106" s="361">
        <f t="shared" si="10"/>
        <v>1019788.0482953391</v>
      </c>
      <c r="F106" s="362">
        <f t="shared" si="11"/>
        <v>0.30278291452005535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646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621</v>
      </c>
      <c r="C109" s="361">
        <f>C83+C98</f>
        <v>33403571</v>
      </c>
      <c r="D109" s="361">
        <f>LN_IC1+LN_IC14</f>
        <v>34132154</v>
      </c>
      <c r="E109" s="361">
        <f>D109-C109</f>
        <v>728583</v>
      </c>
      <c r="F109" s="362">
        <f>IF(C109=0,0,E109/C109)</f>
        <v>2.1811530270221709E-2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622</v>
      </c>
      <c r="C110" s="361">
        <f>C84+C99</f>
        <v>4423064</v>
      </c>
      <c r="D110" s="361">
        <f>LN_IC2+LN_IC15</f>
        <v>3589710</v>
      </c>
      <c r="E110" s="361">
        <f>D110-C110</f>
        <v>-833354</v>
      </c>
      <c r="F110" s="362">
        <f>IF(C110=0,0,E110/C110)</f>
        <v>-0.18841102005306729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623</v>
      </c>
      <c r="C111" s="361">
        <f>C109-C110</f>
        <v>28980507</v>
      </c>
      <c r="D111" s="361">
        <f>LN_IC23-LN_IC24</f>
        <v>30542444</v>
      </c>
      <c r="E111" s="361">
        <f>D111-C111</f>
        <v>1561937</v>
      </c>
      <c r="F111" s="362">
        <f>IF(C111=0,0,E111/C111)</f>
        <v>5.3896124039513868E-2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632</v>
      </c>
      <c r="C113" s="361">
        <f>C92+C106</f>
        <v>4250354.2146216668</v>
      </c>
      <c r="D113" s="361">
        <f>LN_IC10+LN_IC22</f>
        <v>5808499.6965220021</v>
      </c>
      <c r="E113" s="361">
        <f>D113-C113</f>
        <v>1558145.4819003353</v>
      </c>
      <c r="F113" s="362">
        <f>IF(C113=0,0,E113/C113)</f>
        <v>0.36659191286696774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647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648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605</v>
      </c>
      <c r="C118" s="361">
        <v>5974353</v>
      </c>
      <c r="D118" s="361">
        <v>9106454</v>
      </c>
      <c r="E118" s="361">
        <f t="shared" ref="E118:E130" si="12">D118-C118</f>
        <v>3132101</v>
      </c>
      <c r="F118" s="362">
        <f t="shared" ref="F118:F130" si="13">IF(C118=0,0,E118/C118)</f>
        <v>0.52425777318481181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606</v>
      </c>
      <c r="C119" s="361">
        <v>2076453</v>
      </c>
      <c r="D119" s="361">
        <v>2077009</v>
      </c>
      <c r="E119" s="361">
        <f t="shared" si="12"/>
        <v>556</v>
      </c>
      <c r="F119" s="362">
        <f t="shared" si="13"/>
        <v>2.6776430769201133E-4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607</v>
      </c>
      <c r="C120" s="366">
        <f>IF(C118=0,0,C119/C118)</f>
        <v>0.34756115013625744</v>
      </c>
      <c r="D120" s="366">
        <f>IF(LN_ID1=0,0,LN_1D2/LN_ID1)</f>
        <v>0.22808098520016681</v>
      </c>
      <c r="E120" s="367">
        <f t="shared" si="12"/>
        <v>-0.11948016493609062</v>
      </c>
      <c r="F120" s="362">
        <f t="shared" si="13"/>
        <v>-0.34376731947529166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327</v>
      </c>
      <c r="D121" s="369">
        <v>517</v>
      </c>
      <c r="E121" s="369">
        <f t="shared" si="12"/>
        <v>190</v>
      </c>
      <c r="F121" s="362">
        <f t="shared" si="13"/>
        <v>0.58103975535168195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608</v>
      </c>
      <c r="C122" s="372">
        <v>1.1254</v>
      </c>
      <c r="D122" s="372">
        <v>0.87909999999999999</v>
      </c>
      <c r="E122" s="373">
        <f t="shared" si="12"/>
        <v>-0.24629999999999996</v>
      </c>
      <c r="F122" s="362">
        <f t="shared" si="13"/>
        <v>-0.21885551803803091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609</v>
      </c>
      <c r="C123" s="376">
        <f>C121*C122</f>
        <v>368.00579999999997</v>
      </c>
      <c r="D123" s="376">
        <f>LN_ID4*LN_ID5</f>
        <v>454.49470000000002</v>
      </c>
      <c r="E123" s="376">
        <f t="shared" si="12"/>
        <v>86.488900000000058</v>
      </c>
      <c r="F123" s="362">
        <f t="shared" si="13"/>
        <v>0.2350204806554681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610</v>
      </c>
      <c r="C124" s="378">
        <f>IF(C123=0,0,C119/C123)</f>
        <v>5642.4463962252776</v>
      </c>
      <c r="D124" s="378">
        <f>IF(LN_ID6=0,0,LN_1D2/LN_ID6)</f>
        <v>4569.9300783925528</v>
      </c>
      <c r="E124" s="378">
        <f t="shared" si="12"/>
        <v>-1072.5163178327248</v>
      </c>
      <c r="F124" s="362">
        <f t="shared" si="13"/>
        <v>-0.19008001893473442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649</v>
      </c>
      <c r="C125" s="378">
        <f>C48-C124</f>
        <v>4332.2676404452523</v>
      </c>
      <c r="D125" s="378">
        <f>LN_IB7-LN_ID7</f>
        <v>6016.7927408340083</v>
      </c>
      <c r="E125" s="378">
        <f t="shared" si="12"/>
        <v>1684.5251003887561</v>
      </c>
      <c r="F125" s="362">
        <f t="shared" si="13"/>
        <v>0.38883218678881704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650</v>
      </c>
      <c r="C126" s="378">
        <f>C21-C124</f>
        <v>1555.1377187949993</v>
      </c>
      <c r="D126" s="378">
        <f>LN_IA7-LN_ID7</f>
        <v>2400.1785357518356</v>
      </c>
      <c r="E126" s="378">
        <f t="shared" si="12"/>
        <v>845.04081695683635</v>
      </c>
      <c r="F126" s="362">
        <f t="shared" si="13"/>
        <v>0.54338648387463551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627</v>
      </c>
      <c r="C127" s="391">
        <f>C126*C123</f>
        <v>572299.70031532866</v>
      </c>
      <c r="D127" s="391">
        <f>LN_ID9*LN_ID6</f>
        <v>1090868.4235529699</v>
      </c>
      <c r="E127" s="391">
        <f t="shared" si="12"/>
        <v>518568.72323764127</v>
      </c>
      <c r="F127" s="362">
        <f t="shared" si="13"/>
        <v>0.90611391715200551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1099</v>
      </c>
      <c r="D128" s="369">
        <v>1809</v>
      </c>
      <c r="E128" s="369">
        <f t="shared" si="12"/>
        <v>710</v>
      </c>
      <c r="F128" s="362">
        <f t="shared" si="13"/>
        <v>0.64604185623293908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611</v>
      </c>
      <c r="C129" s="378">
        <f>IF(C128=0,0,C119/C128)</f>
        <v>1889.4021838034578</v>
      </c>
      <c r="D129" s="378">
        <f>IF(LN_ID11=0,0,LN_1D2/LN_ID11)</f>
        <v>1148.1531232725263</v>
      </c>
      <c r="E129" s="378">
        <f t="shared" si="12"/>
        <v>-741.2490605309315</v>
      </c>
      <c r="F129" s="362">
        <f t="shared" si="13"/>
        <v>-0.39231936264557576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612</v>
      </c>
      <c r="C130" s="379">
        <f>IF(C121=0,0,C128/C121)</f>
        <v>3.3608562691131501</v>
      </c>
      <c r="D130" s="379">
        <f>IF(LN_ID4=0,0,LN_ID11/LN_ID4)</f>
        <v>3.4990328820116052</v>
      </c>
      <c r="E130" s="379">
        <f t="shared" si="12"/>
        <v>0.13817661289845518</v>
      </c>
      <c r="F130" s="362">
        <f t="shared" si="13"/>
        <v>4.1113514483889751E-2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651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614</v>
      </c>
      <c r="C133" s="361">
        <v>11023229</v>
      </c>
      <c r="D133" s="361">
        <v>14846248</v>
      </c>
      <c r="E133" s="361">
        <f t="shared" ref="E133:E141" si="14">D133-C133</f>
        <v>3823019</v>
      </c>
      <c r="F133" s="362">
        <f t="shared" ref="F133:F141" si="15">IF(C133=0,0,E133/C133)</f>
        <v>0.34681480353896305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615</v>
      </c>
      <c r="C134" s="361">
        <v>2419393</v>
      </c>
      <c r="D134" s="361">
        <v>2263307</v>
      </c>
      <c r="E134" s="361">
        <f t="shared" si="14"/>
        <v>-156086</v>
      </c>
      <c r="F134" s="362">
        <f t="shared" si="15"/>
        <v>-6.4514529057494996E-2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616</v>
      </c>
      <c r="C135" s="366">
        <f>IF(C133=0,0,C134/C133)</f>
        <v>0.21948133346408752</v>
      </c>
      <c r="D135" s="366">
        <f>IF(LN_ID14=0,0,LN_ID15/LN_ID14)</f>
        <v>0.15244976373828592</v>
      </c>
      <c r="E135" s="367">
        <f t="shared" si="14"/>
        <v>-6.7031569725801599E-2</v>
      </c>
      <c r="F135" s="362">
        <f t="shared" si="15"/>
        <v>-0.3054089779200726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617</v>
      </c>
      <c r="C136" s="366">
        <f>IF(C118=0,0,C133/C118)</f>
        <v>1.8450916777097035</v>
      </c>
      <c r="D136" s="366">
        <f>IF(LN_ID1=0,0,LN_ID14/LN_ID1)</f>
        <v>1.6302995655608647</v>
      </c>
      <c r="E136" s="367">
        <f t="shared" si="14"/>
        <v>-0.21479211214883875</v>
      </c>
      <c r="F136" s="362">
        <f t="shared" si="15"/>
        <v>-0.11641270444374795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618</v>
      </c>
      <c r="C137" s="376">
        <f>C136*C121</f>
        <v>603.34497861107309</v>
      </c>
      <c r="D137" s="376">
        <f>LN_ID17*LN_ID4</f>
        <v>842.86487539496704</v>
      </c>
      <c r="E137" s="376">
        <f t="shared" si="14"/>
        <v>239.51989678389396</v>
      </c>
      <c r="F137" s="362">
        <f t="shared" si="15"/>
        <v>0.39698664159811087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619</v>
      </c>
      <c r="C138" s="378">
        <f>IF(C137=0,0,C134/C137)</f>
        <v>4009.966247783399</v>
      </c>
      <c r="D138" s="378">
        <f>IF(LN_ID18=0,0,LN_ID15/LN_ID18)</f>
        <v>2685.2548564672516</v>
      </c>
      <c r="E138" s="378">
        <f t="shared" si="14"/>
        <v>-1324.7113913161475</v>
      </c>
      <c r="F138" s="362">
        <f t="shared" si="15"/>
        <v>-0.33035474850902102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652</v>
      </c>
      <c r="C139" s="378">
        <f>C61-C138</f>
        <v>4129.045064987562</v>
      </c>
      <c r="D139" s="378">
        <f>LN_IB18-LN_ID19</f>
        <v>5423.999131903327</v>
      </c>
      <c r="E139" s="378">
        <f t="shared" si="14"/>
        <v>1294.954066915765</v>
      </c>
      <c r="F139" s="362">
        <f t="shared" si="15"/>
        <v>0.31362071533110425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653</v>
      </c>
      <c r="C140" s="378">
        <f>C32-C138</f>
        <v>3259.9286050156015</v>
      </c>
      <c r="D140" s="378">
        <f>LN_IA16-LN_ID19</f>
        <v>4288.9250532771657</v>
      </c>
      <c r="E140" s="378">
        <f t="shared" si="14"/>
        <v>1028.9964482615642</v>
      </c>
      <c r="F140" s="362">
        <f t="shared" si="15"/>
        <v>0.31564999511903102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630</v>
      </c>
      <c r="C141" s="353">
        <f>C140*C137</f>
        <v>1966861.5544667635</v>
      </c>
      <c r="D141" s="353">
        <f>LN_ID21*LN_ID18</f>
        <v>3614984.2806088105</v>
      </c>
      <c r="E141" s="353">
        <f t="shared" si="14"/>
        <v>1648122.726142047</v>
      </c>
      <c r="F141" s="362">
        <f t="shared" si="15"/>
        <v>0.83794546819990601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654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621</v>
      </c>
      <c r="C144" s="361">
        <f>C118+C133</f>
        <v>16997582</v>
      </c>
      <c r="D144" s="361">
        <f>LN_ID1+LN_ID14</f>
        <v>23952702</v>
      </c>
      <c r="E144" s="361">
        <f>D144-C144</f>
        <v>6955120</v>
      </c>
      <c r="F144" s="362">
        <f>IF(C144=0,0,E144/C144)</f>
        <v>0.40918290613335473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622</v>
      </c>
      <c r="C145" s="361">
        <f>C119+C134</f>
        <v>4495846</v>
      </c>
      <c r="D145" s="361">
        <f>LN_1D2+LN_ID15</f>
        <v>4340316</v>
      </c>
      <c r="E145" s="361">
        <f>D145-C145</f>
        <v>-155530</v>
      </c>
      <c r="F145" s="362">
        <f>IF(C145=0,0,E145/C145)</f>
        <v>-3.4594156472441448E-2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623</v>
      </c>
      <c r="C146" s="361">
        <f>C144-C145</f>
        <v>12501736</v>
      </c>
      <c r="D146" s="361">
        <f>LN_ID23-LN_ID24</f>
        <v>19612386</v>
      </c>
      <c r="E146" s="361">
        <f>D146-C146</f>
        <v>7110650</v>
      </c>
      <c r="F146" s="362">
        <f>IF(C146=0,0,E146/C146)</f>
        <v>0.56877300880453718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632</v>
      </c>
      <c r="C148" s="361">
        <f>C127+C141</f>
        <v>2539161.2547820923</v>
      </c>
      <c r="D148" s="361">
        <f>LN_ID10+LN_ID22</f>
        <v>4705852.70416178</v>
      </c>
      <c r="E148" s="361">
        <f>D148-C148</f>
        <v>2166691.4493796877</v>
      </c>
      <c r="F148" s="415">
        <f>IF(C148=0,0,E148/C148)</f>
        <v>0.85330990511102078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655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656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605</v>
      </c>
      <c r="C153" s="361">
        <v>7264530</v>
      </c>
      <c r="D153" s="361">
        <v>10964069</v>
      </c>
      <c r="E153" s="361">
        <f t="shared" ref="E153:E165" si="16">D153-C153</f>
        <v>3699539</v>
      </c>
      <c r="F153" s="362">
        <f t="shared" ref="F153:F165" si="17">IF(C153=0,0,E153/C153)</f>
        <v>0.50926061286827917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606</v>
      </c>
      <c r="C154" s="361">
        <v>1654604</v>
      </c>
      <c r="D154" s="361">
        <v>3391927</v>
      </c>
      <c r="E154" s="361">
        <f t="shared" si="16"/>
        <v>1737323</v>
      </c>
      <c r="F154" s="362">
        <f t="shared" si="17"/>
        <v>1.049993231008749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607</v>
      </c>
      <c r="C155" s="366">
        <f>IF(C153=0,0,C154/C153)</f>
        <v>0.22776476936567128</v>
      </c>
      <c r="D155" s="366">
        <f>IF(LN_IE1=0,0,LN_IE2/LN_IE1)</f>
        <v>0.30936753499088704</v>
      </c>
      <c r="E155" s="367">
        <f t="shared" si="16"/>
        <v>8.1602765625215762E-2</v>
      </c>
      <c r="F155" s="362">
        <f t="shared" si="17"/>
        <v>0.35827650541600808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246</v>
      </c>
      <c r="D156" s="419">
        <v>253</v>
      </c>
      <c r="E156" s="419">
        <f t="shared" si="16"/>
        <v>7</v>
      </c>
      <c r="F156" s="362">
        <f t="shared" si="17"/>
        <v>2.8455284552845527E-2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608</v>
      </c>
      <c r="C157" s="372">
        <v>0.96760000000000002</v>
      </c>
      <c r="D157" s="372">
        <v>1.0145999999999999</v>
      </c>
      <c r="E157" s="373">
        <f t="shared" si="16"/>
        <v>4.6999999999999931E-2</v>
      </c>
      <c r="F157" s="362">
        <f t="shared" si="17"/>
        <v>4.8573790822653916E-2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609</v>
      </c>
      <c r="C158" s="376">
        <f>C156*C157</f>
        <v>238.02960000000002</v>
      </c>
      <c r="D158" s="376">
        <f>LN_IE4*LN_IE5</f>
        <v>256.69380000000001</v>
      </c>
      <c r="E158" s="376">
        <f t="shared" si="16"/>
        <v>18.664199999999994</v>
      </c>
      <c r="F158" s="362">
        <f t="shared" si="17"/>
        <v>7.8411256415168509E-2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610</v>
      </c>
      <c r="C159" s="378">
        <f>IF(C158=0,0,C154/C158)</f>
        <v>6951.2531214605242</v>
      </c>
      <c r="D159" s="378">
        <f>IF(LN_IE6=0,0,LN_IE2/LN_IE6)</f>
        <v>13213.903101672109</v>
      </c>
      <c r="E159" s="378">
        <f t="shared" si="16"/>
        <v>6262.649980211585</v>
      </c>
      <c r="F159" s="362">
        <f t="shared" si="17"/>
        <v>0.9009382726802132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657</v>
      </c>
      <c r="C160" s="378">
        <f>C48-C159</f>
        <v>3023.4609152100056</v>
      </c>
      <c r="D160" s="378">
        <f>LN_IB7-LN_IE7</f>
        <v>-2627.1802824455481</v>
      </c>
      <c r="E160" s="378">
        <f t="shared" si="16"/>
        <v>-5650.6411976555537</v>
      </c>
      <c r="F160" s="362">
        <f t="shared" si="17"/>
        <v>-1.8689314517773641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658</v>
      </c>
      <c r="C161" s="378">
        <f>C21-C159</f>
        <v>246.33099355975264</v>
      </c>
      <c r="D161" s="378">
        <f>LN_IA7-LN_IE7</f>
        <v>-6243.7944875277208</v>
      </c>
      <c r="E161" s="378">
        <f t="shared" si="16"/>
        <v>-6490.1254810874734</v>
      </c>
      <c r="F161" s="362">
        <f t="shared" si="17"/>
        <v>-26.347173724662301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627</v>
      </c>
      <c r="C162" s="391">
        <f>C161*C158</f>
        <v>58634.067864630502</v>
      </c>
      <c r="D162" s="391">
        <f>LN_IE9*LN_IE6</f>
        <v>-1602743.3334225432</v>
      </c>
      <c r="E162" s="391">
        <f t="shared" si="16"/>
        <v>-1661377.4012871739</v>
      </c>
      <c r="F162" s="362">
        <f t="shared" si="17"/>
        <v>-28.334677462986619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987</v>
      </c>
      <c r="D163" s="369">
        <v>1389</v>
      </c>
      <c r="E163" s="419">
        <f t="shared" si="16"/>
        <v>402</v>
      </c>
      <c r="F163" s="362">
        <f t="shared" si="17"/>
        <v>0.40729483282674772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611</v>
      </c>
      <c r="C164" s="378">
        <f>IF(C163=0,0,C154/C163)</f>
        <v>1676.3971631205675</v>
      </c>
      <c r="D164" s="378">
        <f>IF(LN_IE11=0,0,LN_IE2/LN_IE11)</f>
        <v>2441.9920806335494</v>
      </c>
      <c r="E164" s="378">
        <f t="shared" si="16"/>
        <v>765.59491751298197</v>
      </c>
      <c r="F164" s="362">
        <f t="shared" si="17"/>
        <v>0.45669065443170276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612</v>
      </c>
      <c r="C165" s="379">
        <f>IF(C156=0,0,C163/C156)</f>
        <v>4.0121951219512191</v>
      </c>
      <c r="D165" s="379">
        <f>IF(LN_IE4=0,0,LN_IE11/LN_IE4)</f>
        <v>5.4901185770750986</v>
      </c>
      <c r="E165" s="379">
        <f t="shared" si="16"/>
        <v>1.4779234551238796</v>
      </c>
      <c r="F165" s="362">
        <f t="shared" si="17"/>
        <v>0.36835782164181807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659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614</v>
      </c>
      <c r="C168" s="424">
        <v>7015929</v>
      </c>
      <c r="D168" s="424">
        <v>7823230</v>
      </c>
      <c r="E168" s="424">
        <f t="shared" ref="E168:E176" si="18">D168-C168</f>
        <v>807301</v>
      </c>
      <c r="F168" s="362">
        <f t="shared" ref="F168:F176" si="19">IF(C168=0,0,E168/C168)</f>
        <v>0.11506687140077956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615</v>
      </c>
      <c r="C169" s="424">
        <v>670539</v>
      </c>
      <c r="D169" s="424">
        <v>799160</v>
      </c>
      <c r="E169" s="424">
        <f t="shared" si="18"/>
        <v>128621</v>
      </c>
      <c r="F169" s="362">
        <f t="shared" si="19"/>
        <v>0.1918173290442465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616</v>
      </c>
      <c r="C170" s="366">
        <f>IF(C168=0,0,C169/C168)</f>
        <v>9.5573800704083528E-2</v>
      </c>
      <c r="D170" s="366">
        <f>IF(LN_IE14=0,0,LN_IE15/LN_IE14)</f>
        <v>0.10215218010975007</v>
      </c>
      <c r="E170" s="367">
        <f t="shared" si="18"/>
        <v>6.5783794056665373E-3</v>
      </c>
      <c r="F170" s="362">
        <f t="shared" si="19"/>
        <v>6.8830363103739856E-2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617</v>
      </c>
      <c r="C171" s="366">
        <f>IF(C153=0,0,C168/C153)</f>
        <v>0.96577879091971541</v>
      </c>
      <c r="D171" s="366">
        <f>IF(LN_IE1=0,0,LN_IE14/LN_IE1)</f>
        <v>0.71353345185988892</v>
      </c>
      <c r="E171" s="367">
        <f t="shared" si="18"/>
        <v>-0.25224533905982649</v>
      </c>
      <c r="F171" s="362">
        <f t="shared" si="19"/>
        <v>-0.26118334905616652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618</v>
      </c>
      <c r="C172" s="376">
        <f>C171*C156</f>
        <v>237.58158256624998</v>
      </c>
      <c r="D172" s="376">
        <f>LN_IE17*LN_IE4</f>
        <v>180.5239633205519</v>
      </c>
      <c r="E172" s="376">
        <f t="shared" si="18"/>
        <v>-57.057619245698078</v>
      </c>
      <c r="F172" s="362">
        <f t="shared" si="19"/>
        <v>-0.24016011102117932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619</v>
      </c>
      <c r="C173" s="378">
        <f>IF(C172=0,0,C169/C172)</f>
        <v>2822.3526114993329</v>
      </c>
      <c r="D173" s="378">
        <f>IF(LN_IE18=0,0,LN_IE15/LN_IE18)</f>
        <v>4426.891506813151</v>
      </c>
      <c r="E173" s="378">
        <f t="shared" si="18"/>
        <v>1604.5388953138181</v>
      </c>
      <c r="F173" s="362">
        <f t="shared" si="19"/>
        <v>0.5685111381109218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660</v>
      </c>
      <c r="C174" s="378">
        <f>C61-C173</f>
        <v>5316.6587012716282</v>
      </c>
      <c r="D174" s="378">
        <f>LN_IB18-LN_IE19</f>
        <v>3682.3624815574276</v>
      </c>
      <c r="E174" s="378">
        <f t="shared" si="18"/>
        <v>-1634.2962197142006</v>
      </c>
      <c r="F174" s="362">
        <f t="shared" si="19"/>
        <v>-0.30739159903631069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661</v>
      </c>
      <c r="C175" s="378">
        <f>C32-C173</f>
        <v>4447.5422412996677</v>
      </c>
      <c r="D175" s="378">
        <f>LN_IA16-LN_IE19</f>
        <v>2547.2884029312663</v>
      </c>
      <c r="E175" s="378">
        <f t="shared" si="18"/>
        <v>-1900.2538383684014</v>
      </c>
      <c r="F175" s="362">
        <f t="shared" si="19"/>
        <v>-0.42725931205840695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630</v>
      </c>
      <c r="C176" s="353">
        <f>C175*C172</f>
        <v>1056654.1242182215</v>
      </c>
      <c r="D176" s="353">
        <f>LN_IE21*LN_IE18</f>
        <v>459846.59821763117</v>
      </c>
      <c r="E176" s="353">
        <f t="shared" si="18"/>
        <v>-596807.5260005903</v>
      </c>
      <c r="F176" s="362">
        <f t="shared" si="19"/>
        <v>-0.56480877926080653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662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621</v>
      </c>
      <c r="C179" s="361">
        <f>C153+C168</f>
        <v>14280459</v>
      </c>
      <c r="D179" s="361">
        <f>LN_IE1+LN_IE14</f>
        <v>18787299</v>
      </c>
      <c r="E179" s="361">
        <f>D179-C179</f>
        <v>4506840</v>
      </c>
      <c r="F179" s="362">
        <f>IF(C179=0,0,E179/C179)</f>
        <v>0.31559489789508866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622</v>
      </c>
      <c r="C180" s="361">
        <f>C154+C169</f>
        <v>2325143</v>
      </c>
      <c r="D180" s="361">
        <f>LN_IE15+LN_IE2</f>
        <v>4191087</v>
      </c>
      <c r="E180" s="361">
        <f>D180-C180</f>
        <v>1865944</v>
      </c>
      <c r="F180" s="362">
        <f>IF(C180=0,0,E180/C180)</f>
        <v>0.80250720063239123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623</v>
      </c>
      <c r="C181" s="361">
        <f>C179-C180</f>
        <v>11955316</v>
      </c>
      <c r="D181" s="361">
        <f>LN_IE23-LN_IE24</f>
        <v>14596212</v>
      </c>
      <c r="E181" s="361">
        <f>D181-C181</f>
        <v>2640896</v>
      </c>
      <c r="F181" s="362">
        <f>IF(C181=0,0,E181/C181)</f>
        <v>0.22089721426016679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663</v>
      </c>
      <c r="C183" s="361">
        <f>C162+C176</f>
        <v>1115288.1920828521</v>
      </c>
      <c r="D183" s="361">
        <f>LN_IE10+LN_IE22</f>
        <v>-1142896.735204912</v>
      </c>
      <c r="E183" s="353">
        <f>D183-C183</f>
        <v>-2258184.9272877639</v>
      </c>
      <c r="F183" s="362">
        <f>IF(C183=0,0,E183/C183)</f>
        <v>-2.0247546269368275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664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665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605</v>
      </c>
      <c r="C188" s="361">
        <f>C118+C153</f>
        <v>13238883</v>
      </c>
      <c r="D188" s="361">
        <f>LN_ID1+LN_IE1</f>
        <v>20070523</v>
      </c>
      <c r="E188" s="361">
        <f t="shared" ref="E188:E200" si="20">D188-C188</f>
        <v>6831640</v>
      </c>
      <c r="F188" s="362">
        <f t="shared" ref="F188:F200" si="21">IF(C188=0,0,E188/C188)</f>
        <v>0.51602842928667014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606</v>
      </c>
      <c r="C189" s="361">
        <f>C119+C154</f>
        <v>3731057</v>
      </c>
      <c r="D189" s="361">
        <f>LN_1D2+LN_IE2</f>
        <v>5468936</v>
      </c>
      <c r="E189" s="361">
        <f t="shared" si="20"/>
        <v>1737879</v>
      </c>
      <c r="F189" s="362">
        <f t="shared" si="21"/>
        <v>0.46578730906550075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607</v>
      </c>
      <c r="C190" s="366">
        <f>IF(C188=0,0,C189/C188)</f>
        <v>0.28182566459723224</v>
      </c>
      <c r="D190" s="366">
        <f>IF(LN_IF1=0,0,LN_IF2/LN_IF1)</f>
        <v>0.27248597358424592</v>
      </c>
      <c r="E190" s="367">
        <f t="shared" si="20"/>
        <v>-9.3396910129863175E-3</v>
      </c>
      <c r="F190" s="362">
        <f t="shared" si="21"/>
        <v>-3.3139959152882772E-2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573</v>
      </c>
      <c r="D191" s="369">
        <f>LN_ID4+LN_IE4</f>
        <v>770</v>
      </c>
      <c r="E191" s="369">
        <f t="shared" si="20"/>
        <v>197</v>
      </c>
      <c r="F191" s="362">
        <f t="shared" si="21"/>
        <v>0.343804537521815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608</v>
      </c>
      <c r="C192" s="372">
        <f>IF((C121+C156)=0,0,(C123+C158)/(C121+C156))</f>
        <v>1.0576534031413611</v>
      </c>
      <c r="D192" s="372">
        <f>IF((LN_ID4+LN_IE4)=0,0,(LN_ID6+LN_IE6)/(LN_ID4+LN_IE4))</f>
        <v>0.92362142857142859</v>
      </c>
      <c r="E192" s="373">
        <f t="shared" si="20"/>
        <v>-0.13403197456993254</v>
      </c>
      <c r="F192" s="362">
        <f t="shared" si="21"/>
        <v>-0.12672580088320148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609</v>
      </c>
      <c r="C193" s="376">
        <f>C123+C158</f>
        <v>606.03539999999998</v>
      </c>
      <c r="D193" s="376">
        <f>LN_IF4*LN_IF5</f>
        <v>711.18849999999998</v>
      </c>
      <c r="E193" s="376">
        <f t="shared" si="20"/>
        <v>105.15309999999999</v>
      </c>
      <c r="F193" s="362">
        <f t="shared" si="21"/>
        <v>0.17350983127388267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610</v>
      </c>
      <c r="C194" s="378">
        <f>IF(C193=0,0,C189/C193)</f>
        <v>6156.5000988391112</v>
      </c>
      <c r="D194" s="378">
        <f>IF(LN_IF6=0,0,LN_IF2/LN_IF6)</f>
        <v>7689.8543775665667</v>
      </c>
      <c r="E194" s="378">
        <f t="shared" si="20"/>
        <v>1533.3542787274555</v>
      </c>
      <c r="F194" s="362">
        <f t="shared" si="21"/>
        <v>0.24906265802165578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666</v>
      </c>
      <c r="C195" s="378">
        <f>C48-C194</f>
        <v>3818.2139378314187</v>
      </c>
      <c r="D195" s="378">
        <f>LN_IB7-LN_IF7</f>
        <v>2896.8684416599945</v>
      </c>
      <c r="E195" s="378">
        <f t="shared" si="20"/>
        <v>-921.3454961714242</v>
      </c>
      <c r="F195" s="362">
        <f t="shared" si="21"/>
        <v>-0.24130274289834813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667</v>
      </c>
      <c r="C196" s="378">
        <f>C21-C194</f>
        <v>1041.0840161811657</v>
      </c>
      <c r="D196" s="378">
        <f>LN_IA7-LN_IF7</f>
        <v>-719.74576342217824</v>
      </c>
      <c r="E196" s="378">
        <f t="shared" si="20"/>
        <v>-1760.8297796033439</v>
      </c>
      <c r="F196" s="362">
        <f t="shared" si="21"/>
        <v>-1.6913426315604203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627</v>
      </c>
      <c r="C197" s="391">
        <f>C127+C162</f>
        <v>630933.76817995915</v>
      </c>
      <c r="D197" s="391">
        <f>LN_IF9*LN_IF6</f>
        <v>-511874.90986957378</v>
      </c>
      <c r="E197" s="391">
        <f t="shared" si="20"/>
        <v>-1142808.6780495329</v>
      </c>
      <c r="F197" s="362">
        <f t="shared" si="21"/>
        <v>-1.8112973749149108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2086</v>
      </c>
      <c r="D198" s="369">
        <f>LN_ID11+LN_IE11</f>
        <v>3198</v>
      </c>
      <c r="E198" s="369">
        <f t="shared" si="20"/>
        <v>1112</v>
      </c>
      <c r="F198" s="362">
        <f t="shared" si="21"/>
        <v>0.53307766059443917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611</v>
      </c>
      <c r="C199" s="432">
        <f>IF(C198=0,0,C189/C198)</f>
        <v>1788.6179290508151</v>
      </c>
      <c r="D199" s="432">
        <f>IF(LN_IF11=0,0,LN_IF2/LN_IF11)</f>
        <v>1710.1113195747341</v>
      </c>
      <c r="E199" s="432">
        <f t="shared" si="20"/>
        <v>-78.506609476080939</v>
      </c>
      <c r="F199" s="362">
        <f t="shared" si="21"/>
        <v>-4.3892330609557779E-2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612</v>
      </c>
      <c r="C200" s="379">
        <f>IF(C191=0,0,C198/C191)</f>
        <v>3.6404886561954624</v>
      </c>
      <c r="D200" s="379">
        <f>IF(LN_IF4=0,0,LN_IF11/LN_IF4)</f>
        <v>4.1532467532467532</v>
      </c>
      <c r="E200" s="379">
        <f t="shared" si="20"/>
        <v>0.51275809705129083</v>
      </c>
      <c r="F200" s="362">
        <f t="shared" si="21"/>
        <v>0.1408487006761216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668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614</v>
      </c>
      <c r="C203" s="361">
        <f>C133+C168</f>
        <v>18039158</v>
      </c>
      <c r="D203" s="361">
        <f>LN_ID14+LN_IE14</f>
        <v>22669478</v>
      </c>
      <c r="E203" s="361">
        <f t="shared" ref="E203:E211" si="22">D203-C203</f>
        <v>4630320</v>
      </c>
      <c r="F203" s="362">
        <f t="shared" ref="F203:F211" si="23">IF(C203=0,0,E203/C203)</f>
        <v>0.25668160343182317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615</v>
      </c>
      <c r="C204" s="361">
        <f>C134+C169</f>
        <v>3089932</v>
      </c>
      <c r="D204" s="361">
        <f>LN_ID15+LN_IE15</f>
        <v>3062467</v>
      </c>
      <c r="E204" s="361">
        <f t="shared" si="22"/>
        <v>-27465</v>
      </c>
      <c r="F204" s="362">
        <f t="shared" si="23"/>
        <v>-8.8885451200867854E-3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616</v>
      </c>
      <c r="C205" s="366">
        <f>IF(C203=0,0,C204/C203)</f>
        <v>0.17129025645210269</v>
      </c>
      <c r="D205" s="366">
        <f>IF(LN_IF14=0,0,LN_IF15/LN_IF14)</f>
        <v>0.13509208284372495</v>
      </c>
      <c r="E205" s="367">
        <f t="shared" si="22"/>
        <v>-3.6198173608377737E-2</v>
      </c>
      <c r="F205" s="362">
        <f t="shared" si="23"/>
        <v>-0.21132651884667888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617</v>
      </c>
      <c r="C206" s="366">
        <f>IF(C188=0,0,C203/C188)</f>
        <v>1.3625891247773698</v>
      </c>
      <c r="D206" s="366">
        <f>IF(LN_IF1=0,0,LN_IF14/LN_IF1)</f>
        <v>1.1294911447997642</v>
      </c>
      <c r="E206" s="367">
        <f t="shared" si="22"/>
        <v>-0.23309797997760562</v>
      </c>
      <c r="F206" s="362">
        <f t="shared" si="23"/>
        <v>-0.17106989608161663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618</v>
      </c>
      <c r="C207" s="376">
        <f>C137+C172</f>
        <v>840.92656117732304</v>
      </c>
      <c r="D207" s="376">
        <f>LN_ID18+LN_IE18</f>
        <v>1023.3888387155189</v>
      </c>
      <c r="E207" s="376">
        <f t="shared" si="22"/>
        <v>182.46227753819585</v>
      </c>
      <c r="F207" s="362">
        <f t="shared" si="23"/>
        <v>0.21697766007383934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619</v>
      </c>
      <c r="C208" s="378">
        <f>IF(C207=0,0,C204/C207)</f>
        <v>3674.4373916243057</v>
      </c>
      <c r="D208" s="378">
        <f>IF(LN_IF18=0,0,LN_IF15/LN_IF18)</f>
        <v>2992.4764509292281</v>
      </c>
      <c r="E208" s="378">
        <f t="shared" si="22"/>
        <v>-681.96094069507762</v>
      </c>
      <c r="F208" s="362">
        <f t="shared" si="23"/>
        <v>-0.18559601593690864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669</v>
      </c>
      <c r="C209" s="378">
        <f>C61-C208</f>
        <v>4464.5739211466553</v>
      </c>
      <c r="D209" s="378">
        <f>LN_IB18-LN_IF19</f>
        <v>5116.7775374413504</v>
      </c>
      <c r="E209" s="378">
        <f t="shared" si="22"/>
        <v>652.20361629469517</v>
      </c>
      <c r="F209" s="362">
        <f t="shared" si="23"/>
        <v>0.1460841790983689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670</v>
      </c>
      <c r="C210" s="378">
        <f>C32-C208</f>
        <v>3595.4574611746948</v>
      </c>
      <c r="D210" s="378">
        <f>LN_IA16-LN_IF19</f>
        <v>3981.7034588151892</v>
      </c>
      <c r="E210" s="378">
        <f t="shared" si="22"/>
        <v>386.24599764049435</v>
      </c>
      <c r="F210" s="362">
        <f t="shared" si="23"/>
        <v>0.10742610691722701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630</v>
      </c>
      <c r="C211" s="391">
        <f>C141+C176</f>
        <v>3023515.6786849853</v>
      </c>
      <c r="D211" s="353">
        <f>LN_IF21*LN_IF18</f>
        <v>4074830.8788264412</v>
      </c>
      <c r="E211" s="353">
        <f t="shared" si="22"/>
        <v>1051315.200141456</v>
      </c>
      <c r="F211" s="362">
        <f t="shared" si="23"/>
        <v>0.34771283230080802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671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621</v>
      </c>
      <c r="C214" s="361">
        <f>C188+C203</f>
        <v>31278041</v>
      </c>
      <c r="D214" s="361">
        <f>LN_IF1+LN_IF14</f>
        <v>42740001</v>
      </c>
      <c r="E214" s="361">
        <f>D214-C214</f>
        <v>11461960</v>
      </c>
      <c r="F214" s="362">
        <f>IF(C214=0,0,E214/C214)</f>
        <v>0.36645389652120475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622</v>
      </c>
      <c r="C215" s="361">
        <f>C189+C204</f>
        <v>6820989</v>
      </c>
      <c r="D215" s="361">
        <f>LN_IF2+LN_IF15</f>
        <v>8531403</v>
      </c>
      <c r="E215" s="361">
        <f>D215-C215</f>
        <v>1710414</v>
      </c>
      <c r="F215" s="362">
        <f>IF(C215=0,0,E215/C215)</f>
        <v>0.25075747813110388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623</v>
      </c>
      <c r="C216" s="361">
        <f>C214-C215</f>
        <v>24457052</v>
      </c>
      <c r="D216" s="361">
        <f>LN_IF23-LN_IF24</f>
        <v>34208598</v>
      </c>
      <c r="E216" s="361">
        <f>D216-C216</f>
        <v>9751546</v>
      </c>
      <c r="F216" s="362">
        <f>IF(C216=0,0,E216/C216)</f>
        <v>0.39872123590365677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672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673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605</v>
      </c>
      <c r="C221" s="361">
        <v>266274</v>
      </c>
      <c r="D221" s="361">
        <v>137517</v>
      </c>
      <c r="E221" s="361">
        <f t="shared" ref="E221:E230" si="24">D221-C221</f>
        <v>-128757</v>
      </c>
      <c r="F221" s="362">
        <f t="shared" ref="F221:F230" si="25">IF(C221=0,0,E221/C221)</f>
        <v>-0.48355077852137274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606</v>
      </c>
      <c r="C222" s="361">
        <v>63719</v>
      </c>
      <c r="D222" s="361">
        <v>10408</v>
      </c>
      <c r="E222" s="361">
        <f t="shared" si="24"/>
        <v>-53311</v>
      </c>
      <c r="F222" s="362">
        <f t="shared" si="25"/>
        <v>-0.83665782576625491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607</v>
      </c>
      <c r="C223" s="366">
        <f>IF(C221=0,0,C222/C221)</f>
        <v>0.2392986172138474</v>
      </c>
      <c r="D223" s="366">
        <f>IF(LN_IG1=0,0,LN_IG2/LN_IG1)</f>
        <v>7.5685188013118382E-2</v>
      </c>
      <c r="E223" s="367">
        <f t="shared" si="24"/>
        <v>-0.16361342920072902</v>
      </c>
      <c r="F223" s="362">
        <f t="shared" si="25"/>
        <v>-0.68372074651194958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6</v>
      </c>
      <c r="D224" s="369">
        <v>6</v>
      </c>
      <c r="E224" s="369">
        <f t="shared" si="24"/>
        <v>0</v>
      </c>
      <c r="F224" s="362">
        <f t="shared" si="25"/>
        <v>0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608</v>
      </c>
      <c r="C225" s="372">
        <v>1.4673</v>
      </c>
      <c r="D225" s="372">
        <v>0.99019999999999997</v>
      </c>
      <c r="E225" s="373">
        <f t="shared" si="24"/>
        <v>-0.47710000000000008</v>
      </c>
      <c r="F225" s="362">
        <f t="shared" si="25"/>
        <v>-0.32515504668438633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609</v>
      </c>
      <c r="C226" s="376">
        <f>C224*C225</f>
        <v>8.8038000000000007</v>
      </c>
      <c r="D226" s="376">
        <f>LN_IG3*LN_IG4</f>
        <v>5.9412000000000003</v>
      </c>
      <c r="E226" s="376">
        <f t="shared" si="24"/>
        <v>-2.8626000000000005</v>
      </c>
      <c r="F226" s="362">
        <f t="shared" si="25"/>
        <v>-0.32515504668438633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610</v>
      </c>
      <c r="C227" s="378">
        <f>IF(C226=0,0,C222/C226)</f>
        <v>7237.6700970035663</v>
      </c>
      <c r="D227" s="378">
        <f>IF(LN_IG5=0,0,LN_IG2/LN_IG5)</f>
        <v>1751.8346461994208</v>
      </c>
      <c r="E227" s="378">
        <f t="shared" si="24"/>
        <v>-5485.8354508041457</v>
      </c>
      <c r="F227" s="362">
        <f t="shared" si="25"/>
        <v>-0.75795599651264989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27</v>
      </c>
      <c r="D228" s="369">
        <v>19</v>
      </c>
      <c r="E228" s="369">
        <f t="shared" si="24"/>
        <v>-8</v>
      </c>
      <c r="F228" s="362">
        <f t="shared" si="25"/>
        <v>-0.29629629629629628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611</v>
      </c>
      <c r="C229" s="378">
        <f>IF(C228=0,0,C222/C228)</f>
        <v>2359.962962962963</v>
      </c>
      <c r="D229" s="378">
        <f>IF(LN_IG6=0,0,LN_IG2/LN_IG6)</f>
        <v>547.78947368421052</v>
      </c>
      <c r="E229" s="378">
        <f t="shared" si="24"/>
        <v>-1812.1734892787526</v>
      </c>
      <c r="F229" s="362">
        <f t="shared" si="25"/>
        <v>-0.76788217345730969</v>
      </c>
      <c r="Q229" s="330"/>
      <c r="U229" s="375"/>
    </row>
    <row r="230" spans="1:21" ht="11.25" customHeight="1" x14ac:dyDescent="0.2">
      <c r="A230" s="364">
        <v>10</v>
      </c>
      <c r="B230" s="360" t="s">
        <v>612</v>
      </c>
      <c r="C230" s="379">
        <f>IF(C224=0,0,C228/C224)</f>
        <v>4.5</v>
      </c>
      <c r="D230" s="379">
        <f>IF(LN_IG3=0,0,LN_IG6/LN_IG3)</f>
        <v>3.1666666666666665</v>
      </c>
      <c r="E230" s="379">
        <f t="shared" si="24"/>
        <v>-1.3333333333333335</v>
      </c>
      <c r="F230" s="362">
        <f t="shared" si="25"/>
        <v>-0.29629629629629634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674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614</v>
      </c>
      <c r="C233" s="361">
        <v>377926</v>
      </c>
      <c r="D233" s="361">
        <v>394295</v>
      </c>
      <c r="E233" s="361">
        <f>D233-C233</f>
        <v>16369</v>
      </c>
      <c r="F233" s="362">
        <f>IF(C233=0,0,E233/C233)</f>
        <v>4.3312712012404546E-2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615</v>
      </c>
      <c r="C234" s="361">
        <v>162577</v>
      </c>
      <c r="D234" s="361">
        <v>27059</v>
      </c>
      <c r="E234" s="361">
        <f>D234-C234</f>
        <v>-135518</v>
      </c>
      <c r="F234" s="362">
        <f>IF(C234=0,0,E234/C234)</f>
        <v>-0.83356194295626074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675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621</v>
      </c>
      <c r="C237" s="361">
        <f>C221+C233</f>
        <v>644200</v>
      </c>
      <c r="D237" s="361">
        <f>LN_IG1+LN_IG9</f>
        <v>531812</v>
      </c>
      <c r="E237" s="361">
        <f>D237-C237</f>
        <v>-112388</v>
      </c>
      <c r="F237" s="362">
        <f>IF(C237=0,0,E237/C237)</f>
        <v>-0.17446134740763738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622</v>
      </c>
      <c r="C238" s="361">
        <f>C222+C234</f>
        <v>226296</v>
      </c>
      <c r="D238" s="361">
        <f>LN_IG2+LN_IG10</f>
        <v>37467</v>
      </c>
      <c r="E238" s="361">
        <f>D238-C238</f>
        <v>-188829</v>
      </c>
      <c r="F238" s="362">
        <f>IF(C238=0,0,E238/C238)</f>
        <v>-0.8344336621062679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623</v>
      </c>
      <c r="C239" s="361">
        <f>C237-C238</f>
        <v>417904</v>
      </c>
      <c r="D239" s="361">
        <f>LN_IG13-LN_IG14</f>
        <v>494345</v>
      </c>
      <c r="E239" s="361">
        <f>D239-C239</f>
        <v>76441</v>
      </c>
      <c r="F239" s="362">
        <f>IF(C239=0,0,E239/C239)</f>
        <v>0.18291521497760252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676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677</v>
      </c>
      <c r="C243" s="361">
        <v>24947559</v>
      </c>
      <c r="D243" s="361">
        <v>22912084</v>
      </c>
      <c r="E243" s="353">
        <f>D243-C243</f>
        <v>-2035475</v>
      </c>
      <c r="F243" s="415">
        <f>IF(C243=0,0,E243/C243)</f>
        <v>-8.1590146755440088E-2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678</v>
      </c>
      <c r="C244" s="361">
        <v>283532000</v>
      </c>
      <c r="D244" s="361">
        <v>287530757</v>
      </c>
      <c r="E244" s="353">
        <f>D244-C244</f>
        <v>3998757</v>
      </c>
      <c r="F244" s="415">
        <f>IF(C244=0,0,E244/C244)</f>
        <v>1.4103371048065121E-2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679</v>
      </c>
      <c r="C245" s="400">
        <v>1086769</v>
      </c>
      <c r="D245" s="400">
        <v>1104887</v>
      </c>
      <c r="E245" s="400">
        <f>D245-C245</f>
        <v>18118</v>
      </c>
      <c r="F245" s="401">
        <f>IF(C245=0,0,E245/C245)</f>
        <v>1.6671436156165662E-2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680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681</v>
      </c>
      <c r="C248" s="353">
        <v>21129180</v>
      </c>
      <c r="D248" s="353">
        <v>20038812</v>
      </c>
      <c r="E248" s="353">
        <f>D248-C248</f>
        <v>-1090368</v>
      </c>
      <c r="F248" s="362">
        <f>IF(C248=0,0,E248/C248)</f>
        <v>-5.1604842213469712E-2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682</v>
      </c>
      <c r="C249" s="353">
        <v>7851327</v>
      </c>
      <c r="D249" s="353">
        <v>10503632</v>
      </c>
      <c r="E249" s="353">
        <f>D249-C249</f>
        <v>2652305</v>
      </c>
      <c r="F249" s="362">
        <f>IF(C249=0,0,E249/C249)</f>
        <v>0.33781614241770852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683</v>
      </c>
      <c r="C250" s="353">
        <f>C248+C249</f>
        <v>28980507</v>
      </c>
      <c r="D250" s="353">
        <f>LN_IH4+LN_IH5</f>
        <v>30542444</v>
      </c>
      <c r="E250" s="353">
        <f>D250-C250</f>
        <v>1561937</v>
      </c>
      <c r="F250" s="362">
        <f>IF(C250=0,0,E250/C250)</f>
        <v>5.3896124039513868E-2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684</v>
      </c>
      <c r="C251" s="353">
        <f>C250*C313</f>
        <v>9380574.6654931009</v>
      </c>
      <c r="D251" s="353">
        <f>LN_IH6*LN_III10</f>
        <v>9299083.0402689166</v>
      </c>
      <c r="E251" s="353">
        <f>D251-C251</f>
        <v>-81491.625224184245</v>
      </c>
      <c r="F251" s="362">
        <f>IF(C251=0,0,E251/C251)</f>
        <v>-8.6872743014300754E-3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685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621</v>
      </c>
      <c r="C254" s="353">
        <f>C188+C203</f>
        <v>31278041</v>
      </c>
      <c r="D254" s="353">
        <f>LN_IF23</f>
        <v>42740001</v>
      </c>
      <c r="E254" s="353">
        <f>D254-C254</f>
        <v>11461960</v>
      </c>
      <c r="F254" s="362">
        <f>IF(C254=0,0,E254/C254)</f>
        <v>0.36645389652120475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622</v>
      </c>
      <c r="C255" s="353">
        <f>C189+C204</f>
        <v>6820989</v>
      </c>
      <c r="D255" s="353">
        <f>LN_IF24</f>
        <v>8531403</v>
      </c>
      <c r="E255" s="353">
        <f>D255-C255</f>
        <v>1710414</v>
      </c>
      <c r="F255" s="362">
        <f>IF(C255=0,0,E255/C255)</f>
        <v>0.25075747813110388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686</v>
      </c>
      <c r="C256" s="353">
        <f>C254*C313</f>
        <v>10124253.484966792</v>
      </c>
      <c r="D256" s="353">
        <f>LN_IH8*LN_III10</f>
        <v>13012803.377495807</v>
      </c>
      <c r="E256" s="353">
        <f>D256-C256</f>
        <v>2888549.8925290145</v>
      </c>
      <c r="F256" s="362">
        <f>IF(C256=0,0,E256/C256)</f>
        <v>0.28530991414015244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687</v>
      </c>
      <c r="C257" s="353">
        <f>C256-C255</f>
        <v>3303264.4849667922</v>
      </c>
      <c r="D257" s="353">
        <f>LN_IH10-LN_IH9</f>
        <v>4481400.3774958067</v>
      </c>
      <c r="E257" s="353">
        <f>D257-C257</f>
        <v>1178135.8925290145</v>
      </c>
      <c r="F257" s="362">
        <f>IF(C257=0,0,E257/C257)</f>
        <v>0.35665805686790419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688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689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690</v>
      </c>
      <c r="C261" s="361">
        <f>C15+C42+C188+C221</f>
        <v>362534490</v>
      </c>
      <c r="D261" s="361">
        <f>LN_IA1+LN_IB1+LN_IF1+LN_IG1</f>
        <v>408731408</v>
      </c>
      <c r="E261" s="361">
        <f t="shared" ref="E261:E274" si="26">D261-C261</f>
        <v>46196918</v>
      </c>
      <c r="F261" s="415">
        <f t="shared" ref="F261:F274" si="27">IF(C261=0,0,E261/C261)</f>
        <v>0.12742764971134193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691</v>
      </c>
      <c r="C262" s="361">
        <f>C16+C43+C189+C222</f>
        <v>116507014</v>
      </c>
      <c r="D262" s="361">
        <f>+LN_IA2+LN_IB2+LN_IF2+LN_IG2</f>
        <v>127601946</v>
      </c>
      <c r="E262" s="361">
        <f t="shared" si="26"/>
        <v>11094932</v>
      </c>
      <c r="F262" s="415">
        <f t="shared" si="27"/>
        <v>9.522973440895155E-2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692</v>
      </c>
      <c r="C263" s="366">
        <f>IF(C261=0,0,C262/C261)</f>
        <v>0.32136808279951518</v>
      </c>
      <c r="D263" s="366">
        <f>IF(LN_IIA1=0,0,LN_IIA2/LN_IIA1)</f>
        <v>0.31219021465558622</v>
      </c>
      <c r="E263" s="367">
        <f t="shared" si="26"/>
        <v>-9.1778681439289578E-3</v>
      </c>
      <c r="F263" s="371">
        <f t="shared" si="27"/>
        <v>-2.8558741938459871E-2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693</v>
      </c>
      <c r="C264" s="369">
        <f>C18+C45+C191+C224</f>
        <v>12931</v>
      </c>
      <c r="D264" s="369">
        <f>LN_IA4+LN_IB4+LN_IF4+LN_IG3</f>
        <v>13627</v>
      </c>
      <c r="E264" s="369">
        <f t="shared" si="26"/>
        <v>696</v>
      </c>
      <c r="F264" s="415">
        <f t="shared" si="27"/>
        <v>5.3824143531049418E-2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694</v>
      </c>
      <c r="C265" s="439">
        <f>IF(C264=0,0,C266/C264)</f>
        <v>1.0744528033408089</v>
      </c>
      <c r="D265" s="439">
        <f>IF(LN_IIA4=0,0,LN_IIA6/LN_IIA4)</f>
        <v>1.0867731122037132</v>
      </c>
      <c r="E265" s="439">
        <f t="shared" si="26"/>
        <v>1.232030886290425E-2</v>
      </c>
      <c r="F265" s="415">
        <f t="shared" si="27"/>
        <v>1.1466589155518573E-2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695</v>
      </c>
      <c r="C266" s="376">
        <f>C20+C47+C193+C226</f>
        <v>13893.7492</v>
      </c>
      <c r="D266" s="376">
        <f>LN_IA6+LN_IB6+LN_IF6+LN_IG5</f>
        <v>14809.457200000001</v>
      </c>
      <c r="E266" s="376">
        <f t="shared" si="26"/>
        <v>915.70800000000054</v>
      </c>
      <c r="F266" s="415">
        <f t="shared" si="27"/>
        <v>6.5907912027086291E-2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696</v>
      </c>
      <c r="C267" s="361">
        <f>C27+C56+C203+C233</f>
        <v>467346952</v>
      </c>
      <c r="D267" s="361">
        <f>LN_IA11+LN_IB13+LN_IF14+LN_IG9</f>
        <v>492001556</v>
      </c>
      <c r="E267" s="361">
        <f t="shared" si="26"/>
        <v>24654604</v>
      </c>
      <c r="F267" s="415">
        <f t="shared" si="27"/>
        <v>5.2754391345639931E-2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617</v>
      </c>
      <c r="C268" s="366">
        <f>IF(C261=0,0,C267/C261)</f>
        <v>1.2891103188554556</v>
      </c>
      <c r="D268" s="366">
        <f>IF(LN_IIA1=0,0,LN_IIA7/LN_IIA1)</f>
        <v>1.2037282830978333</v>
      </c>
      <c r="E268" s="367">
        <f t="shared" si="26"/>
        <v>-8.5382035757622265E-2</v>
      </c>
      <c r="F268" s="371">
        <f t="shared" si="27"/>
        <v>-6.6233304092569223E-2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697</v>
      </c>
      <c r="C269" s="361">
        <f>C28+C57+C204+C234</f>
        <v>149419602</v>
      </c>
      <c r="D269" s="361">
        <f>LN_IA12+LN_IB14+LN_IF15+LN_IG10</f>
        <v>142799576</v>
      </c>
      <c r="E269" s="361">
        <f t="shared" si="26"/>
        <v>-6620026</v>
      </c>
      <c r="F269" s="415">
        <f t="shared" si="27"/>
        <v>-4.4304936644122501E-2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616</v>
      </c>
      <c r="C270" s="366">
        <f>IF(C267=0,0,C269/C267)</f>
        <v>0.31971878999223685</v>
      </c>
      <c r="D270" s="366">
        <f>IF(LN_IIA7=0,0,LN_IIA9/LN_IIA7)</f>
        <v>0.29024212273019723</v>
      </c>
      <c r="E270" s="367">
        <f t="shared" si="26"/>
        <v>-2.9476667262039624E-2</v>
      </c>
      <c r="F270" s="371">
        <f t="shared" si="27"/>
        <v>-9.2195604965086206E-2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698</v>
      </c>
      <c r="C271" s="353">
        <f>C261+C267</f>
        <v>829881442</v>
      </c>
      <c r="D271" s="353">
        <f>LN_IIA1+LN_IIA7</f>
        <v>900732964</v>
      </c>
      <c r="E271" s="353">
        <f t="shared" si="26"/>
        <v>70851522</v>
      </c>
      <c r="F271" s="415">
        <f t="shared" si="27"/>
        <v>8.5375474633158505E-2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699</v>
      </c>
      <c r="C272" s="353">
        <f>C262+C269</f>
        <v>265926616</v>
      </c>
      <c r="D272" s="353">
        <f>LN_IIA2+LN_IIA9</f>
        <v>270401522</v>
      </c>
      <c r="E272" s="353">
        <f t="shared" si="26"/>
        <v>4474906</v>
      </c>
      <c r="F272" s="415">
        <f t="shared" si="27"/>
        <v>1.6827597279694635E-2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700</v>
      </c>
      <c r="C273" s="366">
        <f>IF(C271=0,0,C272/C271)</f>
        <v>0.32043928510935421</v>
      </c>
      <c r="D273" s="366">
        <f>IF(LN_IIA11=0,0,LN_IIA12/LN_IIA11)</f>
        <v>0.30020164999756799</v>
      </c>
      <c r="E273" s="367">
        <f t="shared" si="26"/>
        <v>-2.0237635111786223E-2</v>
      </c>
      <c r="F273" s="371">
        <f t="shared" si="27"/>
        <v>-6.3155911438511222E-2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50149</v>
      </c>
      <c r="D274" s="421">
        <f>LN_IA8+LN_IB10+LN_IF11+LN_IG6</f>
        <v>53059</v>
      </c>
      <c r="E274" s="442">
        <f t="shared" si="26"/>
        <v>2910</v>
      </c>
      <c r="F274" s="371">
        <f t="shared" si="27"/>
        <v>5.8027079303675046E-2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701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702</v>
      </c>
      <c r="C277" s="361">
        <f>C15+C188+C221</f>
        <v>204980686</v>
      </c>
      <c r="D277" s="361">
        <f>LN_IA1+LN_IF1+LN_IG1</f>
        <v>230703844</v>
      </c>
      <c r="E277" s="361">
        <f t="shared" ref="E277:E291" si="28">D277-C277</f>
        <v>25723158</v>
      </c>
      <c r="F277" s="415">
        <f t="shared" ref="F277:F291" si="29">IF(C277=0,0,E277/C277)</f>
        <v>0.12549064256717338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703</v>
      </c>
      <c r="C278" s="361">
        <f>C16+C189+C222</f>
        <v>54958450</v>
      </c>
      <c r="D278" s="361">
        <f>LN_IA2+LN_IF2+LN_IG2</f>
        <v>57647920</v>
      </c>
      <c r="E278" s="361">
        <f t="shared" si="28"/>
        <v>2689470</v>
      </c>
      <c r="F278" s="415">
        <f t="shared" si="29"/>
        <v>4.893642378924442E-2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704</v>
      </c>
      <c r="C279" s="366">
        <f>IF(C277=0,0,C278/C277)</f>
        <v>0.26811526038116584</v>
      </c>
      <c r="D279" s="366">
        <f>IF(D277=0,0,LN_IIB2/D277)</f>
        <v>0.2498784545609912</v>
      </c>
      <c r="E279" s="367">
        <f t="shared" si="28"/>
        <v>-1.8236805820174645E-2</v>
      </c>
      <c r="F279" s="371">
        <f t="shared" si="29"/>
        <v>-6.8018529770548328E-2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705</v>
      </c>
      <c r="C280" s="369">
        <f>C18+C191+C224</f>
        <v>5633</v>
      </c>
      <c r="D280" s="369">
        <f>LN_IA4+LN_IF4+LN_IG3</f>
        <v>6045</v>
      </c>
      <c r="E280" s="369">
        <f t="shared" si="28"/>
        <v>412</v>
      </c>
      <c r="F280" s="415">
        <f t="shared" si="29"/>
        <v>7.3140422510207706E-2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706</v>
      </c>
      <c r="C281" s="439">
        <f>IF(C280=0,0,C282/C280)</f>
        <v>1.3710793893129769</v>
      </c>
      <c r="D281" s="439">
        <f>IF(LN_IIB4=0,0,LN_IIB6/LN_IIB4)</f>
        <v>1.3567815053763439</v>
      </c>
      <c r="E281" s="439">
        <f t="shared" si="28"/>
        <v>-1.4297883936633005E-2</v>
      </c>
      <c r="F281" s="415">
        <f t="shared" si="29"/>
        <v>-1.0428195513753158E-2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707</v>
      </c>
      <c r="C282" s="376">
        <f>C20+C193+C226</f>
        <v>7723.2901999999995</v>
      </c>
      <c r="D282" s="376">
        <f>LN_IA6+LN_IF6+LN_IG5</f>
        <v>8201.7441999999992</v>
      </c>
      <c r="E282" s="376">
        <f t="shared" si="28"/>
        <v>478.45399999999972</v>
      </c>
      <c r="F282" s="415">
        <f t="shared" si="29"/>
        <v>6.1949504370559551E-2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708</v>
      </c>
      <c r="C283" s="361">
        <f>C27+C203+C233</f>
        <v>143104166</v>
      </c>
      <c r="D283" s="361">
        <f>LN_IA11+LN_IF14+LN_IG9</f>
        <v>153306707</v>
      </c>
      <c r="E283" s="361">
        <f t="shared" si="28"/>
        <v>10202541</v>
      </c>
      <c r="F283" s="415">
        <f t="shared" si="29"/>
        <v>7.1294507247259317E-2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709</v>
      </c>
      <c r="C284" s="366">
        <f>IF(C277=0,0,C283/C277)</f>
        <v>0.69813487696104204</v>
      </c>
      <c r="D284" s="366">
        <f>IF(D277=0,0,LN_IIB7/D277)</f>
        <v>0.66451734978460086</v>
      </c>
      <c r="E284" s="367">
        <f t="shared" si="28"/>
        <v>-3.3617527176441175E-2</v>
      </c>
      <c r="F284" s="371">
        <f t="shared" si="29"/>
        <v>-4.8153341547377146E-2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710</v>
      </c>
      <c r="C285" s="361">
        <f>C28+C204+C234</f>
        <v>27178589</v>
      </c>
      <c r="D285" s="361">
        <f>LN_IA12+LN_IF15+LN_IG10</f>
        <v>25826469</v>
      </c>
      <c r="E285" s="361">
        <f t="shared" si="28"/>
        <v>-1352120</v>
      </c>
      <c r="F285" s="415">
        <f t="shared" si="29"/>
        <v>-4.9749455352520323E-2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711</v>
      </c>
      <c r="C286" s="366">
        <f>IF(C283=0,0,C285/C283)</f>
        <v>0.18992171758298076</v>
      </c>
      <c r="D286" s="366">
        <f>IF(LN_IIB7=0,0,LN_IIB9/LN_IIB7)</f>
        <v>0.16846274703428338</v>
      </c>
      <c r="E286" s="367">
        <f t="shared" si="28"/>
        <v>-2.1458970548697387E-2</v>
      </c>
      <c r="F286" s="371">
        <f t="shared" si="29"/>
        <v>-0.1129885029568644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712</v>
      </c>
      <c r="C287" s="353">
        <f>C277+C283</f>
        <v>348084852</v>
      </c>
      <c r="D287" s="353">
        <f>D277+LN_IIB7</f>
        <v>384010551</v>
      </c>
      <c r="E287" s="353">
        <f t="shared" si="28"/>
        <v>35925699</v>
      </c>
      <c r="F287" s="415">
        <f t="shared" si="29"/>
        <v>0.1032096018932763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713</v>
      </c>
      <c r="C288" s="353">
        <f>C278+C285</f>
        <v>82137039</v>
      </c>
      <c r="D288" s="353">
        <f>LN_IIB2+LN_IIB9</f>
        <v>83474389</v>
      </c>
      <c r="E288" s="353">
        <f t="shared" si="28"/>
        <v>1337350</v>
      </c>
      <c r="F288" s="415">
        <f t="shared" si="29"/>
        <v>1.6281935851132884E-2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714</v>
      </c>
      <c r="C289" s="366">
        <f>IF(C287=0,0,C288/C287)</f>
        <v>0.23596843852314492</v>
      </c>
      <c r="D289" s="366">
        <f>IF(LN_IIB11=0,0,LN_IIB12/LN_IIB11)</f>
        <v>0.21737524862956176</v>
      </c>
      <c r="E289" s="367">
        <f t="shared" si="28"/>
        <v>-1.8593189893583162E-2</v>
      </c>
      <c r="F289" s="371">
        <f t="shared" si="29"/>
        <v>-7.8795240626044372E-2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26302</v>
      </c>
      <c r="D290" s="421">
        <f>LN_IA8+LN_IF11+LN_IG6</f>
        <v>28439</v>
      </c>
      <c r="E290" s="442">
        <f t="shared" si="28"/>
        <v>2137</v>
      </c>
      <c r="F290" s="371">
        <f t="shared" si="29"/>
        <v>8.1248574252908518E-2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715</v>
      </c>
      <c r="C291" s="361">
        <f>C287-C288</f>
        <v>265947813</v>
      </c>
      <c r="D291" s="429">
        <f>LN_IIB11-LN_IIB12</f>
        <v>300536162</v>
      </c>
      <c r="E291" s="353">
        <f t="shared" si="28"/>
        <v>34588349</v>
      </c>
      <c r="F291" s="415">
        <f t="shared" si="29"/>
        <v>0.13005690330681532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612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603</v>
      </c>
      <c r="C294" s="379">
        <f>IF(C18=0,0,C22/C18)</f>
        <v>4.7861100118717843</v>
      </c>
      <c r="D294" s="379">
        <f>IF(LN_IA4=0,0,LN_IA8/LN_IA4)</f>
        <v>4.7868665780983113</v>
      </c>
      <c r="E294" s="379">
        <f t="shared" ref="E294:E300" si="30">D294-C294</f>
        <v>7.5656622652697791E-4</v>
      </c>
      <c r="F294" s="415">
        <f t="shared" ref="F294:F300" si="31">IF(C294=0,0,E294/C294)</f>
        <v>1.5807539414061544E-4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624</v>
      </c>
      <c r="C295" s="379">
        <f>IF(C45=0,0,C51/C45)</f>
        <v>3.2676075637160866</v>
      </c>
      <c r="D295" s="379">
        <f>IF(LN_IB4=0,0,(LN_IB10)/(LN_IB4))</f>
        <v>3.2471643365866525</v>
      </c>
      <c r="E295" s="379">
        <f t="shared" si="30"/>
        <v>-2.0443227129434138E-2</v>
      </c>
      <c r="F295" s="415">
        <f t="shared" si="31"/>
        <v>-6.2563287453604368E-3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639</v>
      </c>
      <c r="C296" s="379">
        <f>IF(C86=0,0,C93/C86)</f>
        <v>3.3783783783783785</v>
      </c>
      <c r="D296" s="379">
        <f>IF(LN_IC4=0,0,LN_IC11/LN_IC4)</f>
        <v>3.0180180180180178</v>
      </c>
      <c r="E296" s="379">
        <f t="shared" si="30"/>
        <v>-0.36036036036036068</v>
      </c>
      <c r="F296" s="415">
        <f t="shared" si="31"/>
        <v>-0.10666666666666676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3.3608562691131501</v>
      </c>
      <c r="D297" s="379">
        <f>IF(LN_ID4=0,0,LN_ID11/LN_ID4)</f>
        <v>3.4990328820116052</v>
      </c>
      <c r="E297" s="379">
        <f t="shared" si="30"/>
        <v>0.13817661289845518</v>
      </c>
      <c r="F297" s="415">
        <f t="shared" si="31"/>
        <v>4.1113514483889751E-2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716</v>
      </c>
      <c r="C298" s="379">
        <f>IF(C156=0,0,C163/C156)</f>
        <v>4.0121951219512191</v>
      </c>
      <c r="D298" s="379">
        <f>IF(LN_IE4=0,0,LN_IE11/LN_IE4)</f>
        <v>5.4901185770750986</v>
      </c>
      <c r="E298" s="379">
        <f t="shared" si="30"/>
        <v>1.4779234551238796</v>
      </c>
      <c r="F298" s="415">
        <f t="shared" si="31"/>
        <v>0.36835782164181807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4.5</v>
      </c>
      <c r="D299" s="379">
        <f>IF(LN_IG3=0,0,LN_IG6/LN_IG3)</f>
        <v>3.1666666666666665</v>
      </c>
      <c r="E299" s="379">
        <f t="shared" si="30"/>
        <v>-1.3333333333333335</v>
      </c>
      <c r="F299" s="415">
        <f t="shared" si="31"/>
        <v>-0.29629629629629634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717</v>
      </c>
      <c r="C300" s="379">
        <f>IF(C264=0,0,C274/C264)</f>
        <v>3.8781996751991339</v>
      </c>
      <c r="D300" s="379">
        <f>IF(LN_IIA4=0,0,LN_IIA14/LN_IIA4)</f>
        <v>3.8936669846628016</v>
      </c>
      <c r="E300" s="379">
        <f t="shared" si="30"/>
        <v>1.54673094636677E-2</v>
      </c>
      <c r="F300" s="415">
        <f t="shared" si="31"/>
        <v>3.9882705273223198E-3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718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712</v>
      </c>
      <c r="C304" s="353">
        <f>C35+C66+C214+C221+C233</f>
        <v>829881442</v>
      </c>
      <c r="D304" s="353">
        <f>LN_IIA11</f>
        <v>900732964</v>
      </c>
      <c r="E304" s="353">
        <f t="shared" ref="E304:E316" si="32">D304-C304</f>
        <v>70851522</v>
      </c>
      <c r="F304" s="362">
        <f>IF(C304=0,0,E304/C304)</f>
        <v>8.5375474633158505E-2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715</v>
      </c>
      <c r="C305" s="353">
        <f>C291</f>
        <v>265947813</v>
      </c>
      <c r="D305" s="353">
        <f>LN_IIB14</f>
        <v>300536162</v>
      </c>
      <c r="E305" s="353">
        <f t="shared" si="32"/>
        <v>34588349</v>
      </c>
      <c r="F305" s="362">
        <f>IF(C305=0,0,E305/C305)</f>
        <v>0.13005690330681532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719</v>
      </c>
      <c r="C306" s="353">
        <f>C250</f>
        <v>28980507</v>
      </c>
      <c r="D306" s="353">
        <f>LN_IH6</f>
        <v>30542444</v>
      </c>
      <c r="E306" s="353">
        <f t="shared" si="32"/>
        <v>1561937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720</v>
      </c>
      <c r="C307" s="353">
        <f>C73-C74</f>
        <v>255384753</v>
      </c>
      <c r="D307" s="353">
        <f>LN_IB32-LN_IB33</f>
        <v>283829458</v>
      </c>
      <c r="E307" s="353">
        <f t="shared" si="32"/>
        <v>28444705</v>
      </c>
      <c r="F307" s="362">
        <f t="shared" ref="F307:F316" si="33">IF(C307=0,0,E307/C307)</f>
        <v>0.11137980895828969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721</v>
      </c>
      <c r="C308" s="353">
        <v>12034412</v>
      </c>
      <c r="D308" s="353">
        <v>12688779</v>
      </c>
      <c r="E308" s="353">
        <f t="shared" si="32"/>
        <v>654367</v>
      </c>
      <c r="F308" s="362">
        <f t="shared" si="33"/>
        <v>5.4374654947827943E-2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722</v>
      </c>
      <c r="C309" s="353">
        <f>C305+C307+C308+C306</f>
        <v>562347485</v>
      </c>
      <c r="D309" s="353">
        <f>LN_III2+LN_III3+LN_III4+LN_III5</f>
        <v>627596843</v>
      </c>
      <c r="E309" s="353">
        <f t="shared" si="32"/>
        <v>65249358</v>
      </c>
      <c r="F309" s="362">
        <f t="shared" si="33"/>
        <v>0.11603031886947979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723</v>
      </c>
      <c r="C310" s="353">
        <f>C304-C309</f>
        <v>267533957</v>
      </c>
      <c r="D310" s="353">
        <f>LN_III1-LN_III6</f>
        <v>273136121</v>
      </c>
      <c r="E310" s="353">
        <f t="shared" si="32"/>
        <v>5602164</v>
      </c>
      <c r="F310" s="362">
        <f t="shared" si="33"/>
        <v>2.0940010990829101E-2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724</v>
      </c>
      <c r="C311" s="353">
        <f>C245</f>
        <v>1086769</v>
      </c>
      <c r="D311" s="353">
        <f>LN_IH3</f>
        <v>1104887</v>
      </c>
      <c r="E311" s="353">
        <f t="shared" si="32"/>
        <v>18118</v>
      </c>
      <c r="F311" s="362">
        <f t="shared" si="33"/>
        <v>1.6671436156165662E-2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725</v>
      </c>
      <c r="C312" s="353">
        <f>C310+C311</f>
        <v>268620726</v>
      </c>
      <c r="D312" s="353">
        <f>LN_III7+LN_III8</f>
        <v>274241008</v>
      </c>
      <c r="E312" s="353">
        <f t="shared" si="32"/>
        <v>5620282</v>
      </c>
      <c r="F312" s="362">
        <f t="shared" si="33"/>
        <v>2.0922741456666304E-2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726</v>
      </c>
      <c r="C313" s="448">
        <f>IF(C304=0,0,C312/C304)</f>
        <v>0.32368566448796432</v>
      </c>
      <c r="D313" s="448">
        <f>IF(LN_III1=0,0,LN_III9/LN_III1)</f>
        <v>0.30446427405314769</v>
      </c>
      <c r="E313" s="448">
        <f t="shared" si="32"/>
        <v>-1.9221390434816632E-2</v>
      </c>
      <c r="F313" s="362">
        <f t="shared" si="33"/>
        <v>-5.9382890698056683E-2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684</v>
      </c>
      <c r="C314" s="353">
        <f>C306*C313</f>
        <v>9380574.6654931009</v>
      </c>
      <c r="D314" s="353">
        <f>D313*LN_III5</f>
        <v>9299083.0402689166</v>
      </c>
      <c r="E314" s="353">
        <f t="shared" si="32"/>
        <v>-81491.625224184245</v>
      </c>
      <c r="F314" s="362">
        <f t="shared" si="33"/>
        <v>-8.6872743014300754E-3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687</v>
      </c>
      <c r="C315" s="353">
        <f>(C214*C313)-C215</f>
        <v>3303264.4849667922</v>
      </c>
      <c r="D315" s="353">
        <f>D313*LN_IH8-LN_IH9</f>
        <v>4481400.3774958067</v>
      </c>
      <c r="E315" s="353">
        <f t="shared" si="32"/>
        <v>1178135.8925290145</v>
      </c>
      <c r="F315" s="362">
        <f t="shared" si="33"/>
        <v>0.35665805686790419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727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728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729</v>
      </c>
      <c r="C318" s="353">
        <f>C314+C315+C316</f>
        <v>12683839.150459893</v>
      </c>
      <c r="D318" s="353">
        <f>D314+D315+D316</f>
        <v>13780483.417764723</v>
      </c>
      <c r="E318" s="353">
        <f>D318-C318</f>
        <v>1096644.2673048303</v>
      </c>
      <c r="F318" s="362">
        <f>IF(C318=0,0,E318/C318)</f>
        <v>8.6459963288407674E-2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730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1966861.5544667635</v>
      </c>
      <c r="D322" s="353">
        <f>LN_ID22</f>
        <v>3614984.2806088105</v>
      </c>
      <c r="E322" s="353">
        <f>LN_IV2-C322</f>
        <v>1648122.726142047</v>
      </c>
      <c r="F322" s="362">
        <f>IF(C322=0,0,E322/C322)</f>
        <v>0.83794546819990601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716</v>
      </c>
      <c r="C323" s="353">
        <f>C162+C176</f>
        <v>1115288.1920828521</v>
      </c>
      <c r="D323" s="353">
        <f>LN_IE10+LN_IE22</f>
        <v>-1142896.735204912</v>
      </c>
      <c r="E323" s="353">
        <f>LN_IV3-C323</f>
        <v>-2258184.9272877639</v>
      </c>
      <c r="F323" s="362">
        <f>IF(C323=0,0,E323/C323)</f>
        <v>-2.0247546269368275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731</v>
      </c>
      <c r="C324" s="353">
        <f>C92+C106</f>
        <v>4250354.2146216668</v>
      </c>
      <c r="D324" s="353">
        <f>LN_IC10+LN_IC22</f>
        <v>5808499.6965220021</v>
      </c>
      <c r="E324" s="353">
        <f>LN_IV1-C324</f>
        <v>1558145.4819003353</v>
      </c>
      <c r="F324" s="362">
        <f>IF(C324=0,0,E324/C324)</f>
        <v>0.36659191286696774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732</v>
      </c>
      <c r="C325" s="429">
        <f>C324+C322+C323</f>
        <v>7332503.9611712825</v>
      </c>
      <c r="D325" s="429">
        <f>LN_IV1+LN_IV2+LN_IV3</f>
        <v>8280587.2419258999</v>
      </c>
      <c r="E325" s="353">
        <f>LN_IV4-C325</f>
        <v>948083.28075461742</v>
      </c>
      <c r="F325" s="362">
        <f>IF(C325=0,0,E325/C325)</f>
        <v>0.12929870693219128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733</v>
      </c>
      <c r="B327" s="446" t="s">
        <v>734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735</v>
      </c>
      <c r="C329" s="431">
        <v>18106348</v>
      </c>
      <c r="D329" s="431">
        <v>18373068</v>
      </c>
      <c r="E329" s="431">
        <f t="shared" ref="E329:E335" si="34">D329-C329</f>
        <v>266720</v>
      </c>
      <c r="F329" s="462">
        <f t="shared" ref="F329:F335" si="35">IF(C329=0,0,E329/C329)</f>
        <v>1.4730745261275217E-2</v>
      </c>
    </row>
    <row r="330" spans="1:22" s="333" customFormat="1" ht="11.25" customHeight="1" x14ac:dyDescent="0.2">
      <c r="A330" s="364">
        <v>2</v>
      </c>
      <c r="B330" s="360" t="s">
        <v>736</v>
      </c>
      <c r="C330" s="429">
        <v>3232038</v>
      </c>
      <c r="D330" s="429">
        <v>7579332</v>
      </c>
      <c r="E330" s="431">
        <f t="shared" si="34"/>
        <v>4347294</v>
      </c>
      <c r="F330" s="463">
        <f t="shared" si="35"/>
        <v>1.3450627746332191</v>
      </c>
    </row>
    <row r="331" spans="1:22" s="333" customFormat="1" ht="11.25" customHeight="1" x14ac:dyDescent="0.2">
      <c r="A331" s="339">
        <v>3</v>
      </c>
      <c r="B331" s="360" t="s">
        <v>737</v>
      </c>
      <c r="C331" s="429">
        <v>270245423</v>
      </c>
      <c r="D331" s="429">
        <v>279085742</v>
      </c>
      <c r="E331" s="431">
        <f t="shared" si="34"/>
        <v>8840319</v>
      </c>
      <c r="F331" s="462">
        <f t="shared" si="35"/>
        <v>3.2712187691704218E-2</v>
      </c>
    </row>
    <row r="332" spans="1:22" s="333" customFormat="1" ht="11.25" customHeight="1" x14ac:dyDescent="0.2">
      <c r="A332" s="364">
        <v>4</v>
      </c>
      <c r="B332" s="360" t="s">
        <v>738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739</v>
      </c>
      <c r="C333" s="429">
        <v>829881442</v>
      </c>
      <c r="D333" s="429">
        <v>900732965</v>
      </c>
      <c r="E333" s="431">
        <f t="shared" si="34"/>
        <v>70851523</v>
      </c>
      <c r="F333" s="462">
        <f t="shared" si="35"/>
        <v>8.5375475838149903E-2</v>
      </c>
    </row>
    <row r="334" spans="1:22" s="333" customFormat="1" ht="11.25" customHeight="1" x14ac:dyDescent="0.2">
      <c r="A334" s="339">
        <v>6</v>
      </c>
      <c r="B334" s="360" t="s">
        <v>740</v>
      </c>
      <c r="C334" s="429">
        <v>4056046</v>
      </c>
      <c r="D334" s="429">
        <v>2949701</v>
      </c>
      <c r="E334" s="429">
        <f t="shared" si="34"/>
        <v>-1106345</v>
      </c>
      <c r="F334" s="463">
        <f t="shared" si="35"/>
        <v>-0.27276441144898256</v>
      </c>
    </row>
    <row r="335" spans="1:22" s="333" customFormat="1" ht="11.25" customHeight="1" x14ac:dyDescent="0.2">
      <c r="A335" s="364">
        <v>7</v>
      </c>
      <c r="B335" s="360" t="s">
        <v>741</v>
      </c>
      <c r="C335" s="429">
        <v>33036553</v>
      </c>
      <c r="D335" s="429">
        <v>33492146</v>
      </c>
      <c r="E335" s="429">
        <f t="shared" si="34"/>
        <v>455593</v>
      </c>
      <c r="F335" s="462">
        <f t="shared" si="35"/>
        <v>1.379057312668183E-2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FILING&amp;RGREENWICH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594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742</v>
      </c>
      <c r="B5" s="710"/>
      <c r="C5" s="710"/>
      <c r="D5" s="710"/>
      <c r="E5" s="710"/>
    </row>
    <row r="6" spans="1:5" s="338" customFormat="1" ht="15.75" customHeight="1" x14ac:dyDescent="0.25">
      <c r="A6" s="710" t="s">
        <v>743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744</v>
      </c>
      <c r="D9" s="494" t="s">
        <v>745</v>
      </c>
      <c r="E9" s="495" t="s">
        <v>746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747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748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624</v>
      </c>
      <c r="C14" s="513">
        <v>157553804</v>
      </c>
      <c r="D14" s="513">
        <v>178027564</v>
      </c>
      <c r="E14" s="514">
        <f t="shared" ref="E14:E22" si="0">D14-C14</f>
        <v>20473760</v>
      </c>
    </row>
    <row r="15" spans="1:5" s="506" customFormat="1" x14ac:dyDescent="0.2">
      <c r="A15" s="512">
        <v>2</v>
      </c>
      <c r="B15" s="511" t="s">
        <v>603</v>
      </c>
      <c r="C15" s="513">
        <v>191475529</v>
      </c>
      <c r="D15" s="515">
        <v>210495804</v>
      </c>
      <c r="E15" s="514">
        <f t="shared" si="0"/>
        <v>19020275</v>
      </c>
    </row>
    <row r="16" spans="1:5" s="506" customFormat="1" x14ac:dyDescent="0.2">
      <c r="A16" s="512">
        <v>3</v>
      </c>
      <c r="B16" s="511" t="s">
        <v>749</v>
      </c>
      <c r="C16" s="513">
        <v>13238883</v>
      </c>
      <c r="D16" s="515">
        <v>20070523</v>
      </c>
      <c r="E16" s="514">
        <f t="shared" si="0"/>
        <v>6831640</v>
      </c>
    </row>
    <row r="17" spans="1:5" s="506" customFormat="1" x14ac:dyDescent="0.2">
      <c r="A17" s="512">
        <v>4</v>
      </c>
      <c r="B17" s="511" t="s">
        <v>114</v>
      </c>
      <c r="C17" s="513">
        <v>5974353</v>
      </c>
      <c r="D17" s="515">
        <v>9106454</v>
      </c>
      <c r="E17" s="514">
        <f t="shared" si="0"/>
        <v>3132101</v>
      </c>
    </row>
    <row r="18" spans="1:5" s="506" customFormat="1" x14ac:dyDescent="0.2">
      <c r="A18" s="512">
        <v>5</v>
      </c>
      <c r="B18" s="511" t="s">
        <v>716</v>
      </c>
      <c r="C18" s="513">
        <v>7264530</v>
      </c>
      <c r="D18" s="515">
        <v>10964069</v>
      </c>
      <c r="E18" s="514">
        <f t="shared" si="0"/>
        <v>3699539</v>
      </c>
    </row>
    <row r="19" spans="1:5" s="506" customFormat="1" x14ac:dyDescent="0.2">
      <c r="A19" s="512">
        <v>6</v>
      </c>
      <c r="B19" s="511" t="s">
        <v>418</v>
      </c>
      <c r="C19" s="513">
        <v>266274</v>
      </c>
      <c r="D19" s="515">
        <v>137517</v>
      </c>
      <c r="E19" s="514">
        <f t="shared" si="0"/>
        <v>-128757</v>
      </c>
    </row>
    <row r="20" spans="1:5" s="506" customFormat="1" x14ac:dyDescent="0.2">
      <c r="A20" s="512">
        <v>7</v>
      </c>
      <c r="B20" s="511" t="s">
        <v>731</v>
      </c>
      <c r="C20" s="513">
        <v>8103855</v>
      </c>
      <c r="D20" s="515">
        <v>8419911</v>
      </c>
      <c r="E20" s="514">
        <f t="shared" si="0"/>
        <v>316056</v>
      </c>
    </row>
    <row r="21" spans="1:5" s="506" customFormat="1" x14ac:dyDescent="0.2">
      <c r="A21" s="512"/>
      <c r="B21" s="516" t="s">
        <v>750</v>
      </c>
      <c r="C21" s="517">
        <f>SUM(C15+C16+C19)</f>
        <v>204980686</v>
      </c>
      <c r="D21" s="517">
        <f>SUM(D15+D16+D19)</f>
        <v>230703844</v>
      </c>
      <c r="E21" s="517">
        <f t="shared" si="0"/>
        <v>25723158</v>
      </c>
    </row>
    <row r="22" spans="1:5" s="506" customFormat="1" x14ac:dyDescent="0.2">
      <c r="A22" s="512"/>
      <c r="B22" s="516" t="s">
        <v>690</v>
      </c>
      <c r="C22" s="517">
        <f>SUM(C14+C21)</f>
        <v>362534490</v>
      </c>
      <c r="D22" s="517">
        <f>SUM(D14+D21)</f>
        <v>408731408</v>
      </c>
      <c r="E22" s="517">
        <f t="shared" si="0"/>
        <v>46196918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751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624</v>
      </c>
      <c r="C25" s="513">
        <v>324242786</v>
      </c>
      <c r="D25" s="513">
        <v>338694849</v>
      </c>
      <c r="E25" s="514">
        <f t="shared" ref="E25:E33" si="1">D25-C25</f>
        <v>14452063</v>
      </c>
    </row>
    <row r="26" spans="1:5" s="506" customFormat="1" x14ac:dyDescent="0.2">
      <c r="A26" s="512">
        <v>2</v>
      </c>
      <c r="B26" s="511" t="s">
        <v>603</v>
      </c>
      <c r="C26" s="513">
        <v>124687082</v>
      </c>
      <c r="D26" s="515">
        <v>130242934</v>
      </c>
      <c r="E26" s="514">
        <f t="shared" si="1"/>
        <v>5555852</v>
      </c>
    </row>
    <row r="27" spans="1:5" s="506" customFormat="1" x14ac:dyDescent="0.2">
      <c r="A27" s="512">
        <v>3</v>
      </c>
      <c r="B27" s="511" t="s">
        <v>749</v>
      </c>
      <c r="C27" s="513">
        <v>18039158</v>
      </c>
      <c r="D27" s="515">
        <v>22669478</v>
      </c>
      <c r="E27" s="514">
        <f t="shared" si="1"/>
        <v>4630320</v>
      </c>
    </row>
    <row r="28" spans="1:5" s="506" customFormat="1" x14ac:dyDescent="0.2">
      <c r="A28" s="512">
        <v>4</v>
      </c>
      <c r="B28" s="511" t="s">
        <v>114</v>
      </c>
      <c r="C28" s="513">
        <v>11023229</v>
      </c>
      <c r="D28" s="515">
        <v>14846248</v>
      </c>
      <c r="E28" s="514">
        <f t="shared" si="1"/>
        <v>3823019</v>
      </c>
    </row>
    <row r="29" spans="1:5" s="506" customFormat="1" x14ac:dyDescent="0.2">
      <c r="A29" s="512">
        <v>5</v>
      </c>
      <c r="B29" s="511" t="s">
        <v>716</v>
      </c>
      <c r="C29" s="513">
        <v>7015929</v>
      </c>
      <c r="D29" s="515">
        <v>7823230</v>
      </c>
      <c r="E29" s="514">
        <f t="shared" si="1"/>
        <v>807301</v>
      </c>
    </row>
    <row r="30" spans="1:5" s="506" customFormat="1" x14ac:dyDescent="0.2">
      <c r="A30" s="512">
        <v>6</v>
      </c>
      <c r="B30" s="511" t="s">
        <v>418</v>
      </c>
      <c r="C30" s="513">
        <v>377926</v>
      </c>
      <c r="D30" s="515">
        <v>394295</v>
      </c>
      <c r="E30" s="514">
        <f t="shared" si="1"/>
        <v>16369</v>
      </c>
    </row>
    <row r="31" spans="1:5" s="506" customFormat="1" x14ac:dyDescent="0.2">
      <c r="A31" s="512">
        <v>7</v>
      </c>
      <c r="B31" s="511" t="s">
        <v>731</v>
      </c>
      <c r="C31" s="514">
        <v>25299716</v>
      </c>
      <c r="D31" s="518">
        <v>25712243</v>
      </c>
      <c r="E31" s="514">
        <f t="shared" si="1"/>
        <v>412527</v>
      </c>
    </row>
    <row r="32" spans="1:5" s="506" customFormat="1" x14ac:dyDescent="0.2">
      <c r="A32" s="512"/>
      <c r="B32" s="516" t="s">
        <v>752</v>
      </c>
      <c r="C32" s="517">
        <f>SUM(C26+C27+C30)</f>
        <v>143104166</v>
      </c>
      <c r="D32" s="517">
        <f>SUM(D26+D27+D30)</f>
        <v>153306707</v>
      </c>
      <c r="E32" s="517">
        <f t="shared" si="1"/>
        <v>10202541</v>
      </c>
    </row>
    <row r="33" spans="1:5" s="506" customFormat="1" x14ac:dyDescent="0.2">
      <c r="A33" s="512"/>
      <c r="B33" s="516" t="s">
        <v>696</v>
      </c>
      <c r="C33" s="517">
        <f>SUM(C25+C32)</f>
        <v>467346952</v>
      </c>
      <c r="D33" s="517">
        <f>SUM(D25+D32)</f>
        <v>492001556</v>
      </c>
      <c r="E33" s="517">
        <f t="shared" si="1"/>
        <v>24654604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621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753</v>
      </c>
      <c r="C36" s="514">
        <f t="shared" ref="C36:D42" si="2">C14+C25</f>
        <v>481796590</v>
      </c>
      <c r="D36" s="514">
        <f t="shared" si="2"/>
        <v>516722413</v>
      </c>
      <c r="E36" s="514">
        <f t="shared" ref="E36:E44" si="3">D36-C36</f>
        <v>34925823</v>
      </c>
    </row>
    <row r="37" spans="1:5" s="506" customFormat="1" x14ac:dyDescent="0.2">
      <c r="A37" s="512">
        <v>2</v>
      </c>
      <c r="B37" s="511" t="s">
        <v>754</v>
      </c>
      <c r="C37" s="514">
        <f t="shared" si="2"/>
        <v>316162611</v>
      </c>
      <c r="D37" s="514">
        <f t="shared" si="2"/>
        <v>340738738</v>
      </c>
      <c r="E37" s="514">
        <f t="shared" si="3"/>
        <v>24576127</v>
      </c>
    </row>
    <row r="38" spans="1:5" s="506" customFormat="1" x14ac:dyDescent="0.2">
      <c r="A38" s="512">
        <v>3</v>
      </c>
      <c r="B38" s="511" t="s">
        <v>755</v>
      </c>
      <c r="C38" s="514">
        <f t="shared" si="2"/>
        <v>31278041</v>
      </c>
      <c r="D38" s="514">
        <f t="shared" si="2"/>
        <v>42740001</v>
      </c>
      <c r="E38" s="514">
        <f t="shared" si="3"/>
        <v>11461960</v>
      </c>
    </row>
    <row r="39" spans="1:5" s="506" customFormat="1" x14ac:dyDescent="0.2">
      <c r="A39" s="512">
        <v>4</v>
      </c>
      <c r="B39" s="511" t="s">
        <v>756</v>
      </c>
      <c r="C39" s="514">
        <f t="shared" si="2"/>
        <v>16997582</v>
      </c>
      <c r="D39" s="514">
        <f t="shared" si="2"/>
        <v>23952702</v>
      </c>
      <c r="E39" s="514">
        <f t="shared" si="3"/>
        <v>6955120</v>
      </c>
    </row>
    <row r="40" spans="1:5" s="506" customFormat="1" x14ac:dyDescent="0.2">
      <c r="A40" s="512">
        <v>5</v>
      </c>
      <c r="B40" s="511" t="s">
        <v>757</v>
      </c>
      <c r="C40" s="514">
        <f t="shared" si="2"/>
        <v>14280459</v>
      </c>
      <c r="D40" s="514">
        <f t="shared" si="2"/>
        <v>18787299</v>
      </c>
      <c r="E40" s="514">
        <f t="shared" si="3"/>
        <v>4506840</v>
      </c>
    </row>
    <row r="41" spans="1:5" s="506" customFormat="1" x14ac:dyDescent="0.2">
      <c r="A41" s="512">
        <v>6</v>
      </c>
      <c r="B41" s="511" t="s">
        <v>758</v>
      </c>
      <c r="C41" s="514">
        <f t="shared" si="2"/>
        <v>644200</v>
      </c>
      <c r="D41" s="514">
        <f t="shared" si="2"/>
        <v>531812</v>
      </c>
      <c r="E41" s="514">
        <f t="shared" si="3"/>
        <v>-112388</v>
      </c>
    </row>
    <row r="42" spans="1:5" s="506" customFormat="1" x14ac:dyDescent="0.2">
      <c r="A42" s="512">
        <v>7</v>
      </c>
      <c r="B42" s="511" t="s">
        <v>759</v>
      </c>
      <c r="C42" s="514">
        <f t="shared" si="2"/>
        <v>33403571</v>
      </c>
      <c r="D42" s="514">
        <f t="shared" si="2"/>
        <v>34132154</v>
      </c>
      <c r="E42" s="514">
        <f t="shared" si="3"/>
        <v>728583</v>
      </c>
    </row>
    <row r="43" spans="1:5" s="506" customFormat="1" x14ac:dyDescent="0.2">
      <c r="A43" s="512"/>
      <c r="B43" s="516" t="s">
        <v>760</v>
      </c>
      <c r="C43" s="517">
        <f>SUM(C37+C38+C41)</f>
        <v>348084852</v>
      </c>
      <c r="D43" s="517">
        <f>SUM(D37+D38+D41)</f>
        <v>384010551</v>
      </c>
      <c r="E43" s="517">
        <f t="shared" si="3"/>
        <v>35925699</v>
      </c>
    </row>
    <row r="44" spans="1:5" s="506" customFormat="1" x14ac:dyDescent="0.2">
      <c r="A44" s="512"/>
      <c r="B44" s="516" t="s">
        <v>698</v>
      </c>
      <c r="C44" s="517">
        <f>SUM(C36+C43)</f>
        <v>829881442</v>
      </c>
      <c r="D44" s="517">
        <f>SUM(D36+D43)</f>
        <v>900732964</v>
      </c>
      <c r="E44" s="517">
        <f t="shared" si="3"/>
        <v>70851522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761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624</v>
      </c>
      <c r="C47" s="513">
        <v>61548564</v>
      </c>
      <c r="D47" s="513">
        <v>69954026</v>
      </c>
      <c r="E47" s="514">
        <f t="shared" ref="E47:E55" si="4">D47-C47</f>
        <v>8405462</v>
      </c>
    </row>
    <row r="48" spans="1:5" s="506" customFormat="1" x14ac:dyDescent="0.2">
      <c r="A48" s="512">
        <v>2</v>
      </c>
      <c r="B48" s="511" t="s">
        <v>603</v>
      </c>
      <c r="C48" s="513">
        <v>51163674</v>
      </c>
      <c r="D48" s="515">
        <v>52168576</v>
      </c>
      <c r="E48" s="514">
        <f t="shared" si="4"/>
        <v>1004902</v>
      </c>
    </row>
    <row r="49" spans="1:5" s="506" customFormat="1" x14ac:dyDescent="0.2">
      <c r="A49" s="512">
        <v>3</v>
      </c>
      <c r="B49" s="511" t="s">
        <v>749</v>
      </c>
      <c r="C49" s="513">
        <v>3731057</v>
      </c>
      <c r="D49" s="515">
        <v>5468936</v>
      </c>
      <c r="E49" s="514">
        <f t="shared" si="4"/>
        <v>1737879</v>
      </c>
    </row>
    <row r="50" spans="1:5" s="506" customFormat="1" x14ac:dyDescent="0.2">
      <c r="A50" s="512">
        <v>4</v>
      </c>
      <c r="B50" s="511" t="s">
        <v>114</v>
      </c>
      <c r="C50" s="513">
        <v>2076453</v>
      </c>
      <c r="D50" s="515">
        <v>2077009</v>
      </c>
      <c r="E50" s="514">
        <f t="shared" si="4"/>
        <v>556</v>
      </c>
    </row>
    <row r="51" spans="1:5" s="506" customFormat="1" x14ac:dyDescent="0.2">
      <c r="A51" s="512">
        <v>5</v>
      </c>
      <c r="B51" s="511" t="s">
        <v>716</v>
      </c>
      <c r="C51" s="513">
        <v>1654604</v>
      </c>
      <c r="D51" s="515">
        <v>3391927</v>
      </c>
      <c r="E51" s="514">
        <f t="shared" si="4"/>
        <v>1737323</v>
      </c>
    </row>
    <row r="52" spans="1:5" s="506" customFormat="1" x14ac:dyDescent="0.2">
      <c r="A52" s="512">
        <v>6</v>
      </c>
      <c r="B52" s="511" t="s">
        <v>418</v>
      </c>
      <c r="C52" s="513">
        <v>63719</v>
      </c>
      <c r="D52" s="515">
        <v>10408</v>
      </c>
      <c r="E52" s="514">
        <f t="shared" si="4"/>
        <v>-53311</v>
      </c>
    </row>
    <row r="53" spans="1:5" s="506" customFormat="1" x14ac:dyDescent="0.2">
      <c r="A53" s="512">
        <v>7</v>
      </c>
      <c r="B53" s="511" t="s">
        <v>731</v>
      </c>
      <c r="C53" s="513">
        <v>1073055</v>
      </c>
      <c r="D53" s="515">
        <v>885530</v>
      </c>
      <c r="E53" s="514">
        <f t="shared" si="4"/>
        <v>-187525</v>
      </c>
    </row>
    <row r="54" spans="1:5" s="506" customFormat="1" x14ac:dyDescent="0.2">
      <c r="A54" s="512"/>
      <c r="B54" s="516" t="s">
        <v>762</v>
      </c>
      <c r="C54" s="517">
        <f>SUM(C48+C49+C52)</f>
        <v>54958450</v>
      </c>
      <c r="D54" s="517">
        <f>SUM(D48+D49+D52)</f>
        <v>57647920</v>
      </c>
      <c r="E54" s="517">
        <f t="shared" si="4"/>
        <v>2689470</v>
      </c>
    </row>
    <row r="55" spans="1:5" s="506" customFormat="1" x14ac:dyDescent="0.2">
      <c r="A55" s="512"/>
      <c r="B55" s="516" t="s">
        <v>691</v>
      </c>
      <c r="C55" s="517">
        <f>SUM(C47+C54)</f>
        <v>116507014</v>
      </c>
      <c r="D55" s="517">
        <f>SUM(D47+D54)</f>
        <v>127601946</v>
      </c>
      <c r="E55" s="517">
        <f t="shared" si="4"/>
        <v>11094932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763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624</v>
      </c>
      <c r="C58" s="513">
        <v>122241013</v>
      </c>
      <c r="D58" s="513">
        <v>116973107</v>
      </c>
      <c r="E58" s="514">
        <f t="shared" ref="E58:E66" si="5">D58-C58</f>
        <v>-5267906</v>
      </c>
    </row>
    <row r="59" spans="1:5" s="506" customFormat="1" x14ac:dyDescent="0.2">
      <c r="A59" s="512">
        <v>2</v>
      </c>
      <c r="B59" s="511" t="s">
        <v>603</v>
      </c>
      <c r="C59" s="513">
        <v>23926080</v>
      </c>
      <c r="D59" s="515">
        <v>22736943</v>
      </c>
      <c r="E59" s="514">
        <f t="shared" si="5"/>
        <v>-1189137</v>
      </c>
    </row>
    <row r="60" spans="1:5" s="506" customFormat="1" x14ac:dyDescent="0.2">
      <c r="A60" s="512">
        <v>3</v>
      </c>
      <c r="B60" s="511" t="s">
        <v>749</v>
      </c>
      <c r="C60" s="513">
        <f>C61+C62</f>
        <v>3089932</v>
      </c>
      <c r="D60" s="515">
        <f>D61+D62</f>
        <v>3062467</v>
      </c>
      <c r="E60" s="514">
        <f t="shared" si="5"/>
        <v>-27465</v>
      </c>
    </row>
    <row r="61" spans="1:5" s="506" customFormat="1" x14ac:dyDescent="0.2">
      <c r="A61" s="512">
        <v>4</v>
      </c>
      <c r="B61" s="511" t="s">
        <v>114</v>
      </c>
      <c r="C61" s="513">
        <v>2419393</v>
      </c>
      <c r="D61" s="515">
        <v>2263307</v>
      </c>
      <c r="E61" s="514">
        <f t="shared" si="5"/>
        <v>-156086</v>
      </c>
    </row>
    <row r="62" spans="1:5" s="506" customFormat="1" x14ac:dyDescent="0.2">
      <c r="A62" s="512">
        <v>5</v>
      </c>
      <c r="B62" s="511" t="s">
        <v>716</v>
      </c>
      <c r="C62" s="513">
        <v>670539</v>
      </c>
      <c r="D62" s="515">
        <v>799160</v>
      </c>
      <c r="E62" s="514">
        <f t="shared" si="5"/>
        <v>128621</v>
      </c>
    </row>
    <row r="63" spans="1:5" s="506" customFormat="1" x14ac:dyDescent="0.2">
      <c r="A63" s="512">
        <v>6</v>
      </c>
      <c r="B63" s="511" t="s">
        <v>418</v>
      </c>
      <c r="C63" s="513">
        <v>162577</v>
      </c>
      <c r="D63" s="515">
        <v>27059</v>
      </c>
      <c r="E63" s="514">
        <f t="shared" si="5"/>
        <v>-135518</v>
      </c>
    </row>
    <row r="64" spans="1:5" s="506" customFormat="1" x14ac:dyDescent="0.2">
      <c r="A64" s="512">
        <v>7</v>
      </c>
      <c r="B64" s="511" t="s">
        <v>731</v>
      </c>
      <c r="C64" s="513">
        <v>3350009</v>
      </c>
      <c r="D64" s="515">
        <v>2704180</v>
      </c>
      <c r="E64" s="514">
        <f t="shared" si="5"/>
        <v>-645829</v>
      </c>
    </row>
    <row r="65" spans="1:5" s="506" customFormat="1" x14ac:dyDescent="0.2">
      <c r="A65" s="512"/>
      <c r="B65" s="516" t="s">
        <v>764</v>
      </c>
      <c r="C65" s="517">
        <f>SUM(C59+C60+C63)</f>
        <v>27178589</v>
      </c>
      <c r="D65" s="517">
        <f>SUM(D59+D60+D63)</f>
        <v>25826469</v>
      </c>
      <c r="E65" s="517">
        <f t="shared" si="5"/>
        <v>-1352120</v>
      </c>
    </row>
    <row r="66" spans="1:5" s="506" customFormat="1" x14ac:dyDescent="0.2">
      <c r="A66" s="512"/>
      <c r="B66" s="516" t="s">
        <v>697</v>
      </c>
      <c r="C66" s="517">
        <f>SUM(C58+C65)</f>
        <v>149419602</v>
      </c>
      <c r="D66" s="517">
        <f>SUM(D58+D65)</f>
        <v>142799576</v>
      </c>
      <c r="E66" s="517">
        <f t="shared" si="5"/>
        <v>-6620026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622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753</v>
      </c>
      <c r="C69" s="514">
        <f t="shared" ref="C69:D75" si="6">C47+C58</f>
        <v>183789577</v>
      </c>
      <c r="D69" s="514">
        <f t="shared" si="6"/>
        <v>186927133</v>
      </c>
      <c r="E69" s="514">
        <f t="shared" ref="E69:E77" si="7">D69-C69</f>
        <v>3137556</v>
      </c>
    </row>
    <row r="70" spans="1:5" s="506" customFormat="1" x14ac:dyDescent="0.2">
      <c r="A70" s="512">
        <v>2</v>
      </c>
      <c r="B70" s="511" t="s">
        <v>754</v>
      </c>
      <c r="C70" s="514">
        <f t="shared" si="6"/>
        <v>75089754</v>
      </c>
      <c r="D70" s="514">
        <f t="shared" si="6"/>
        <v>74905519</v>
      </c>
      <c r="E70" s="514">
        <f t="shared" si="7"/>
        <v>-184235</v>
      </c>
    </row>
    <row r="71" spans="1:5" s="506" customFormat="1" x14ac:dyDescent="0.2">
      <c r="A71" s="512">
        <v>3</v>
      </c>
      <c r="B71" s="511" t="s">
        <v>755</v>
      </c>
      <c r="C71" s="514">
        <f t="shared" si="6"/>
        <v>6820989</v>
      </c>
      <c r="D71" s="514">
        <f t="shared" si="6"/>
        <v>8531403</v>
      </c>
      <c r="E71" s="514">
        <f t="shared" si="7"/>
        <v>1710414</v>
      </c>
    </row>
    <row r="72" spans="1:5" s="506" customFormat="1" x14ac:dyDescent="0.2">
      <c r="A72" s="512">
        <v>4</v>
      </c>
      <c r="B72" s="511" t="s">
        <v>756</v>
      </c>
      <c r="C72" s="514">
        <f t="shared" si="6"/>
        <v>4495846</v>
      </c>
      <c r="D72" s="514">
        <f t="shared" si="6"/>
        <v>4340316</v>
      </c>
      <c r="E72" s="514">
        <f t="shared" si="7"/>
        <v>-155530</v>
      </c>
    </row>
    <row r="73" spans="1:5" s="506" customFormat="1" x14ac:dyDescent="0.2">
      <c r="A73" s="512">
        <v>5</v>
      </c>
      <c r="B73" s="511" t="s">
        <v>757</v>
      </c>
      <c r="C73" s="514">
        <f t="shared" si="6"/>
        <v>2325143</v>
      </c>
      <c r="D73" s="514">
        <f t="shared" si="6"/>
        <v>4191087</v>
      </c>
      <c r="E73" s="514">
        <f t="shared" si="7"/>
        <v>1865944</v>
      </c>
    </row>
    <row r="74" spans="1:5" s="506" customFormat="1" x14ac:dyDescent="0.2">
      <c r="A74" s="512">
        <v>6</v>
      </c>
      <c r="B74" s="511" t="s">
        <v>758</v>
      </c>
      <c r="C74" s="514">
        <f t="shared" si="6"/>
        <v>226296</v>
      </c>
      <c r="D74" s="514">
        <f t="shared" si="6"/>
        <v>37467</v>
      </c>
      <c r="E74" s="514">
        <f t="shared" si="7"/>
        <v>-188829</v>
      </c>
    </row>
    <row r="75" spans="1:5" s="506" customFormat="1" x14ac:dyDescent="0.2">
      <c r="A75" s="512">
        <v>7</v>
      </c>
      <c r="B75" s="511" t="s">
        <v>759</v>
      </c>
      <c r="C75" s="514">
        <f t="shared" si="6"/>
        <v>4423064</v>
      </c>
      <c r="D75" s="514">
        <f t="shared" si="6"/>
        <v>3589710</v>
      </c>
      <c r="E75" s="514">
        <f t="shared" si="7"/>
        <v>-833354</v>
      </c>
    </row>
    <row r="76" spans="1:5" s="506" customFormat="1" x14ac:dyDescent="0.2">
      <c r="A76" s="512"/>
      <c r="B76" s="516" t="s">
        <v>765</v>
      </c>
      <c r="C76" s="517">
        <f>SUM(C70+C71+C74)</f>
        <v>82137039</v>
      </c>
      <c r="D76" s="517">
        <f>SUM(D70+D71+D74)</f>
        <v>83474389</v>
      </c>
      <c r="E76" s="517">
        <f t="shared" si="7"/>
        <v>1337350</v>
      </c>
    </row>
    <row r="77" spans="1:5" s="506" customFormat="1" x14ac:dyDescent="0.2">
      <c r="A77" s="512"/>
      <c r="B77" s="516" t="s">
        <v>699</v>
      </c>
      <c r="C77" s="517">
        <f>SUM(C69+C76)</f>
        <v>265926616</v>
      </c>
      <c r="D77" s="517">
        <f>SUM(D69+D76)</f>
        <v>270401522</v>
      </c>
      <c r="E77" s="517">
        <f t="shared" si="7"/>
        <v>4474906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766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767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624</v>
      </c>
      <c r="C83" s="523">
        <f t="shared" ref="C83:D89" si="8">IF(C$44=0,0,C14/C$44)</f>
        <v>0.18985097873775564</v>
      </c>
      <c r="D83" s="523">
        <f t="shared" si="8"/>
        <v>0.19764743949128968</v>
      </c>
      <c r="E83" s="523">
        <f t="shared" ref="E83:E91" si="9">D83-C83</f>
        <v>7.7964607535340458E-3</v>
      </c>
    </row>
    <row r="84" spans="1:5" s="506" customFormat="1" x14ac:dyDescent="0.2">
      <c r="A84" s="512">
        <v>2</v>
      </c>
      <c r="B84" s="511" t="s">
        <v>603</v>
      </c>
      <c r="C84" s="523">
        <f t="shared" si="8"/>
        <v>0.23072636561018556</v>
      </c>
      <c r="D84" s="523">
        <f t="shared" si="8"/>
        <v>0.23369390531154136</v>
      </c>
      <c r="E84" s="523">
        <f t="shared" si="9"/>
        <v>2.967539701355798E-3</v>
      </c>
    </row>
    <row r="85" spans="1:5" s="506" customFormat="1" x14ac:dyDescent="0.2">
      <c r="A85" s="512">
        <v>3</v>
      </c>
      <c r="B85" s="511" t="s">
        <v>749</v>
      </c>
      <c r="C85" s="523">
        <f t="shared" si="8"/>
        <v>1.5952740150562375E-2</v>
      </c>
      <c r="D85" s="523">
        <f t="shared" si="8"/>
        <v>2.228243419766749E-2</v>
      </c>
      <c r="E85" s="523">
        <f t="shared" si="9"/>
        <v>6.3296940471051152E-3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7.1990439810316904E-3</v>
      </c>
      <c r="D86" s="523">
        <f t="shared" si="8"/>
        <v>1.0110048553746502E-2</v>
      </c>
      <c r="E86" s="523">
        <f t="shared" si="9"/>
        <v>2.9110045727148114E-3</v>
      </c>
    </row>
    <row r="87" spans="1:5" s="506" customFormat="1" x14ac:dyDescent="0.2">
      <c r="A87" s="512">
        <v>5</v>
      </c>
      <c r="B87" s="511" t="s">
        <v>716</v>
      </c>
      <c r="C87" s="523">
        <f t="shared" si="8"/>
        <v>8.7536961695306829E-3</v>
      </c>
      <c r="D87" s="523">
        <f t="shared" si="8"/>
        <v>1.2172385643920989E-2</v>
      </c>
      <c r="E87" s="523">
        <f t="shared" si="9"/>
        <v>3.4186894743903056E-3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3.2085787984158828E-4</v>
      </c>
      <c r="D88" s="523">
        <f t="shared" si="8"/>
        <v>1.5267232964286183E-4</v>
      </c>
      <c r="E88" s="523">
        <f t="shared" si="9"/>
        <v>-1.6818555019872645E-4</v>
      </c>
    </row>
    <row r="89" spans="1:5" s="506" customFormat="1" x14ac:dyDescent="0.2">
      <c r="A89" s="512">
        <v>7</v>
      </c>
      <c r="B89" s="511" t="s">
        <v>731</v>
      </c>
      <c r="C89" s="523">
        <f t="shared" si="8"/>
        <v>9.7650755756989206E-3</v>
      </c>
      <c r="D89" s="523">
        <f t="shared" si="8"/>
        <v>9.3478437411778793E-3</v>
      </c>
      <c r="E89" s="523">
        <f t="shared" si="9"/>
        <v>-4.1723183452104136E-4</v>
      </c>
    </row>
    <row r="90" spans="1:5" s="506" customFormat="1" x14ac:dyDescent="0.2">
      <c r="A90" s="512"/>
      <c r="B90" s="516" t="s">
        <v>768</v>
      </c>
      <c r="C90" s="524">
        <f>SUM(C84+C85+C88)</f>
        <v>0.24699996364058951</v>
      </c>
      <c r="D90" s="524">
        <f>SUM(D84+D85+D88)</f>
        <v>0.25612901183885173</v>
      </c>
      <c r="E90" s="525">
        <f t="shared" si="9"/>
        <v>9.1290481982622129E-3</v>
      </c>
    </row>
    <row r="91" spans="1:5" s="506" customFormat="1" x14ac:dyDescent="0.2">
      <c r="A91" s="512"/>
      <c r="B91" s="516" t="s">
        <v>769</v>
      </c>
      <c r="C91" s="524">
        <f>SUM(C83+C90)</f>
        <v>0.43685094237834515</v>
      </c>
      <c r="D91" s="524">
        <f>SUM(D83+D90)</f>
        <v>0.45377645133014144</v>
      </c>
      <c r="E91" s="525">
        <f t="shared" si="9"/>
        <v>1.6925508951796286E-2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770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624</v>
      </c>
      <c r="C95" s="523">
        <f t="shared" ref="C95:D101" si="10">IF(C$44=0,0,C25/C$44)</f>
        <v>0.39070976839604998</v>
      </c>
      <c r="D95" s="523">
        <f t="shared" si="10"/>
        <v>0.3760213765197562</v>
      </c>
      <c r="E95" s="523">
        <f t="shared" ref="E95:E103" si="11">D95-C95</f>
        <v>-1.4688391876293783E-2</v>
      </c>
    </row>
    <row r="96" spans="1:5" s="506" customFormat="1" x14ac:dyDescent="0.2">
      <c r="A96" s="512">
        <v>2</v>
      </c>
      <c r="B96" s="511" t="s">
        <v>603</v>
      </c>
      <c r="C96" s="523">
        <f t="shared" si="10"/>
        <v>0.15024686140649957</v>
      </c>
      <c r="D96" s="523">
        <f t="shared" si="10"/>
        <v>0.14459661098847049</v>
      </c>
      <c r="E96" s="523">
        <f t="shared" si="11"/>
        <v>-5.6502504180290791E-3</v>
      </c>
    </row>
    <row r="97" spans="1:5" s="506" customFormat="1" x14ac:dyDescent="0.2">
      <c r="A97" s="512">
        <v>3</v>
      </c>
      <c r="B97" s="511" t="s">
        <v>749</v>
      </c>
      <c r="C97" s="523">
        <f t="shared" si="10"/>
        <v>2.1737030239555592E-2</v>
      </c>
      <c r="D97" s="523">
        <f t="shared" si="10"/>
        <v>2.5167812110848869E-2</v>
      </c>
      <c r="E97" s="523">
        <f t="shared" si="11"/>
        <v>3.4307818712932779E-3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1.3282896136867705E-2</v>
      </c>
      <c r="D98" s="523">
        <f t="shared" si="10"/>
        <v>1.6482407764972173E-2</v>
      </c>
      <c r="E98" s="523">
        <f t="shared" si="11"/>
        <v>3.1995116281044681E-3</v>
      </c>
    </row>
    <row r="99" spans="1:5" s="506" customFormat="1" x14ac:dyDescent="0.2">
      <c r="A99" s="512">
        <v>5</v>
      </c>
      <c r="B99" s="511" t="s">
        <v>716</v>
      </c>
      <c r="C99" s="523">
        <f t="shared" si="10"/>
        <v>8.454134102687888E-3</v>
      </c>
      <c r="D99" s="523">
        <f t="shared" si="10"/>
        <v>8.6854043458766995E-3</v>
      </c>
      <c r="E99" s="523">
        <f t="shared" si="11"/>
        <v>2.3127024318881154E-4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4.5539757954968224E-4</v>
      </c>
      <c r="D100" s="523">
        <f t="shared" si="10"/>
        <v>4.3774905078304652E-4</v>
      </c>
      <c r="E100" s="523">
        <f t="shared" si="11"/>
        <v>-1.7648528766635719E-5</v>
      </c>
    </row>
    <row r="101" spans="1:5" s="506" customFormat="1" x14ac:dyDescent="0.2">
      <c r="A101" s="512">
        <v>7</v>
      </c>
      <c r="B101" s="511" t="s">
        <v>731</v>
      </c>
      <c r="C101" s="523">
        <f t="shared" si="10"/>
        <v>3.0485940183248489E-2</v>
      </c>
      <c r="D101" s="523">
        <f t="shared" si="10"/>
        <v>2.8545910972122477E-2</v>
      </c>
      <c r="E101" s="523">
        <f t="shared" si="11"/>
        <v>-1.9400292111260119E-3</v>
      </c>
    </row>
    <row r="102" spans="1:5" s="506" customFormat="1" x14ac:dyDescent="0.2">
      <c r="A102" s="512"/>
      <c r="B102" s="516" t="s">
        <v>771</v>
      </c>
      <c r="C102" s="524">
        <f>SUM(C96+C97+C100)</f>
        <v>0.17243928922560484</v>
      </c>
      <c r="D102" s="524">
        <f>SUM(D96+D97+D100)</f>
        <v>0.17020217215010242</v>
      </c>
      <c r="E102" s="525">
        <f t="shared" si="11"/>
        <v>-2.2371170755024206E-3</v>
      </c>
    </row>
    <row r="103" spans="1:5" s="506" customFormat="1" x14ac:dyDescent="0.2">
      <c r="A103" s="512"/>
      <c r="B103" s="516" t="s">
        <v>772</v>
      </c>
      <c r="C103" s="524">
        <f>SUM(C95+C102)</f>
        <v>0.56314905762165479</v>
      </c>
      <c r="D103" s="524">
        <f>SUM(D95+D102)</f>
        <v>0.54622354866985856</v>
      </c>
      <c r="E103" s="525">
        <f t="shared" si="11"/>
        <v>-1.6925508951796231E-2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773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774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624</v>
      </c>
      <c r="C109" s="523">
        <f t="shared" ref="C109:D115" si="12">IF(C$77=0,0,C47/C$77)</f>
        <v>0.23144943114682437</v>
      </c>
      <c r="D109" s="523">
        <f t="shared" si="12"/>
        <v>0.25870426128740504</v>
      </c>
      <c r="E109" s="523">
        <f t="shared" ref="E109:E117" si="13">D109-C109</f>
        <v>2.7254830140580666E-2</v>
      </c>
    </row>
    <row r="110" spans="1:5" s="506" customFormat="1" x14ac:dyDescent="0.2">
      <c r="A110" s="512">
        <v>2</v>
      </c>
      <c r="B110" s="511" t="s">
        <v>603</v>
      </c>
      <c r="C110" s="523">
        <f t="shared" si="12"/>
        <v>0.19239771772224559</v>
      </c>
      <c r="D110" s="523">
        <f t="shared" si="12"/>
        <v>0.19293003831539085</v>
      </c>
      <c r="E110" s="523">
        <f t="shared" si="13"/>
        <v>5.3232059314525793E-4</v>
      </c>
    </row>
    <row r="111" spans="1:5" s="506" customFormat="1" x14ac:dyDescent="0.2">
      <c r="A111" s="512">
        <v>3</v>
      </c>
      <c r="B111" s="511" t="s">
        <v>749</v>
      </c>
      <c r="C111" s="523">
        <f t="shared" si="12"/>
        <v>1.4030400777934918E-2</v>
      </c>
      <c r="D111" s="523">
        <f t="shared" si="12"/>
        <v>2.0225241187806629E-2</v>
      </c>
      <c r="E111" s="523">
        <f t="shared" si="13"/>
        <v>6.1948404098717113E-3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7.8083684560555609E-3</v>
      </c>
      <c r="D112" s="523">
        <f t="shared" si="12"/>
        <v>7.6812030666010825E-3</v>
      </c>
      <c r="E112" s="523">
        <f t="shared" si="13"/>
        <v>-1.2716538945447848E-4</v>
      </c>
    </row>
    <row r="113" spans="1:5" s="506" customFormat="1" x14ac:dyDescent="0.2">
      <c r="A113" s="512">
        <v>5</v>
      </c>
      <c r="B113" s="511" t="s">
        <v>716</v>
      </c>
      <c r="C113" s="523">
        <f t="shared" si="12"/>
        <v>6.2220323218793562E-3</v>
      </c>
      <c r="D113" s="523">
        <f t="shared" si="12"/>
        <v>1.2544038121205546E-2</v>
      </c>
      <c r="E113" s="523">
        <f t="shared" si="13"/>
        <v>6.3220057993261898E-3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2.3961121665234142E-4</v>
      </c>
      <c r="D114" s="523">
        <f t="shared" si="12"/>
        <v>3.8490907606651712E-5</v>
      </c>
      <c r="E114" s="523">
        <f t="shared" si="13"/>
        <v>-2.011203090456897E-4</v>
      </c>
    </row>
    <row r="115" spans="1:5" s="506" customFormat="1" x14ac:dyDescent="0.2">
      <c r="A115" s="512">
        <v>7</v>
      </c>
      <c r="B115" s="511" t="s">
        <v>731</v>
      </c>
      <c r="C115" s="523">
        <f t="shared" si="12"/>
        <v>4.0351545706128191E-3</v>
      </c>
      <c r="D115" s="523">
        <f t="shared" si="12"/>
        <v>3.2748706199959925E-3</v>
      </c>
      <c r="E115" s="523">
        <f t="shared" si="13"/>
        <v>-7.6028395061682663E-4</v>
      </c>
    </row>
    <row r="116" spans="1:5" s="506" customFormat="1" x14ac:dyDescent="0.2">
      <c r="A116" s="512"/>
      <c r="B116" s="516" t="s">
        <v>768</v>
      </c>
      <c r="C116" s="524">
        <f>SUM(C110+C111+C114)</f>
        <v>0.20666772971683284</v>
      </c>
      <c r="D116" s="524">
        <f>SUM(D110+D111+D114)</f>
        <v>0.21319377041080415</v>
      </c>
      <c r="E116" s="525">
        <f t="shared" si="13"/>
        <v>6.5260406939713078E-3</v>
      </c>
    </row>
    <row r="117" spans="1:5" s="506" customFormat="1" x14ac:dyDescent="0.2">
      <c r="A117" s="512"/>
      <c r="B117" s="516" t="s">
        <v>769</v>
      </c>
      <c r="C117" s="524">
        <f>SUM(C109+C116)</f>
        <v>0.43811716086365721</v>
      </c>
      <c r="D117" s="524">
        <f>SUM(D109+D116)</f>
        <v>0.47189803169820921</v>
      </c>
      <c r="E117" s="525">
        <f t="shared" si="13"/>
        <v>3.3780870834552001E-2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775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624</v>
      </c>
      <c r="C121" s="523">
        <f t="shared" ref="C121:D127" si="14">IF(C$77=0,0,C58/C$77)</f>
        <v>0.45967949669242586</v>
      </c>
      <c r="D121" s="523">
        <f t="shared" si="14"/>
        <v>0.43259041641045198</v>
      </c>
      <c r="E121" s="523">
        <f t="shared" ref="E121:E129" si="15">D121-C121</f>
        <v>-2.7089080281973876E-2</v>
      </c>
    </row>
    <row r="122" spans="1:5" s="506" customFormat="1" x14ac:dyDescent="0.2">
      <c r="A122" s="512">
        <v>2</v>
      </c>
      <c r="B122" s="511" t="s">
        <v>603</v>
      </c>
      <c r="C122" s="523">
        <f t="shared" si="14"/>
        <v>8.9972490756622878E-2</v>
      </c>
      <c r="D122" s="523">
        <f t="shared" si="14"/>
        <v>8.4085854368822668E-2</v>
      </c>
      <c r="E122" s="523">
        <f t="shared" si="15"/>
        <v>-5.8866363878002093E-3</v>
      </c>
    </row>
    <row r="123" spans="1:5" s="506" customFormat="1" x14ac:dyDescent="0.2">
      <c r="A123" s="512">
        <v>3</v>
      </c>
      <c r="B123" s="511" t="s">
        <v>749</v>
      </c>
      <c r="C123" s="523">
        <f t="shared" si="14"/>
        <v>1.1619491296049885E-2</v>
      </c>
      <c r="D123" s="523">
        <f t="shared" si="14"/>
        <v>1.1325627819506134E-2</v>
      </c>
      <c r="E123" s="523">
        <f t="shared" si="15"/>
        <v>-2.9386347654375075E-4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9.0979723518912446E-3</v>
      </c>
      <c r="D124" s="523">
        <f t="shared" si="14"/>
        <v>8.37017108209916E-3</v>
      </c>
      <c r="E124" s="523">
        <f t="shared" si="15"/>
        <v>-7.2780126979208465E-4</v>
      </c>
    </row>
    <row r="125" spans="1:5" s="506" customFormat="1" x14ac:dyDescent="0.2">
      <c r="A125" s="512">
        <v>5</v>
      </c>
      <c r="B125" s="511" t="s">
        <v>716</v>
      </c>
      <c r="C125" s="523">
        <f t="shared" si="14"/>
        <v>2.5215189441586397E-3</v>
      </c>
      <c r="D125" s="523">
        <f t="shared" si="14"/>
        <v>2.9554567374069736E-3</v>
      </c>
      <c r="E125" s="523">
        <f t="shared" si="15"/>
        <v>4.339377932483339E-4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6.1136039124417695E-4</v>
      </c>
      <c r="D126" s="523">
        <f t="shared" si="14"/>
        <v>1.0006970301002966E-4</v>
      </c>
      <c r="E126" s="523">
        <f t="shared" si="15"/>
        <v>-5.1129068823414726E-4</v>
      </c>
    </row>
    <row r="127" spans="1:5" s="506" customFormat="1" x14ac:dyDescent="0.2">
      <c r="A127" s="512">
        <v>7</v>
      </c>
      <c r="B127" s="511" t="s">
        <v>731</v>
      </c>
      <c r="C127" s="523">
        <f t="shared" si="14"/>
        <v>1.2597494189900872E-2</v>
      </c>
      <c r="D127" s="523">
        <f t="shared" si="14"/>
        <v>1.0000609390061052E-2</v>
      </c>
      <c r="E127" s="523">
        <f t="shared" si="15"/>
        <v>-2.5968847998398201E-3</v>
      </c>
    </row>
    <row r="128" spans="1:5" s="506" customFormat="1" x14ac:dyDescent="0.2">
      <c r="A128" s="512"/>
      <c r="B128" s="516" t="s">
        <v>771</v>
      </c>
      <c r="C128" s="524">
        <f>SUM(C122+C123+C126)</f>
        <v>0.10220334244391695</v>
      </c>
      <c r="D128" s="524">
        <f>SUM(D122+D123+D126)</f>
        <v>9.5511551891338836E-2</v>
      </c>
      <c r="E128" s="525">
        <f t="shared" si="15"/>
        <v>-6.6917905525781113E-3</v>
      </c>
    </row>
    <row r="129" spans="1:5" s="506" customFormat="1" x14ac:dyDescent="0.2">
      <c r="A129" s="512"/>
      <c r="B129" s="516" t="s">
        <v>772</v>
      </c>
      <c r="C129" s="524">
        <f>SUM(C121+C128)</f>
        <v>0.56188283913634285</v>
      </c>
      <c r="D129" s="524">
        <f>SUM(D121+D128)</f>
        <v>0.52810196830179079</v>
      </c>
      <c r="E129" s="525">
        <f t="shared" si="15"/>
        <v>-3.3780870834552057E-2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776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777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778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624</v>
      </c>
      <c r="C137" s="530">
        <v>7298</v>
      </c>
      <c r="D137" s="530">
        <v>7582</v>
      </c>
      <c r="E137" s="531">
        <f t="shared" ref="E137:E145" si="16">D137-C137</f>
        <v>284</v>
      </c>
    </row>
    <row r="138" spans="1:5" s="506" customFormat="1" x14ac:dyDescent="0.2">
      <c r="A138" s="512">
        <v>2</v>
      </c>
      <c r="B138" s="511" t="s">
        <v>603</v>
      </c>
      <c r="C138" s="530">
        <v>5054</v>
      </c>
      <c r="D138" s="530">
        <v>5269</v>
      </c>
      <c r="E138" s="531">
        <f t="shared" si="16"/>
        <v>215</v>
      </c>
    </row>
    <row r="139" spans="1:5" s="506" customFormat="1" x14ac:dyDescent="0.2">
      <c r="A139" s="512">
        <v>3</v>
      </c>
      <c r="B139" s="511" t="s">
        <v>749</v>
      </c>
      <c r="C139" s="530">
        <f>C140+C141</f>
        <v>573</v>
      </c>
      <c r="D139" s="530">
        <f>D140+D141</f>
        <v>770</v>
      </c>
      <c r="E139" s="531">
        <f t="shared" si="16"/>
        <v>197</v>
      </c>
    </row>
    <row r="140" spans="1:5" s="506" customFormat="1" x14ac:dyDescent="0.2">
      <c r="A140" s="512">
        <v>4</v>
      </c>
      <c r="B140" s="511" t="s">
        <v>114</v>
      </c>
      <c r="C140" s="530">
        <v>327</v>
      </c>
      <c r="D140" s="530">
        <v>517</v>
      </c>
      <c r="E140" s="531">
        <f t="shared" si="16"/>
        <v>190</v>
      </c>
    </row>
    <row r="141" spans="1:5" s="506" customFormat="1" x14ac:dyDescent="0.2">
      <c r="A141" s="512">
        <v>5</v>
      </c>
      <c r="B141" s="511" t="s">
        <v>716</v>
      </c>
      <c r="C141" s="530">
        <v>246</v>
      </c>
      <c r="D141" s="530">
        <v>253</v>
      </c>
      <c r="E141" s="531">
        <f t="shared" si="16"/>
        <v>7</v>
      </c>
    </row>
    <row r="142" spans="1:5" s="506" customFormat="1" x14ac:dyDescent="0.2">
      <c r="A142" s="512">
        <v>6</v>
      </c>
      <c r="B142" s="511" t="s">
        <v>418</v>
      </c>
      <c r="C142" s="530">
        <v>6</v>
      </c>
      <c r="D142" s="530">
        <v>6</v>
      </c>
      <c r="E142" s="531">
        <f t="shared" si="16"/>
        <v>0</v>
      </c>
    </row>
    <row r="143" spans="1:5" s="506" customFormat="1" x14ac:dyDescent="0.2">
      <c r="A143" s="512">
        <v>7</v>
      </c>
      <c r="B143" s="511" t="s">
        <v>731</v>
      </c>
      <c r="C143" s="530">
        <v>296</v>
      </c>
      <c r="D143" s="530">
        <v>333</v>
      </c>
      <c r="E143" s="531">
        <f t="shared" si="16"/>
        <v>37</v>
      </c>
    </row>
    <row r="144" spans="1:5" s="506" customFormat="1" x14ac:dyDescent="0.2">
      <c r="A144" s="512"/>
      <c r="B144" s="516" t="s">
        <v>779</v>
      </c>
      <c r="C144" s="532">
        <f>SUM(C138+C139+C142)</f>
        <v>5633</v>
      </c>
      <c r="D144" s="532">
        <f>SUM(D138+D139+D142)</f>
        <v>6045</v>
      </c>
      <c r="E144" s="533">
        <f t="shared" si="16"/>
        <v>412</v>
      </c>
    </row>
    <row r="145" spans="1:5" s="506" customFormat="1" x14ac:dyDescent="0.2">
      <c r="A145" s="512"/>
      <c r="B145" s="516" t="s">
        <v>693</v>
      </c>
      <c r="C145" s="532">
        <f>SUM(C137+C144)</f>
        <v>12931</v>
      </c>
      <c r="D145" s="532">
        <f>SUM(D137+D144)</f>
        <v>13627</v>
      </c>
      <c r="E145" s="533">
        <f t="shared" si="16"/>
        <v>696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624</v>
      </c>
      <c r="C149" s="534">
        <v>23847</v>
      </c>
      <c r="D149" s="534">
        <v>24620</v>
      </c>
      <c r="E149" s="531">
        <f t="shared" ref="E149:E157" si="17">D149-C149</f>
        <v>773</v>
      </c>
    </row>
    <row r="150" spans="1:5" s="506" customFormat="1" x14ac:dyDescent="0.2">
      <c r="A150" s="512">
        <v>2</v>
      </c>
      <c r="B150" s="511" t="s">
        <v>603</v>
      </c>
      <c r="C150" s="534">
        <v>24189</v>
      </c>
      <c r="D150" s="534">
        <v>25222</v>
      </c>
      <c r="E150" s="531">
        <f t="shared" si="17"/>
        <v>1033</v>
      </c>
    </row>
    <row r="151" spans="1:5" s="506" customFormat="1" x14ac:dyDescent="0.2">
      <c r="A151" s="512">
        <v>3</v>
      </c>
      <c r="B151" s="511" t="s">
        <v>749</v>
      </c>
      <c r="C151" s="534">
        <f>C152+C153</f>
        <v>2086</v>
      </c>
      <c r="D151" s="534">
        <f>D152+D153</f>
        <v>3198</v>
      </c>
      <c r="E151" s="531">
        <f t="shared" si="17"/>
        <v>1112</v>
      </c>
    </row>
    <row r="152" spans="1:5" s="506" customFormat="1" x14ac:dyDescent="0.2">
      <c r="A152" s="512">
        <v>4</v>
      </c>
      <c r="B152" s="511" t="s">
        <v>114</v>
      </c>
      <c r="C152" s="534">
        <v>1099</v>
      </c>
      <c r="D152" s="534">
        <v>1809</v>
      </c>
      <c r="E152" s="531">
        <f t="shared" si="17"/>
        <v>710</v>
      </c>
    </row>
    <row r="153" spans="1:5" s="506" customFormat="1" x14ac:dyDescent="0.2">
      <c r="A153" s="512">
        <v>5</v>
      </c>
      <c r="B153" s="511" t="s">
        <v>716</v>
      </c>
      <c r="C153" s="535">
        <v>987</v>
      </c>
      <c r="D153" s="534">
        <v>1389</v>
      </c>
      <c r="E153" s="531">
        <f t="shared" si="17"/>
        <v>402</v>
      </c>
    </row>
    <row r="154" spans="1:5" s="506" customFormat="1" x14ac:dyDescent="0.2">
      <c r="A154" s="512">
        <v>6</v>
      </c>
      <c r="B154" s="511" t="s">
        <v>418</v>
      </c>
      <c r="C154" s="534">
        <v>27</v>
      </c>
      <c r="D154" s="534">
        <v>19</v>
      </c>
      <c r="E154" s="531">
        <f t="shared" si="17"/>
        <v>-8</v>
      </c>
    </row>
    <row r="155" spans="1:5" s="506" customFormat="1" x14ac:dyDescent="0.2">
      <c r="A155" s="512">
        <v>7</v>
      </c>
      <c r="B155" s="511" t="s">
        <v>731</v>
      </c>
      <c r="C155" s="534">
        <v>1000</v>
      </c>
      <c r="D155" s="534">
        <v>1005</v>
      </c>
      <c r="E155" s="531">
        <f t="shared" si="17"/>
        <v>5</v>
      </c>
    </row>
    <row r="156" spans="1:5" s="506" customFormat="1" x14ac:dyDescent="0.2">
      <c r="A156" s="512"/>
      <c r="B156" s="516" t="s">
        <v>780</v>
      </c>
      <c r="C156" s="532">
        <f>SUM(C150+C151+C154)</f>
        <v>26302</v>
      </c>
      <c r="D156" s="532">
        <f>SUM(D150+D151+D154)</f>
        <v>28439</v>
      </c>
      <c r="E156" s="533">
        <f t="shared" si="17"/>
        <v>2137</v>
      </c>
    </row>
    <row r="157" spans="1:5" s="506" customFormat="1" x14ac:dyDescent="0.2">
      <c r="A157" s="512"/>
      <c r="B157" s="516" t="s">
        <v>781</v>
      </c>
      <c r="C157" s="532">
        <f>SUM(C149+C156)</f>
        <v>50149</v>
      </c>
      <c r="D157" s="532">
        <f>SUM(D149+D156)</f>
        <v>53059</v>
      </c>
      <c r="E157" s="533">
        <f t="shared" si="17"/>
        <v>2910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782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624</v>
      </c>
      <c r="C161" s="536">
        <f t="shared" ref="C161:D169" si="18">IF(C137=0,0,C149/C137)</f>
        <v>3.2676075637160866</v>
      </c>
      <c r="D161" s="536">
        <f t="shared" si="18"/>
        <v>3.2471643365866525</v>
      </c>
      <c r="E161" s="537">
        <f t="shared" ref="E161:E169" si="19">D161-C161</f>
        <v>-2.0443227129434138E-2</v>
      </c>
    </row>
    <row r="162" spans="1:5" s="506" customFormat="1" x14ac:dyDescent="0.2">
      <c r="A162" s="512">
        <v>2</v>
      </c>
      <c r="B162" s="511" t="s">
        <v>603</v>
      </c>
      <c r="C162" s="536">
        <f t="shared" si="18"/>
        <v>4.7861100118717843</v>
      </c>
      <c r="D162" s="536">
        <f t="shared" si="18"/>
        <v>4.7868665780983113</v>
      </c>
      <c r="E162" s="537">
        <f t="shared" si="19"/>
        <v>7.5656622652697791E-4</v>
      </c>
    </row>
    <row r="163" spans="1:5" s="506" customFormat="1" x14ac:dyDescent="0.2">
      <c r="A163" s="512">
        <v>3</v>
      </c>
      <c r="B163" s="511" t="s">
        <v>749</v>
      </c>
      <c r="C163" s="536">
        <f t="shared" si="18"/>
        <v>3.6404886561954624</v>
      </c>
      <c r="D163" s="536">
        <f t="shared" si="18"/>
        <v>4.1532467532467532</v>
      </c>
      <c r="E163" s="537">
        <f t="shared" si="19"/>
        <v>0.51275809705129083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3.3608562691131501</v>
      </c>
      <c r="D164" s="536">
        <f t="shared" si="18"/>
        <v>3.4990328820116052</v>
      </c>
      <c r="E164" s="537">
        <f t="shared" si="19"/>
        <v>0.13817661289845518</v>
      </c>
    </row>
    <row r="165" spans="1:5" s="506" customFormat="1" x14ac:dyDescent="0.2">
      <c r="A165" s="512">
        <v>5</v>
      </c>
      <c r="B165" s="511" t="s">
        <v>716</v>
      </c>
      <c r="C165" s="536">
        <f t="shared" si="18"/>
        <v>4.0121951219512191</v>
      </c>
      <c r="D165" s="536">
        <f t="shared" si="18"/>
        <v>5.4901185770750986</v>
      </c>
      <c r="E165" s="537">
        <f t="shared" si="19"/>
        <v>1.4779234551238796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4.5</v>
      </c>
      <c r="D166" s="536">
        <f t="shared" si="18"/>
        <v>3.1666666666666665</v>
      </c>
      <c r="E166" s="537">
        <f t="shared" si="19"/>
        <v>-1.3333333333333335</v>
      </c>
    </row>
    <row r="167" spans="1:5" s="506" customFormat="1" x14ac:dyDescent="0.2">
      <c r="A167" s="512">
        <v>7</v>
      </c>
      <c r="B167" s="511" t="s">
        <v>731</v>
      </c>
      <c r="C167" s="536">
        <f t="shared" si="18"/>
        <v>3.3783783783783785</v>
      </c>
      <c r="D167" s="536">
        <f t="shared" si="18"/>
        <v>3.0180180180180178</v>
      </c>
      <c r="E167" s="537">
        <f t="shared" si="19"/>
        <v>-0.36036036036036068</v>
      </c>
    </row>
    <row r="168" spans="1:5" s="506" customFormat="1" x14ac:dyDescent="0.2">
      <c r="A168" s="512"/>
      <c r="B168" s="516" t="s">
        <v>783</v>
      </c>
      <c r="C168" s="538">
        <f t="shared" si="18"/>
        <v>4.6692703710278716</v>
      </c>
      <c r="D168" s="538">
        <f t="shared" si="18"/>
        <v>4.7045492142266339</v>
      </c>
      <c r="E168" s="539">
        <f t="shared" si="19"/>
        <v>3.5278843198762289E-2</v>
      </c>
    </row>
    <row r="169" spans="1:5" s="506" customFormat="1" x14ac:dyDescent="0.2">
      <c r="A169" s="512"/>
      <c r="B169" s="516" t="s">
        <v>717</v>
      </c>
      <c r="C169" s="538">
        <f t="shared" si="18"/>
        <v>3.8781996751991339</v>
      </c>
      <c r="D169" s="538">
        <f t="shared" si="18"/>
        <v>3.8936669846628016</v>
      </c>
      <c r="E169" s="539">
        <f t="shared" si="19"/>
        <v>1.54673094636677E-2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784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624</v>
      </c>
      <c r="C173" s="541">
        <f t="shared" ref="C173:D181" si="20">IF(C137=0,0,C203/C137)</f>
        <v>0.84550000000000003</v>
      </c>
      <c r="D173" s="541">
        <f t="shared" si="20"/>
        <v>0.87150000000000005</v>
      </c>
      <c r="E173" s="542">
        <f t="shared" ref="E173:E181" si="21">D173-C173</f>
        <v>2.6000000000000023E-2</v>
      </c>
    </row>
    <row r="174" spans="1:5" s="506" customFormat="1" x14ac:dyDescent="0.2">
      <c r="A174" s="512">
        <v>2</v>
      </c>
      <c r="B174" s="511" t="s">
        <v>603</v>
      </c>
      <c r="C174" s="541">
        <f t="shared" si="20"/>
        <v>1.4065000000000001</v>
      </c>
      <c r="D174" s="541">
        <f t="shared" si="20"/>
        <v>1.4205000000000001</v>
      </c>
      <c r="E174" s="542">
        <f t="shared" si="21"/>
        <v>1.4000000000000012E-2</v>
      </c>
    </row>
    <row r="175" spans="1:5" s="506" customFormat="1" x14ac:dyDescent="0.2">
      <c r="A175" s="512">
        <v>0</v>
      </c>
      <c r="B175" s="511" t="s">
        <v>749</v>
      </c>
      <c r="C175" s="541">
        <f t="shared" si="20"/>
        <v>1.0576534031413611</v>
      </c>
      <c r="D175" s="541">
        <f t="shared" si="20"/>
        <v>0.92362142857142859</v>
      </c>
      <c r="E175" s="542">
        <f t="shared" si="21"/>
        <v>-0.13403197456993254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1.1254</v>
      </c>
      <c r="D176" s="541">
        <f t="shared" si="20"/>
        <v>0.87909999999999999</v>
      </c>
      <c r="E176" s="542">
        <f t="shared" si="21"/>
        <v>-0.24629999999999996</v>
      </c>
    </row>
    <row r="177" spans="1:5" s="506" customFormat="1" x14ac:dyDescent="0.2">
      <c r="A177" s="512">
        <v>5</v>
      </c>
      <c r="B177" s="511" t="s">
        <v>716</v>
      </c>
      <c r="C177" s="541">
        <f t="shared" si="20"/>
        <v>0.96760000000000002</v>
      </c>
      <c r="D177" s="541">
        <f t="shared" si="20"/>
        <v>1.0145999999999999</v>
      </c>
      <c r="E177" s="542">
        <f t="shared" si="21"/>
        <v>4.6999999999999931E-2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1.4673</v>
      </c>
      <c r="D178" s="541">
        <f t="shared" si="20"/>
        <v>0.99020000000000008</v>
      </c>
      <c r="E178" s="542">
        <f t="shared" si="21"/>
        <v>-0.47709999999999997</v>
      </c>
    </row>
    <row r="179" spans="1:5" s="506" customFormat="1" x14ac:dyDescent="0.2">
      <c r="A179" s="512">
        <v>7</v>
      </c>
      <c r="B179" s="511" t="s">
        <v>731</v>
      </c>
      <c r="C179" s="541">
        <f t="shared" si="20"/>
        <v>0.91779999999999995</v>
      </c>
      <c r="D179" s="541">
        <f t="shared" si="20"/>
        <v>0.99360000000000004</v>
      </c>
      <c r="E179" s="542">
        <f t="shared" si="21"/>
        <v>7.580000000000009E-2</v>
      </c>
    </row>
    <row r="180" spans="1:5" s="506" customFormat="1" x14ac:dyDescent="0.2">
      <c r="A180" s="512"/>
      <c r="B180" s="516" t="s">
        <v>785</v>
      </c>
      <c r="C180" s="543">
        <f t="shared" si="20"/>
        <v>1.3710793893129769</v>
      </c>
      <c r="D180" s="543">
        <f t="shared" si="20"/>
        <v>1.3567815053763439</v>
      </c>
      <c r="E180" s="544">
        <f t="shared" si="21"/>
        <v>-1.4297883936633005E-2</v>
      </c>
    </row>
    <row r="181" spans="1:5" s="506" customFormat="1" x14ac:dyDescent="0.2">
      <c r="A181" s="512"/>
      <c r="B181" s="516" t="s">
        <v>694</v>
      </c>
      <c r="C181" s="543">
        <f t="shared" si="20"/>
        <v>1.0744528033408087</v>
      </c>
      <c r="D181" s="543">
        <f t="shared" si="20"/>
        <v>1.0867731122037132</v>
      </c>
      <c r="E181" s="544">
        <f t="shared" si="21"/>
        <v>1.2320308862904472E-2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786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787</v>
      </c>
      <c r="C185" s="513">
        <v>430930871</v>
      </c>
      <c r="D185" s="513">
        <v>464749003</v>
      </c>
      <c r="E185" s="514">
        <f>D185-C185</f>
        <v>33818132</v>
      </c>
    </row>
    <row r="186" spans="1:5" s="506" customFormat="1" ht="25.5" x14ac:dyDescent="0.2">
      <c r="A186" s="512">
        <v>2</v>
      </c>
      <c r="B186" s="511" t="s">
        <v>788</v>
      </c>
      <c r="C186" s="513">
        <v>175546118</v>
      </c>
      <c r="D186" s="513">
        <v>180919545</v>
      </c>
      <c r="E186" s="514">
        <f>D186-C186</f>
        <v>5373427</v>
      </c>
    </row>
    <row r="187" spans="1:5" s="506" customFormat="1" x14ac:dyDescent="0.2">
      <c r="A187" s="512"/>
      <c r="B187" s="511" t="s">
        <v>636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720</v>
      </c>
      <c r="C188" s="546">
        <f>+C185-C186</f>
        <v>255384753</v>
      </c>
      <c r="D188" s="546">
        <f>+D185-D186</f>
        <v>283829458</v>
      </c>
      <c r="E188" s="514">
        <f t="shared" ref="E188:E197" si="22">D188-C188</f>
        <v>28444705</v>
      </c>
    </row>
    <row r="189" spans="1:5" s="506" customFormat="1" x14ac:dyDescent="0.2">
      <c r="A189" s="512">
        <v>4</v>
      </c>
      <c r="B189" s="511" t="s">
        <v>638</v>
      </c>
      <c r="C189" s="547">
        <f>IF(C185=0,0,+C188/C185)</f>
        <v>0.5926350841548319</v>
      </c>
      <c r="D189" s="547">
        <f>IF(D185=0,0,+D188/D185)</f>
        <v>0.61071558232046386</v>
      </c>
      <c r="E189" s="523">
        <f t="shared" si="22"/>
        <v>1.8080498165631953E-2</v>
      </c>
    </row>
    <row r="190" spans="1:5" s="506" customFormat="1" x14ac:dyDescent="0.2">
      <c r="A190" s="512">
        <v>5</v>
      </c>
      <c r="B190" s="511" t="s">
        <v>735</v>
      </c>
      <c r="C190" s="513">
        <v>18106348</v>
      </c>
      <c r="D190" s="513">
        <v>18373068</v>
      </c>
      <c r="E190" s="546">
        <f t="shared" si="22"/>
        <v>266720</v>
      </c>
    </row>
    <row r="191" spans="1:5" s="506" customFormat="1" x14ac:dyDescent="0.2">
      <c r="A191" s="512">
        <v>6</v>
      </c>
      <c r="B191" s="511" t="s">
        <v>721</v>
      </c>
      <c r="C191" s="513">
        <v>12034412</v>
      </c>
      <c r="D191" s="513">
        <v>12688779</v>
      </c>
      <c r="E191" s="546">
        <f t="shared" si="22"/>
        <v>654367</v>
      </c>
    </row>
    <row r="192" spans="1:5" ht="29.25" x14ac:dyDescent="0.2">
      <c r="A192" s="512">
        <v>7</v>
      </c>
      <c r="B192" s="548" t="s">
        <v>789</v>
      </c>
      <c r="C192" s="513">
        <v>1086769</v>
      </c>
      <c r="D192" s="513">
        <v>1104887</v>
      </c>
      <c r="E192" s="546">
        <f t="shared" si="22"/>
        <v>18118</v>
      </c>
    </row>
    <row r="193" spans="1:5" s="506" customFormat="1" x14ac:dyDescent="0.2">
      <c r="A193" s="512">
        <v>8</v>
      </c>
      <c r="B193" s="511" t="s">
        <v>790</v>
      </c>
      <c r="C193" s="513">
        <v>21129180</v>
      </c>
      <c r="D193" s="513">
        <v>20038812</v>
      </c>
      <c r="E193" s="546">
        <f t="shared" si="22"/>
        <v>-1090368</v>
      </c>
    </row>
    <row r="194" spans="1:5" s="506" customFormat="1" x14ac:dyDescent="0.2">
      <c r="A194" s="512">
        <v>9</v>
      </c>
      <c r="B194" s="511" t="s">
        <v>791</v>
      </c>
      <c r="C194" s="513">
        <v>7851327</v>
      </c>
      <c r="D194" s="513">
        <v>10503632</v>
      </c>
      <c r="E194" s="546">
        <f t="shared" si="22"/>
        <v>2652305</v>
      </c>
    </row>
    <row r="195" spans="1:5" s="506" customFormat="1" x14ac:dyDescent="0.2">
      <c r="A195" s="512">
        <v>10</v>
      </c>
      <c r="B195" s="511" t="s">
        <v>792</v>
      </c>
      <c r="C195" s="513">
        <f>+C193+C194</f>
        <v>28980507</v>
      </c>
      <c r="D195" s="513">
        <f>+D193+D194</f>
        <v>30542444</v>
      </c>
      <c r="E195" s="549">
        <f t="shared" si="22"/>
        <v>1561937</v>
      </c>
    </row>
    <row r="196" spans="1:5" s="506" customFormat="1" x14ac:dyDescent="0.2">
      <c r="A196" s="512">
        <v>11</v>
      </c>
      <c r="B196" s="511" t="s">
        <v>793</v>
      </c>
      <c r="C196" s="513">
        <v>430930871</v>
      </c>
      <c r="D196" s="513">
        <v>464749003</v>
      </c>
      <c r="E196" s="546">
        <f t="shared" si="22"/>
        <v>33818132</v>
      </c>
    </row>
    <row r="197" spans="1:5" s="506" customFormat="1" x14ac:dyDescent="0.2">
      <c r="A197" s="512">
        <v>12</v>
      </c>
      <c r="B197" s="511" t="s">
        <v>678</v>
      </c>
      <c r="C197" s="513">
        <v>283532000</v>
      </c>
      <c r="D197" s="513">
        <v>287530757</v>
      </c>
      <c r="E197" s="546">
        <f t="shared" si="22"/>
        <v>3998757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794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795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624</v>
      </c>
      <c r="C203" s="553">
        <v>6170.4589999999998</v>
      </c>
      <c r="D203" s="553">
        <v>6607.7130000000006</v>
      </c>
      <c r="E203" s="554">
        <f t="shared" ref="E203:E211" si="23">D203-C203</f>
        <v>437.25400000000081</v>
      </c>
    </row>
    <row r="204" spans="1:5" s="506" customFormat="1" x14ac:dyDescent="0.2">
      <c r="A204" s="512">
        <v>2</v>
      </c>
      <c r="B204" s="511" t="s">
        <v>603</v>
      </c>
      <c r="C204" s="553">
        <v>7108.451</v>
      </c>
      <c r="D204" s="553">
        <v>7484.6145000000006</v>
      </c>
      <c r="E204" s="554">
        <f t="shared" si="23"/>
        <v>376.16350000000057</v>
      </c>
    </row>
    <row r="205" spans="1:5" s="506" customFormat="1" x14ac:dyDescent="0.2">
      <c r="A205" s="512">
        <v>3</v>
      </c>
      <c r="B205" s="511" t="s">
        <v>749</v>
      </c>
      <c r="C205" s="553">
        <f>C206+C207</f>
        <v>606.03539999999998</v>
      </c>
      <c r="D205" s="553">
        <f>D206+D207</f>
        <v>711.18849999999998</v>
      </c>
      <c r="E205" s="554">
        <f t="shared" si="23"/>
        <v>105.15309999999999</v>
      </c>
    </row>
    <row r="206" spans="1:5" s="506" customFormat="1" x14ac:dyDescent="0.2">
      <c r="A206" s="512">
        <v>4</v>
      </c>
      <c r="B206" s="511" t="s">
        <v>114</v>
      </c>
      <c r="C206" s="553">
        <v>368.00579999999997</v>
      </c>
      <c r="D206" s="553">
        <v>454.49470000000002</v>
      </c>
      <c r="E206" s="554">
        <f t="shared" si="23"/>
        <v>86.488900000000058</v>
      </c>
    </row>
    <row r="207" spans="1:5" s="506" customFormat="1" x14ac:dyDescent="0.2">
      <c r="A207" s="512">
        <v>5</v>
      </c>
      <c r="B207" s="511" t="s">
        <v>716</v>
      </c>
      <c r="C207" s="553">
        <v>238.02960000000002</v>
      </c>
      <c r="D207" s="553">
        <v>256.69380000000001</v>
      </c>
      <c r="E207" s="554">
        <f t="shared" si="23"/>
        <v>18.664199999999994</v>
      </c>
    </row>
    <row r="208" spans="1:5" s="506" customFormat="1" x14ac:dyDescent="0.2">
      <c r="A208" s="512">
        <v>6</v>
      </c>
      <c r="B208" s="511" t="s">
        <v>418</v>
      </c>
      <c r="C208" s="553">
        <v>8.8038000000000007</v>
      </c>
      <c r="D208" s="553">
        <v>5.9412000000000003</v>
      </c>
      <c r="E208" s="554">
        <f t="shared" si="23"/>
        <v>-2.8626000000000005</v>
      </c>
    </row>
    <row r="209" spans="1:5" s="506" customFormat="1" x14ac:dyDescent="0.2">
      <c r="A209" s="512">
        <v>7</v>
      </c>
      <c r="B209" s="511" t="s">
        <v>731</v>
      </c>
      <c r="C209" s="553">
        <v>271.66879999999998</v>
      </c>
      <c r="D209" s="553">
        <v>330.86880000000002</v>
      </c>
      <c r="E209" s="554">
        <f t="shared" si="23"/>
        <v>59.200000000000045</v>
      </c>
    </row>
    <row r="210" spans="1:5" s="506" customFormat="1" x14ac:dyDescent="0.2">
      <c r="A210" s="512"/>
      <c r="B210" s="516" t="s">
        <v>796</v>
      </c>
      <c r="C210" s="555">
        <f>C204+C205+C208</f>
        <v>7723.2901999999995</v>
      </c>
      <c r="D210" s="555">
        <f>D204+D205+D208</f>
        <v>8201.7441999999992</v>
      </c>
      <c r="E210" s="556">
        <f t="shared" si="23"/>
        <v>478.45399999999972</v>
      </c>
    </row>
    <row r="211" spans="1:5" s="506" customFormat="1" x14ac:dyDescent="0.2">
      <c r="A211" s="512"/>
      <c r="B211" s="516" t="s">
        <v>695</v>
      </c>
      <c r="C211" s="555">
        <f>C210+C203</f>
        <v>13893.749199999998</v>
      </c>
      <c r="D211" s="555">
        <f>D210+D203</f>
        <v>14809.457200000001</v>
      </c>
      <c r="E211" s="556">
        <f t="shared" si="23"/>
        <v>915.70800000000236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797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624</v>
      </c>
      <c r="C215" s="557">
        <f>IF(C14*C137=0,0,C25/C14*C137)</f>
        <v>15019.147695272404</v>
      </c>
      <c r="D215" s="557">
        <f>IF(D14*D137=0,0,D25/D14*D137)</f>
        <v>14424.6446304124</v>
      </c>
      <c r="E215" s="557">
        <f t="shared" ref="E215:E223" si="24">D215-C215</f>
        <v>-594.50306486000409</v>
      </c>
    </row>
    <row r="216" spans="1:5" s="506" customFormat="1" x14ac:dyDescent="0.2">
      <c r="A216" s="512">
        <v>2</v>
      </c>
      <c r="B216" s="511" t="s">
        <v>603</v>
      </c>
      <c r="C216" s="557">
        <f>IF(C15*C138=0,0,C26/C15*C138)</f>
        <v>3291.1177512819404</v>
      </c>
      <c r="D216" s="557">
        <f>IF(D15*D138=0,0,D26/D15*D138)</f>
        <v>3260.1600896804571</v>
      </c>
      <c r="E216" s="557">
        <f t="shared" si="24"/>
        <v>-30.957661601483323</v>
      </c>
    </row>
    <row r="217" spans="1:5" s="506" customFormat="1" x14ac:dyDescent="0.2">
      <c r="A217" s="512">
        <v>3</v>
      </c>
      <c r="B217" s="511" t="s">
        <v>749</v>
      </c>
      <c r="C217" s="557">
        <f>C218+C219</f>
        <v>840.92656117732304</v>
      </c>
      <c r="D217" s="557">
        <f>D218+D219</f>
        <v>1023.3888387155189</v>
      </c>
      <c r="E217" s="557">
        <f t="shared" si="24"/>
        <v>182.46227753819585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603.34497861107309</v>
      </c>
      <c r="D218" s="557">
        <f t="shared" si="25"/>
        <v>842.86487539496704</v>
      </c>
      <c r="E218" s="557">
        <f t="shared" si="24"/>
        <v>239.51989678389396</v>
      </c>
    </row>
    <row r="219" spans="1:5" s="506" customFormat="1" x14ac:dyDescent="0.2">
      <c r="A219" s="512">
        <v>5</v>
      </c>
      <c r="B219" s="511" t="s">
        <v>716</v>
      </c>
      <c r="C219" s="557">
        <f t="shared" si="25"/>
        <v>237.58158256624998</v>
      </c>
      <c r="D219" s="557">
        <f t="shared" si="25"/>
        <v>180.5239633205519</v>
      </c>
      <c r="E219" s="557">
        <f t="shared" si="24"/>
        <v>-57.057619245698078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8.5158746253858801</v>
      </c>
      <c r="D220" s="557">
        <f t="shared" si="25"/>
        <v>17.203473025153254</v>
      </c>
      <c r="E220" s="557">
        <f t="shared" si="24"/>
        <v>8.6875983997673742</v>
      </c>
    </row>
    <row r="221" spans="1:5" s="506" customFormat="1" x14ac:dyDescent="0.2">
      <c r="A221" s="512">
        <v>7</v>
      </c>
      <c r="B221" s="511" t="s">
        <v>731</v>
      </c>
      <c r="C221" s="557">
        <f t="shared" si="25"/>
        <v>924.09303177314996</v>
      </c>
      <c r="D221" s="557">
        <f t="shared" si="25"/>
        <v>1016.8963685008073</v>
      </c>
      <c r="E221" s="557">
        <f t="shared" si="24"/>
        <v>92.803336727657324</v>
      </c>
    </row>
    <row r="222" spans="1:5" s="506" customFormat="1" x14ac:dyDescent="0.2">
      <c r="A222" s="512"/>
      <c r="B222" s="516" t="s">
        <v>798</v>
      </c>
      <c r="C222" s="558">
        <f>C216+C218+C219+C220</f>
        <v>4140.5601870846494</v>
      </c>
      <c r="D222" s="558">
        <f>D216+D218+D219+D220</f>
        <v>4300.7524014211294</v>
      </c>
      <c r="E222" s="558">
        <f t="shared" si="24"/>
        <v>160.19221433647999</v>
      </c>
    </row>
    <row r="223" spans="1:5" s="506" customFormat="1" x14ac:dyDescent="0.2">
      <c r="A223" s="512"/>
      <c r="B223" s="516" t="s">
        <v>799</v>
      </c>
      <c r="C223" s="558">
        <f>C215+C222</f>
        <v>19159.707882357055</v>
      </c>
      <c r="D223" s="558">
        <f>D215+D222</f>
        <v>18725.39703183353</v>
      </c>
      <c r="E223" s="558">
        <f t="shared" si="24"/>
        <v>-434.310850523525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800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624</v>
      </c>
      <c r="C227" s="560">
        <f t="shared" ref="C227:D235" si="26">IF(C203=0,0,C47/C203)</f>
        <v>9974.7140366705298</v>
      </c>
      <c r="D227" s="560">
        <f t="shared" si="26"/>
        <v>10586.722819226561</v>
      </c>
      <c r="E227" s="560">
        <f t="shared" ref="E227:E235" si="27">D227-C227</f>
        <v>612.00878255603129</v>
      </c>
    </row>
    <row r="228" spans="1:5" s="506" customFormat="1" x14ac:dyDescent="0.2">
      <c r="A228" s="512">
        <v>2</v>
      </c>
      <c r="B228" s="511" t="s">
        <v>603</v>
      </c>
      <c r="C228" s="560">
        <f t="shared" si="26"/>
        <v>7197.5841150202768</v>
      </c>
      <c r="D228" s="560">
        <f t="shared" si="26"/>
        <v>6970.1086141443884</v>
      </c>
      <c r="E228" s="560">
        <f t="shared" si="27"/>
        <v>-227.47550087588843</v>
      </c>
    </row>
    <row r="229" spans="1:5" s="506" customFormat="1" x14ac:dyDescent="0.2">
      <c r="A229" s="512">
        <v>3</v>
      </c>
      <c r="B229" s="511" t="s">
        <v>749</v>
      </c>
      <c r="C229" s="560">
        <f t="shared" si="26"/>
        <v>6156.5000988391112</v>
      </c>
      <c r="D229" s="560">
        <f t="shared" si="26"/>
        <v>7689.8543775665667</v>
      </c>
      <c r="E229" s="560">
        <f t="shared" si="27"/>
        <v>1533.3542787274555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5642.4463962252776</v>
      </c>
      <c r="D230" s="560">
        <f t="shared" si="26"/>
        <v>4569.9300783925528</v>
      </c>
      <c r="E230" s="560">
        <f t="shared" si="27"/>
        <v>-1072.5163178327248</v>
      </c>
    </row>
    <row r="231" spans="1:5" s="506" customFormat="1" x14ac:dyDescent="0.2">
      <c r="A231" s="512">
        <v>5</v>
      </c>
      <c r="B231" s="511" t="s">
        <v>716</v>
      </c>
      <c r="C231" s="560">
        <f t="shared" si="26"/>
        <v>6951.2531214605242</v>
      </c>
      <c r="D231" s="560">
        <f t="shared" si="26"/>
        <v>13213.903101672109</v>
      </c>
      <c r="E231" s="560">
        <f t="shared" si="27"/>
        <v>6262.649980211585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7237.6700970035663</v>
      </c>
      <c r="D232" s="560">
        <f t="shared" si="26"/>
        <v>1751.8346461994208</v>
      </c>
      <c r="E232" s="560">
        <f t="shared" si="27"/>
        <v>-5485.8354508041457</v>
      </c>
    </row>
    <row r="233" spans="1:5" s="506" customFormat="1" x14ac:dyDescent="0.2">
      <c r="A233" s="512">
        <v>7</v>
      </c>
      <c r="B233" s="511" t="s">
        <v>731</v>
      </c>
      <c r="C233" s="560">
        <f t="shared" si="26"/>
        <v>3949.864688179136</v>
      </c>
      <c r="D233" s="560">
        <f t="shared" si="26"/>
        <v>2676.3780688901461</v>
      </c>
      <c r="E233" s="560">
        <f t="shared" si="27"/>
        <v>-1273.4866192889899</v>
      </c>
    </row>
    <row r="234" spans="1:5" x14ac:dyDescent="0.2">
      <c r="A234" s="512"/>
      <c r="B234" s="516" t="s">
        <v>801</v>
      </c>
      <c r="C234" s="561">
        <f t="shared" si="26"/>
        <v>7115.9374537033455</v>
      </c>
      <c r="D234" s="561">
        <f t="shared" si="26"/>
        <v>7028.7390821089011</v>
      </c>
      <c r="E234" s="561">
        <f t="shared" si="27"/>
        <v>-87.198371594444325</v>
      </c>
    </row>
    <row r="235" spans="1:5" s="506" customFormat="1" x14ac:dyDescent="0.2">
      <c r="A235" s="512"/>
      <c r="B235" s="516" t="s">
        <v>802</v>
      </c>
      <c r="C235" s="561">
        <f t="shared" si="26"/>
        <v>8385.5705413194028</v>
      </c>
      <c r="D235" s="561">
        <f t="shared" si="26"/>
        <v>8616.2473260667502</v>
      </c>
      <c r="E235" s="561">
        <f t="shared" si="27"/>
        <v>230.67678474734748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803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624</v>
      </c>
      <c r="C239" s="560">
        <f t="shared" ref="C239:D247" si="28">IF(C215=0,0,C58/C215)</f>
        <v>8139.011312770961</v>
      </c>
      <c r="D239" s="560">
        <f t="shared" si="28"/>
        <v>8109.2539883705786</v>
      </c>
      <c r="E239" s="562">
        <f t="shared" ref="E239:E247" si="29">D239-C239</f>
        <v>-29.757324400382458</v>
      </c>
    </row>
    <row r="240" spans="1:5" s="506" customFormat="1" x14ac:dyDescent="0.2">
      <c r="A240" s="512">
        <v>2</v>
      </c>
      <c r="B240" s="511" t="s">
        <v>603</v>
      </c>
      <c r="C240" s="560">
        <f t="shared" si="28"/>
        <v>7269.8948527990005</v>
      </c>
      <c r="D240" s="560">
        <f t="shared" si="28"/>
        <v>6974.1799097444173</v>
      </c>
      <c r="E240" s="562">
        <f t="shared" si="29"/>
        <v>-295.71494305458327</v>
      </c>
    </row>
    <row r="241" spans="1:5" x14ac:dyDescent="0.2">
      <c r="A241" s="512">
        <v>3</v>
      </c>
      <c r="B241" s="511" t="s">
        <v>749</v>
      </c>
      <c r="C241" s="560">
        <f t="shared" si="28"/>
        <v>3674.4373916243057</v>
      </c>
      <c r="D241" s="560">
        <f t="shared" si="28"/>
        <v>2992.4764509292281</v>
      </c>
      <c r="E241" s="562">
        <f t="shared" si="29"/>
        <v>-681.96094069507762</v>
      </c>
    </row>
    <row r="242" spans="1:5" x14ac:dyDescent="0.2">
      <c r="A242" s="512">
        <v>4</v>
      </c>
      <c r="B242" s="511" t="s">
        <v>114</v>
      </c>
      <c r="C242" s="560">
        <f t="shared" si="28"/>
        <v>4009.966247783399</v>
      </c>
      <c r="D242" s="560">
        <f t="shared" si="28"/>
        <v>2685.2548564672516</v>
      </c>
      <c r="E242" s="562">
        <f t="shared" si="29"/>
        <v>-1324.7113913161475</v>
      </c>
    </row>
    <row r="243" spans="1:5" x14ac:dyDescent="0.2">
      <c r="A243" s="512">
        <v>5</v>
      </c>
      <c r="B243" s="511" t="s">
        <v>716</v>
      </c>
      <c r="C243" s="560">
        <f t="shared" si="28"/>
        <v>2822.3526114993329</v>
      </c>
      <c r="D243" s="560">
        <f t="shared" si="28"/>
        <v>4426.891506813151</v>
      </c>
      <c r="E243" s="562">
        <f t="shared" si="29"/>
        <v>1604.5388953138181</v>
      </c>
    </row>
    <row r="244" spans="1:5" x14ac:dyDescent="0.2">
      <c r="A244" s="512">
        <v>6</v>
      </c>
      <c r="B244" s="511" t="s">
        <v>418</v>
      </c>
      <c r="C244" s="560">
        <f t="shared" si="28"/>
        <v>19091.051377782955</v>
      </c>
      <c r="D244" s="560">
        <f t="shared" si="28"/>
        <v>1572.8800783677195</v>
      </c>
      <c r="E244" s="562">
        <f t="shared" si="29"/>
        <v>-17518.171299415237</v>
      </c>
    </row>
    <row r="245" spans="1:5" x14ac:dyDescent="0.2">
      <c r="A245" s="512">
        <v>7</v>
      </c>
      <c r="B245" s="511" t="s">
        <v>731</v>
      </c>
      <c r="C245" s="560">
        <f t="shared" si="28"/>
        <v>3625.185868539666</v>
      </c>
      <c r="D245" s="560">
        <f t="shared" si="28"/>
        <v>2659.2483597780233</v>
      </c>
      <c r="E245" s="562">
        <f t="shared" si="29"/>
        <v>-965.93750876164268</v>
      </c>
    </row>
    <row r="246" spans="1:5" ht="25.5" x14ac:dyDescent="0.2">
      <c r="A246" s="512"/>
      <c r="B246" s="516" t="s">
        <v>804</v>
      </c>
      <c r="C246" s="561">
        <f t="shared" si="28"/>
        <v>6563.9883909371038</v>
      </c>
      <c r="D246" s="561">
        <f t="shared" si="28"/>
        <v>6005.1048257197899</v>
      </c>
      <c r="E246" s="563">
        <f t="shared" si="29"/>
        <v>-558.88356521731384</v>
      </c>
    </row>
    <row r="247" spans="1:5" x14ac:dyDescent="0.2">
      <c r="A247" s="512"/>
      <c r="B247" s="516" t="s">
        <v>805</v>
      </c>
      <c r="C247" s="561">
        <f t="shared" si="28"/>
        <v>7798.6367494460037</v>
      </c>
      <c r="D247" s="561">
        <f t="shared" si="28"/>
        <v>7625.9838847335523</v>
      </c>
      <c r="E247" s="563">
        <f t="shared" si="29"/>
        <v>-172.65286471245145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733</v>
      </c>
      <c r="B249" s="550" t="s">
        <v>730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1966861.5544667635</v>
      </c>
      <c r="D251" s="546">
        <f>((IF((IF(D15=0,0,D26/D15)*D138)=0,0,D59/(IF(D15=0,0,D26/D15)*D138)))-(IF((IF(D17=0,0,D28/D17)*D140)=0,0,D61/(IF(D17=0,0,D28/D17)*D140))))*(IF(D17=0,0,D28/D17)*D140)</f>
        <v>3614984.2806088105</v>
      </c>
      <c r="E251" s="546">
        <f>D251-C251</f>
        <v>1648122.726142047</v>
      </c>
    </row>
    <row r="252" spans="1:5" x14ac:dyDescent="0.2">
      <c r="A252" s="512">
        <v>2</v>
      </c>
      <c r="B252" s="511" t="s">
        <v>716</v>
      </c>
      <c r="C252" s="546">
        <f>IF(C231=0,0,(C228-C231)*C207)+IF(C243=0,0,(C240-C243)*C219)</f>
        <v>1115288.1920828521</v>
      </c>
      <c r="D252" s="546">
        <f>IF(D231=0,0,(D228-D231)*D207)+IF(D243=0,0,(D240-D243)*D219)</f>
        <v>-1142896.735204912</v>
      </c>
      <c r="E252" s="546">
        <f>D252-C252</f>
        <v>-2258184.9272877639</v>
      </c>
    </row>
    <row r="253" spans="1:5" x14ac:dyDescent="0.2">
      <c r="A253" s="512">
        <v>3</v>
      </c>
      <c r="B253" s="511" t="s">
        <v>731</v>
      </c>
      <c r="C253" s="546">
        <f>IF(C233=0,0,(C228-C233)*C209+IF(C221=0,0,(C240-C245)*C221))</f>
        <v>4250354.2146216668</v>
      </c>
      <c r="D253" s="546">
        <f>IF(D233=0,0,(D228-D233)*D209+IF(D221=0,0,(D240-D245)*D221))</f>
        <v>5808499.6965220021</v>
      </c>
      <c r="E253" s="546">
        <f>D253-C253</f>
        <v>1558145.4819003353</v>
      </c>
    </row>
    <row r="254" spans="1:5" ht="15" customHeight="1" x14ac:dyDescent="0.2">
      <c r="A254" s="512"/>
      <c r="B254" s="516" t="s">
        <v>732</v>
      </c>
      <c r="C254" s="564">
        <f>+C251+C252+C253</f>
        <v>7332503.9611712825</v>
      </c>
      <c r="D254" s="564">
        <f>+D251+D252+D253</f>
        <v>8280587.2419259008</v>
      </c>
      <c r="E254" s="564">
        <f>D254-C254</f>
        <v>948083.28075461835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806</v>
      </c>
      <c r="B256" s="550" t="s">
        <v>807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698</v>
      </c>
      <c r="C258" s="546">
        <f>+C44</f>
        <v>829881442</v>
      </c>
      <c r="D258" s="549">
        <f>+D44</f>
        <v>900732964</v>
      </c>
      <c r="E258" s="546">
        <f t="shared" ref="E258:E271" si="30">D258-C258</f>
        <v>70851522</v>
      </c>
    </row>
    <row r="259" spans="1:5" x14ac:dyDescent="0.2">
      <c r="A259" s="512">
        <v>2</v>
      </c>
      <c r="B259" s="511" t="s">
        <v>715</v>
      </c>
      <c r="C259" s="546">
        <f>+(C43-C76)</f>
        <v>265947813</v>
      </c>
      <c r="D259" s="549">
        <f>+(D43-D76)</f>
        <v>300536162</v>
      </c>
      <c r="E259" s="546">
        <f t="shared" si="30"/>
        <v>34588349</v>
      </c>
    </row>
    <row r="260" spans="1:5" x14ac:dyDescent="0.2">
      <c r="A260" s="512">
        <v>3</v>
      </c>
      <c r="B260" s="511" t="s">
        <v>719</v>
      </c>
      <c r="C260" s="546">
        <f>C195</f>
        <v>28980507</v>
      </c>
      <c r="D260" s="546">
        <f>D195</f>
        <v>30542444</v>
      </c>
      <c r="E260" s="546">
        <f t="shared" si="30"/>
        <v>1561937</v>
      </c>
    </row>
    <row r="261" spans="1:5" x14ac:dyDescent="0.2">
      <c r="A261" s="512">
        <v>4</v>
      </c>
      <c r="B261" s="511" t="s">
        <v>720</v>
      </c>
      <c r="C261" s="546">
        <f>C188</f>
        <v>255384753</v>
      </c>
      <c r="D261" s="546">
        <f>D188</f>
        <v>283829458</v>
      </c>
      <c r="E261" s="546">
        <f t="shared" si="30"/>
        <v>28444705</v>
      </c>
    </row>
    <row r="262" spans="1:5" x14ac:dyDescent="0.2">
      <c r="A262" s="512">
        <v>5</v>
      </c>
      <c r="B262" s="511" t="s">
        <v>721</v>
      </c>
      <c r="C262" s="546">
        <f>C191</f>
        <v>12034412</v>
      </c>
      <c r="D262" s="546">
        <f>D191</f>
        <v>12688779</v>
      </c>
      <c r="E262" s="546">
        <f t="shared" si="30"/>
        <v>654367</v>
      </c>
    </row>
    <row r="263" spans="1:5" x14ac:dyDescent="0.2">
      <c r="A263" s="512">
        <v>6</v>
      </c>
      <c r="B263" s="511" t="s">
        <v>722</v>
      </c>
      <c r="C263" s="546">
        <f>+C259+C260+C261+C262</f>
        <v>562347485</v>
      </c>
      <c r="D263" s="546">
        <f>+D259+D260+D261+D262</f>
        <v>627596843</v>
      </c>
      <c r="E263" s="546">
        <f t="shared" si="30"/>
        <v>65249358</v>
      </c>
    </row>
    <row r="264" spans="1:5" x14ac:dyDescent="0.2">
      <c r="A264" s="512">
        <v>7</v>
      </c>
      <c r="B264" s="511" t="s">
        <v>622</v>
      </c>
      <c r="C264" s="546">
        <f>+C258-C263</f>
        <v>267533957</v>
      </c>
      <c r="D264" s="546">
        <f>+D258-D263</f>
        <v>273136121</v>
      </c>
      <c r="E264" s="546">
        <f t="shared" si="30"/>
        <v>5602164</v>
      </c>
    </row>
    <row r="265" spans="1:5" x14ac:dyDescent="0.2">
      <c r="A265" s="512">
        <v>8</v>
      </c>
      <c r="B265" s="511" t="s">
        <v>808</v>
      </c>
      <c r="C265" s="565">
        <f>C192</f>
        <v>1086769</v>
      </c>
      <c r="D265" s="565">
        <f>D192</f>
        <v>1104887</v>
      </c>
      <c r="E265" s="546">
        <f t="shared" si="30"/>
        <v>18118</v>
      </c>
    </row>
    <row r="266" spans="1:5" x14ac:dyDescent="0.2">
      <c r="A266" s="512">
        <v>9</v>
      </c>
      <c r="B266" s="511" t="s">
        <v>809</v>
      </c>
      <c r="C266" s="546">
        <f>+C264+C265</f>
        <v>268620726</v>
      </c>
      <c r="D266" s="546">
        <f>+D264+D265</f>
        <v>274241008</v>
      </c>
      <c r="E266" s="565">
        <f t="shared" si="30"/>
        <v>5620282</v>
      </c>
    </row>
    <row r="267" spans="1:5" x14ac:dyDescent="0.2">
      <c r="A267" s="512">
        <v>10</v>
      </c>
      <c r="B267" s="511" t="s">
        <v>810</v>
      </c>
      <c r="C267" s="566">
        <f>IF(C258=0,0,C266/C258)</f>
        <v>0.32368566448796432</v>
      </c>
      <c r="D267" s="566">
        <f>IF(D258=0,0,D266/D258)</f>
        <v>0.30446427405314769</v>
      </c>
      <c r="E267" s="567">
        <f t="shared" si="30"/>
        <v>-1.9221390434816632E-2</v>
      </c>
    </row>
    <row r="268" spans="1:5" x14ac:dyDescent="0.2">
      <c r="A268" s="512">
        <v>11</v>
      </c>
      <c r="B268" s="511" t="s">
        <v>684</v>
      </c>
      <c r="C268" s="546">
        <f>+C260*C267</f>
        <v>9380574.6654931009</v>
      </c>
      <c r="D268" s="568">
        <f>+D260*D267</f>
        <v>9299083.0402689166</v>
      </c>
      <c r="E268" s="546">
        <f t="shared" si="30"/>
        <v>-81491.625224184245</v>
      </c>
    </row>
    <row r="269" spans="1:5" x14ac:dyDescent="0.2">
      <c r="A269" s="512">
        <v>12</v>
      </c>
      <c r="B269" s="511" t="s">
        <v>811</v>
      </c>
      <c r="C269" s="546">
        <f>((C17+C18+C28+C29)*C267)-(C50+C51+C61+C62)</f>
        <v>3303264.4849667922</v>
      </c>
      <c r="D269" s="568">
        <f>((D17+D18+D28+D29)*D267)-(D50+D51+D61+D62)</f>
        <v>4481400.3774958067</v>
      </c>
      <c r="E269" s="546">
        <f t="shared" si="30"/>
        <v>1178135.8925290145</v>
      </c>
    </row>
    <row r="270" spans="1:5" s="569" customFormat="1" x14ac:dyDescent="0.2">
      <c r="A270" s="570">
        <v>13</v>
      </c>
      <c r="B270" s="571" t="s">
        <v>812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813</v>
      </c>
      <c r="C271" s="546">
        <f>+C268+C269+C270</f>
        <v>12683839.150459893</v>
      </c>
      <c r="D271" s="546">
        <f>+D268+D269+D270</f>
        <v>13780483.417764723</v>
      </c>
      <c r="E271" s="549">
        <f t="shared" si="30"/>
        <v>1096644.2673048303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814</v>
      </c>
      <c r="B273" s="550" t="s">
        <v>815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816</v>
      </c>
      <c r="C275" s="340"/>
      <c r="D275" s="340"/>
      <c r="E275" s="520"/>
    </row>
    <row r="276" spans="1:5" x14ac:dyDescent="0.2">
      <c r="A276" s="512">
        <v>1</v>
      </c>
      <c r="B276" s="511" t="s">
        <v>624</v>
      </c>
      <c r="C276" s="547">
        <f t="shared" ref="C276:D284" si="31">IF(C14=0,0,+C47/C14)</f>
        <v>0.39065108196308607</v>
      </c>
      <c r="D276" s="547">
        <f t="shared" si="31"/>
        <v>0.39293929787187337</v>
      </c>
      <c r="E276" s="574">
        <f t="shared" ref="E276:E284" si="32">D276-C276</f>
        <v>2.2882159087873055E-3</v>
      </c>
    </row>
    <row r="277" spans="1:5" x14ac:dyDescent="0.2">
      <c r="A277" s="512">
        <v>2</v>
      </c>
      <c r="B277" s="511" t="s">
        <v>603</v>
      </c>
      <c r="C277" s="547">
        <f t="shared" si="31"/>
        <v>0.26720737771143593</v>
      </c>
      <c r="D277" s="547">
        <f t="shared" si="31"/>
        <v>0.24783665521427686</v>
      </c>
      <c r="E277" s="574">
        <f t="shared" si="32"/>
        <v>-1.9370722497159071E-2</v>
      </c>
    </row>
    <row r="278" spans="1:5" x14ac:dyDescent="0.2">
      <c r="A278" s="512">
        <v>3</v>
      </c>
      <c r="B278" s="511" t="s">
        <v>749</v>
      </c>
      <c r="C278" s="547">
        <f t="shared" si="31"/>
        <v>0.28182566459723224</v>
      </c>
      <c r="D278" s="547">
        <f t="shared" si="31"/>
        <v>0.27248597358424592</v>
      </c>
      <c r="E278" s="574">
        <f t="shared" si="32"/>
        <v>-9.3396910129863175E-3</v>
      </c>
    </row>
    <row r="279" spans="1:5" x14ac:dyDescent="0.2">
      <c r="A279" s="512">
        <v>4</v>
      </c>
      <c r="B279" s="511" t="s">
        <v>114</v>
      </c>
      <c r="C279" s="547">
        <f t="shared" si="31"/>
        <v>0.34756115013625744</v>
      </c>
      <c r="D279" s="547">
        <f t="shared" si="31"/>
        <v>0.22808098520016681</v>
      </c>
      <c r="E279" s="574">
        <f t="shared" si="32"/>
        <v>-0.11948016493609062</v>
      </c>
    </row>
    <row r="280" spans="1:5" x14ac:dyDescent="0.2">
      <c r="A280" s="512">
        <v>5</v>
      </c>
      <c r="B280" s="511" t="s">
        <v>716</v>
      </c>
      <c r="C280" s="547">
        <f t="shared" si="31"/>
        <v>0.22776476936567128</v>
      </c>
      <c r="D280" s="547">
        <f t="shared" si="31"/>
        <v>0.30936753499088704</v>
      </c>
      <c r="E280" s="574">
        <f t="shared" si="32"/>
        <v>8.1602765625215762E-2</v>
      </c>
    </row>
    <row r="281" spans="1:5" x14ac:dyDescent="0.2">
      <c r="A281" s="512">
        <v>6</v>
      </c>
      <c r="B281" s="511" t="s">
        <v>418</v>
      </c>
      <c r="C281" s="547">
        <f t="shared" si="31"/>
        <v>0.2392986172138474</v>
      </c>
      <c r="D281" s="547">
        <f t="shared" si="31"/>
        <v>7.5685188013118382E-2</v>
      </c>
      <c r="E281" s="574">
        <f t="shared" si="32"/>
        <v>-0.16361342920072902</v>
      </c>
    </row>
    <row r="282" spans="1:5" x14ac:dyDescent="0.2">
      <c r="A282" s="512">
        <v>7</v>
      </c>
      <c r="B282" s="511" t="s">
        <v>731</v>
      </c>
      <c r="C282" s="547">
        <f t="shared" si="31"/>
        <v>0.13241290719046675</v>
      </c>
      <c r="D282" s="547">
        <f t="shared" si="31"/>
        <v>0.10517094539360333</v>
      </c>
      <c r="E282" s="574">
        <f t="shared" si="32"/>
        <v>-2.7241961796863418E-2</v>
      </c>
    </row>
    <row r="283" spans="1:5" ht="29.25" customHeight="1" x14ac:dyDescent="0.2">
      <c r="A283" s="512"/>
      <c r="B283" s="516" t="s">
        <v>817</v>
      </c>
      <c r="C283" s="575">
        <f t="shared" si="31"/>
        <v>0.26811526038116584</v>
      </c>
      <c r="D283" s="575">
        <f t="shared" si="31"/>
        <v>0.2498784545609912</v>
      </c>
      <c r="E283" s="576">
        <f t="shared" si="32"/>
        <v>-1.8236805820174645E-2</v>
      </c>
    </row>
    <row r="284" spans="1:5" x14ac:dyDescent="0.2">
      <c r="A284" s="512"/>
      <c r="B284" s="516" t="s">
        <v>818</v>
      </c>
      <c r="C284" s="575">
        <f t="shared" si="31"/>
        <v>0.32136808279951518</v>
      </c>
      <c r="D284" s="575">
        <f t="shared" si="31"/>
        <v>0.31219021465558622</v>
      </c>
      <c r="E284" s="576">
        <f t="shared" si="32"/>
        <v>-9.1778681439289578E-3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819</v>
      </c>
      <c r="C286" s="520"/>
      <c r="D286" s="520"/>
      <c r="E286" s="520"/>
    </row>
    <row r="287" spans="1:5" x14ac:dyDescent="0.2">
      <c r="A287" s="512">
        <v>1</v>
      </c>
      <c r="B287" s="511" t="s">
        <v>624</v>
      </c>
      <c r="C287" s="547">
        <f t="shared" ref="C287:D295" si="33">IF(C25=0,0,+C58/C25)</f>
        <v>0.37700457274013183</v>
      </c>
      <c r="D287" s="547">
        <f t="shared" si="33"/>
        <v>0.34536429280033132</v>
      </c>
      <c r="E287" s="574">
        <f t="shared" ref="E287:E295" si="34">D287-C287</f>
        <v>-3.1640279939800509E-2</v>
      </c>
    </row>
    <row r="288" spans="1:5" x14ac:dyDescent="0.2">
      <c r="A288" s="512">
        <v>2</v>
      </c>
      <c r="B288" s="511" t="s">
        <v>603</v>
      </c>
      <c r="C288" s="547">
        <f t="shared" si="33"/>
        <v>0.19188900418729823</v>
      </c>
      <c r="D288" s="547">
        <f t="shared" si="33"/>
        <v>0.17457333232373282</v>
      </c>
      <c r="E288" s="574">
        <f t="shared" si="34"/>
        <v>-1.7315671863565418E-2</v>
      </c>
    </row>
    <row r="289" spans="1:5" x14ac:dyDescent="0.2">
      <c r="A289" s="512">
        <v>3</v>
      </c>
      <c r="B289" s="511" t="s">
        <v>749</v>
      </c>
      <c r="C289" s="547">
        <f t="shared" si="33"/>
        <v>0.17129025645210269</v>
      </c>
      <c r="D289" s="547">
        <f t="shared" si="33"/>
        <v>0.13509208284372495</v>
      </c>
      <c r="E289" s="574">
        <f t="shared" si="34"/>
        <v>-3.6198173608377737E-2</v>
      </c>
    </row>
    <row r="290" spans="1:5" x14ac:dyDescent="0.2">
      <c r="A290" s="512">
        <v>4</v>
      </c>
      <c r="B290" s="511" t="s">
        <v>114</v>
      </c>
      <c r="C290" s="547">
        <f t="shared" si="33"/>
        <v>0.21948133346408752</v>
      </c>
      <c r="D290" s="547">
        <f t="shared" si="33"/>
        <v>0.15244976373828592</v>
      </c>
      <c r="E290" s="574">
        <f t="shared" si="34"/>
        <v>-6.7031569725801599E-2</v>
      </c>
    </row>
    <row r="291" spans="1:5" x14ac:dyDescent="0.2">
      <c r="A291" s="512">
        <v>5</v>
      </c>
      <c r="B291" s="511" t="s">
        <v>716</v>
      </c>
      <c r="C291" s="547">
        <f t="shared" si="33"/>
        <v>9.5573800704083528E-2</v>
      </c>
      <c r="D291" s="547">
        <f t="shared" si="33"/>
        <v>0.10215218010975007</v>
      </c>
      <c r="E291" s="574">
        <f t="shared" si="34"/>
        <v>6.5783794056665373E-3</v>
      </c>
    </row>
    <row r="292" spans="1:5" x14ac:dyDescent="0.2">
      <c r="A292" s="512">
        <v>6</v>
      </c>
      <c r="B292" s="511" t="s">
        <v>418</v>
      </c>
      <c r="C292" s="547">
        <f t="shared" si="33"/>
        <v>0.43018209914110167</v>
      </c>
      <c r="D292" s="547">
        <f t="shared" si="33"/>
        <v>6.8626282352046056E-2</v>
      </c>
      <c r="E292" s="574">
        <f t="shared" si="34"/>
        <v>-0.36155581678905563</v>
      </c>
    </row>
    <row r="293" spans="1:5" x14ac:dyDescent="0.2">
      <c r="A293" s="512">
        <v>7</v>
      </c>
      <c r="B293" s="511" t="s">
        <v>731</v>
      </c>
      <c r="C293" s="547">
        <f t="shared" si="33"/>
        <v>0.13241290929906091</v>
      </c>
      <c r="D293" s="547">
        <f t="shared" si="33"/>
        <v>0.10517091021580653</v>
      </c>
      <c r="E293" s="574">
        <f t="shared" si="34"/>
        <v>-2.7241999083254378E-2</v>
      </c>
    </row>
    <row r="294" spans="1:5" ht="29.25" customHeight="1" x14ac:dyDescent="0.2">
      <c r="A294" s="512"/>
      <c r="B294" s="516" t="s">
        <v>820</v>
      </c>
      <c r="C294" s="575">
        <f t="shared" si="33"/>
        <v>0.18992171758298076</v>
      </c>
      <c r="D294" s="575">
        <f t="shared" si="33"/>
        <v>0.16846274703428338</v>
      </c>
      <c r="E294" s="576">
        <f t="shared" si="34"/>
        <v>-2.1458970548697387E-2</v>
      </c>
    </row>
    <row r="295" spans="1:5" x14ac:dyDescent="0.2">
      <c r="A295" s="512"/>
      <c r="B295" s="516" t="s">
        <v>821</v>
      </c>
      <c r="C295" s="575">
        <f t="shared" si="33"/>
        <v>0.31971878999223685</v>
      </c>
      <c r="D295" s="575">
        <f t="shared" si="33"/>
        <v>0.29024212273019723</v>
      </c>
      <c r="E295" s="576">
        <f t="shared" si="34"/>
        <v>-2.9476667262039624E-2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822</v>
      </c>
      <c r="B297" s="501" t="s">
        <v>823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824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622</v>
      </c>
      <c r="C301" s="514">
        <f>+C48+C47+C50+C51+C52+C59+C58+C61+C62+C63</f>
        <v>265926616</v>
      </c>
      <c r="D301" s="514">
        <f>+D48+D47+D50+D51+D52+D59+D58+D61+D62+D63</f>
        <v>270401522</v>
      </c>
      <c r="E301" s="514">
        <f>D301-C301</f>
        <v>4474906</v>
      </c>
    </row>
    <row r="302" spans="1:5" ht="25.5" x14ac:dyDescent="0.2">
      <c r="A302" s="512">
        <v>2</v>
      </c>
      <c r="B302" s="511" t="s">
        <v>825</v>
      </c>
      <c r="C302" s="546">
        <f>C265</f>
        <v>1086769</v>
      </c>
      <c r="D302" s="546">
        <f>D265</f>
        <v>1104887</v>
      </c>
      <c r="E302" s="514">
        <f>D302-C302</f>
        <v>18118</v>
      </c>
    </row>
    <row r="303" spans="1:5" x14ac:dyDescent="0.2">
      <c r="A303" s="512"/>
      <c r="B303" s="516" t="s">
        <v>826</v>
      </c>
      <c r="C303" s="517">
        <f>+C301+C302</f>
        <v>267013385</v>
      </c>
      <c r="D303" s="517">
        <f>+D301+D302</f>
        <v>271506409</v>
      </c>
      <c r="E303" s="517">
        <f>D303-C303</f>
        <v>4493024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827</v>
      </c>
      <c r="C305" s="513">
        <v>3232038</v>
      </c>
      <c r="D305" s="578">
        <v>7579332</v>
      </c>
      <c r="E305" s="579">
        <f>D305-C305</f>
        <v>4347294</v>
      </c>
    </row>
    <row r="306" spans="1:5" x14ac:dyDescent="0.2">
      <c r="A306" s="512">
        <v>4</v>
      </c>
      <c r="B306" s="516" t="s">
        <v>828</v>
      </c>
      <c r="C306" s="580">
        <f>+C303+C305</f>
        <v>270245423</v>
      </c>
      <c r="D306" s="580">
        <f>+D303+D305</f>
        <v>279085741</v>
      </c>
      <c r="E306" s="580">
        <f>D306-C306</f>
        <v>8840318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829</v>
      </c>
      <c r="C308" s="513">
        <v>270245423</v>
      </c>
      <c r="D308" s="513">
        <v>279085742</v>
      </c>
      <c r="E308" s="514">
        <f>D308-C308</f>
        <v>8840319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830</v>
      </c>
      <c r="C310" s="581">
        <f>C306-C308</f>
        <v>0</v>
      </c>
      <c r="D310" s="582">
        <f>D306-D308</f>
        <v>-1</v>
      </c>
      <c r="E310" s="580">
        <f>D310-C310</f>
        <v>-1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831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832</v>
      </c>
      <c r="C314" s="514">
        <f>+C14+C15+C16+C19+C25+C26+C27+C30</f>
        <v>829881442</v>
      </c>
      <c r="D314" s="514">
        <f>+D14+D15+D16+D19+D25+D26+D27+D30</f>
        <v>900732964</v>
      </c>
      <c r="E314" s="514">
        <f>D314-C314</f>
        <v>70851522</v>
      </c>
    </row>
    <row r="315" spans="1:5" x14ac:dyDescent="0.2">
      <c r="A315" s="512">
        <v>2</v>
      </c>
      <c r="B315" s="583" t="s">
        <v>833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834</v>
      </c>
      <c r="C316" s="581">
        <f>C314+C315</f>
        <v>829881442</v>
      </c>
      <c r="D316" s="581">
        <f>D314+D315</f>
        <v>900732964</v>
      </c>
      <c r="E316" s="517">
        <f>D316-C316</f>
        <v>70851522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835</v>
      </c>
      <c r="C318" s="513">
        <v>829881442</v>
      </c>
      <c r="D318" s="513">
        <v>900732965</v>
      </c>
      <c r="E318" s="514">
        <f>D318-C318</f>
        <v>70851523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830</v>
      </c>
      <c r="C320" s="581">
        <f>C316-C318</f>
        <v>0</v>
      </c>
      <c r="D320" s="581">
        <f>D316-D318</f>
        <v>-1</v>
      </c>
      <c r="E320" s="517">
        <f>D320-C320</f>
        <v>-1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836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837</v>
      </c>
      <c r="C324" s="513">
        <f>+C193+C194</f>
        <v>28980507</v>
      </c>
      <c r="D324" s="513">
        <f>+D193+D194</f>
        <v>30542444</v>
      </c>
      <c r="E324" s="514">
        <f>D324-C324</f>
        <v>1561937</v>
      </c>
    </row>
    <row r="325" spans="1:5" x14ac:dyDescent="0.2">
      <c r="A325" s="512">
        <v>2</v>
      </c>
      <c r="B325" s="511" t="s">
        <v>838</v>
      </c>
      <c r="C325" s="513">
        <v>4056046</v>
      </c>
      <c r="D325" s="513">
        <v>2949701</v>
      </c>
      <c r="E325" s="514">
        <f>D325-C325</f>
        <v>-1106345</v>
      </c>
    </row>
    <row r="326" spans="1:5" x14ac:dyDescent="0.2">
      <c r="A326" s="512"/>
      <c r="B326" s="516" t="s">
        <v>839</v>
      </c>
      <c r="C326" s="581">
        <f>C324+C325</f>
        <v>33036553</v>
      </c>
      <c r="D326" s="581">
        <f>D324+D325</f>
        <v>33492145</v>
      </c>
      <c r="E326" s="517">
        <f>D326-C326</f>
        <v>455592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840</v>
      </c>
      <c r="C328" s="513">
        <v>33036553</v>
      </c>
      <c r="D328" s="513">
        <v>33492146</v>
      </c>
      <c r="E328" s="514">
        <f>D328-C328</f>
        <v>455593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841</v>
      </c>
      <c r="C330" s="581">
        <f>C326-C328</f>
        <v>0</v>
      </c>
      <c r="D330" s="581">
        <f>D326-D328</f>
        <v>-1</v>
      </c>
      <c r="E330" s="517">
        <f>D330-C330</f>
        <v>-1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FILING&amp;RGREENWICH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594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842</v>
      </c>
      <c r="B5" s="696"/>
      <c r="C5" s="697"/>
      <c r="D5" s="585"/>
    </row>
    <row r="6" spans="1:58" s="338" customFormat="1" ht="15.75" customHeight="1" x14ac:dyDescent="0.25">
      <c r="A6" s="695" t="s">
        <v>843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844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845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748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624</v>
      </c>
      <c r="C14" s="513">
        <v>178027564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603</v>
      </c>
      <c r="C15" s="515">
        <v>210495804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749</v>
      </c>
      <c r="C16" s="515">
        <v>20070523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9106454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716</v>
      </c>
      <c r="C18" s="515">
        <v>10964069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137517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731</v>
      </c>
      <c r="C20" s="515">
        <v>8419911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750</v>
      </c>
      <c r="C21" s="517">
        <f>SUM(C15+C16+C19)</f>
        <v>230703844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690</v>
      </c>
      <c r="C22" s="517">
        <f>SUM(C14+C21)</f>
        <v>408731408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751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624</v>
      </c>
      <c r="C25" s="513">
        <v>338694849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603</v>
      </c>
      <c r="C26" s="515">
        <v>130242934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749</v>
      </c>
      <c r="C27" s="515">
        <v>22669478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14846248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716</v>
      </c>
      <c r="C29" s="515">
        <v>7823230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394295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731</v>
      </c>
      <c r="C31" s="518">
        <v>25712243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752</v>
      </c>
      <c r="C32" s="517">
        <f>SUM(C26+C27+C30)</f>
        <v>153306707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696</v>
      </c>
      <c r="C33" s="517">
        <f>SUM(C25+C32)</f>
        <v>492001556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621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846</v>
      </c>
      <c r="C36" s="514">
        <f>SUM(C14+C25)</f>
        <v>516722413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847</v>
      </c>
      <c r="C37" s="518">
        <f>SUM(C21+C32)</f>
        <v>384010551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621</v>
      </c>
      <c r="C38" s="517">
        <f>SUM(+C36+C37)</f>
        <v>900732964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761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624</v>
      </c>
      <c r="C41" s="513">
        <v>69954026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603</v>
      </c>
      <c r="C42" s="515">
        <v>52168576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749</v>
      </c>
      <c r="C43" s="515">
        <v>5468936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2077009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716</v>
      </c>
      <c r="C45" s="515">
        <v>3391927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10408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731</v>
      </c>
      <c r="C47" s="515">
        <v>885530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762</v>
      </c>
      <c r="C48" s="517">
        <f>SUM(C42+C43+C46)</f>
        <v>57647920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691</v>
      </c>
      <c r="C49" s="517">
        <f>SUM(C41+C48)</f>
        <v>127601946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763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624</v>
      </c>
      <c r="C52" s="513">
        <v>116973107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603</v>
      </c>
      <c r="C53" s="515">
        <v>22736943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749</v>
      </c>
      <c r="C54" s="515">
        <v>3062467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2263307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716</v>
      </c>
      <c r="C56" s="515">
        <v>799160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27059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731</v>
      </c>
      <c r="C58" s="515">
        <v>2704180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764</v>
      </c>
      <c r="C59" s="517">
        <f>SUM(C53+C54+C57)</f>
        <v>25826469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697</v>
      </c>
      <c r="C60" s="517">
        <f>SUM(C52+C59)</f>
        <v>142799576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622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848</v>
      </c>
      <c r="C63" s="514">
        <f>SUM(C41+C52)</f>
        <v>186927133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849</v>
      </c>
      <c r="C64" s="518">
        <f>SUM(C48+C59)</f>
        <v>83474389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622</v>
      </c>
      <c r="C65" s="517">
        <f>SUM(+C63+C64)</f>
        <v>270401522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850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851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624</v>
      </c>
      <c r="C70" s="530">
        <v>7582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603</v>
      </c>
      <c r="C71" s="530">
        <v>5269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749</v>
      </c>
      <c r="C72" s="530">
        <v>770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517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716</v>
      </c>
      <c r="C74" s="530">
        <v>253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6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731</v>
      </c>
      <c r="C76" s="545">
        <v>333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779</v>
      </c>
      <c r="C77" s="532">
        <f>SUM(C71+C72+C75)</f>
        <v>6045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693</v>
      </c>
      <c r="C78" s="596">
        <f>SUM(C70+C77)</f>
        <v>13627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784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624</v>
      </c>
      <c r="C81" s="541">
        <v>0.87150000000000005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603</v>
      </c>
      <c r="C82" s="541">
        <v>1.4205000000000001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749</v>
      </c>
      <c r="C83" s="541">
        <f>((C73*C84)+(C74*C85))/(C73+C74)</f>
        <v>0.92362142857142859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0.87909999999999999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716</v>
      </c>
      <c r="C85" s="541">
        <v>1.0145999999999999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0.99019999999999997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731</v>
      </c>
      <c r="C87" s="541">
        <v>0.99360000000000004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785</v>
      </c>
      <c r="C88" s="543">
        <f>((C71*C82)+(C73*C84)+(C74*C85)+(C75*C86))/(C71+C73+C74+C75)</f>
        <v>1.3567815053763439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694</v>
      </c>
      <c r="C89" s="543">
        <f>((C70*C81)+(C71*C82)+(C73*C84)+(C74*C85)+(C75*C86))/(C70+C71+C73+C74+C75)</f>
        <v>1.0867731122037132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786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787</v>
      </c>
      <c r="C92" s="513">
        <v>464749003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788</v>
      </c>
      <c r="C93" s="546">
        <v>180919545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636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720</v>
      </c>
      <c r="C95" s="513">
        <f>+C92-C93</f>
        <v>283829458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638</v>
      </c>
      <c r="C96" s="597">
        <f>(+C92-C93)/C92</f>
        <v>0.61071558232046386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735</v>
      </c>
      <c r="C98" s="513">
        <v>18373068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721</v>
      </c>
      <c r="C99" s="513">
        <v>12688779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852</v>
      </c>
      <c r="C101" s="513">
        <v>1104887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790</v>
      </c>
      <c r="C103" s="513">
        <v>20038812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791</v>
      </c>
      <c r="C104" s="513">
        <v>10503632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792</v>
      </c>
      <c r="C105" s="578">
        <f>+C103+C104</f>
        <v>30542444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793</v>
      </c>
      <c r="C107" s="513">
        <v>22912084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678</v>
      </c>
      <c r="C108" s="513">
        <v>287530757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823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824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622</v>
      </c>
      <c r="C114" s="514">
        <f>+C65</f>
        <v>270401522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825</v>
      </c>
      <c r="C115" s="546">
        <f>+C101</f>
        <v>1104887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826</v>
      </c>
      <c r="C116" s="517">
        <f>+C114+C115</f>
        <v>271506409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827</v>
      </c>
      <c r="C118" s="578">
        <v>7579332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828</v>
      </c>
      <c r="C119" s="580">
        <f>+C116+C118</f>
        <v>279085741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829</v>
      </c>
      <c r="C121" s="513">
        <v>279085742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830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831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832</v>
      </c>
      <c r="C127" s="514">
        <f>+C38</f>
        <v>900732964</v>
      </c>
      <c r="D127" s="588"/>
      <c r="AR127" s="507"/>
    </row>
    <row r="128" spans="1:58" s="506" customFormat="1" x14ac:dyDescent="0.2">
      <c r="A128" s="512">
        <v>2</v>
      </c>
      <c r="B128" s="583" t="s">
        <v>833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834</v>
      </c>
      <c r="C129" s="581">
        <f>C127+C128</f>
        <v>900732964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835</v>
      </c>
      <c r="C131" s="513">
        <v>900732965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830</v>
      </c>
      <c r="C133" s="581">
        <f>C129-C131</f>
        <v>-1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836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837</v>
      </c>
      <c r="C137" s="513">
        <f>C105</f>
        <v>30542444</v>
      </c>
      <c r="D137" s="588"/>
      <c r="AR137" s="507"/>
    </row>
    <row r="138" spans="1:44" s="506" customFormat="1" x14ac:dyDescent="0.2">
      <c r="A138" s="512">
        <v>2</v>
      </c>
      <c r="B138" s="511" t="s">
        <v>853</v>
      </c>
      <c r="C138" s="513">
        <v>2949701</v>
      </c>
      <c r="D138" s="588"/>
      <c r="AR138" s="507"/>
    </row>
    <row r="139" spans="1:44" s="506" customFormat="1" x14ac:dyDescent="0.2">
      <c r="A139" s="512"/>
      <c r="B139" s="516" t="s">
        <v>839</v>
      </c>
      <c r="C139" s="581">
        <f>C137+C138</f>
        <v>33492145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854</v>
      </c>
      <c r="C141" s="513">
        <v>33492146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841</v>
      </c>
      <c r="C143" s="581">
        <f>C139-C141</f>
        <v>-1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FILING&amp;RGREENWICH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855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598</v>
      </c>
      <c r="D8" s="35" t="s">
        <v>598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600</v>
      </c>
      <c r="D9" s="607" t="s">
        <v>601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856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857</v>
      </c>
      <c r="C12" s="49">
        <v>3635</v>
      </c>
      <c r="D12" s="49">
        <v>3520</v>
      </c>
      <c r="E12" s="49">
        <f>+D12-C12</f>
        <v>-115</v>
      </c>
      <c r="F12" s="70">
        <f>IF(C12=0,0,+E12/C12)</f>
        <v>-3.1636863823933978E-2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858</v>
      </c>
      <c r="C13" s="49">
        <v>3414</v>
      </c>
      <c r="D13" s="49">
        <v>3454</v>
      </c>
      <c r="E13" s="49">
        <f>+D13-C13</f>
        <v>40</v>
      </c>
      <c r="F13" s="70">
        <f>IF(C13=0,0,+E13/C13)</f>
        <v>1.1716461628588167E-2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859</v>
      </c>
      <c r="C15" s="51">
        <v>21129180</v>
      </c>
      <c r="D15" s="51">
        <v>20038812</v>
      </c>
      <c r="E15" s="51">
        <f>+D15-C15</f>
        <v>-1090368</v>
      </c>
      <c r="F15" s="70">
        <f>IF(C15=0,0,+E15/C15)</f>
        <v>-5.1604842213469712E-2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860</v>
      </c>
      <c r="C16" s="27">
        <f>IF(C13=0,0,+C15/+C13)</f>
        <v>6188.9806678383129</v>
      </c>
      <c r="D16" s="27">
        <f>IF(D13=0,0,+D15/+D13)</f>
        <v>5801.6247828604519</v>
      </c>
      <c r="E16" s="27">
        <f>+D16-C16</f>
        <v>-387.35588497786102</v>
      </c>
      <c r="F16" s="28">
        <f>IF(C16=0,0,+E16/C16)</f>
        <v>-6.2587994011808201E-2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861</v>
      </c>
      <c r="C18" s="210">
        <v>0.33787800000000001</v>
      </c>
      <c r="D18" s="210">
        <v>0.33168300000000001</v>
      </c>
      <c r="E18" s="210">
        <f>+D18-C18</f>
        <v>-6.1950000000000061E-3</v>
      </c>
      <c r="F18" s="70">
        <f>IF(C18=0,0,+E18/C18)</f>
        <v>-1.8335020332782857E-2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862</v>
      </c>
      <c r="C19" s="27">
        <f>+C15*C18</f>
        <v>7139085.0800400004</v>
      </c>
      <c r="D19" s="27">
        <f>+D15*D18</f>
        <v>6646533.2805960001</v>
      </c>
      <c r="E19" s="27">
        <f>+D19-C19</f>
        <v>-492551.79944400024</v>
      </c>
      <c r="F19" s="28">
        <f>IF(C19=0,0,+E19/C19)</f>
        <v>-6.8993686714998559E-2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863</v>
      </c>
      <c r="C20" s="27">
        <f>IF(C13=0,0,+C19/C13)</f>
        <v>2091.1204100878736</v>
      </c>
      <c r="D20" s="27">
        <f>IF(D13=0,0,+D19/D13)</f>
        <v>1924.3003128535033</v>
      </c>
      <c r="E20" s="27">
        <f>+D20-C20</f>
        <v>-166.82009723437022</v>
      </c>
      <c r="F20" s="28">
        <f>IF(C20=0,0,+E20/C20)</f>
        <v>-7.9775462201796432E-2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864</v>
      </c>
      <c r="C22" s="51">
        <v>6441909</v>
      </c>
      <c r="D22" s="51">
        <v>4809315</v>
      </c>
      <c r="E22" s="51">
        <f>+D22-C22</f>
        <v>-1632594</v>
      </c>
      <c r="F22" s="70">
        <f>IF(C22=0,0,+E22/C22)</f>
        <v>-0.25343326023388407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865</v>
      </c>
      <c r="C23" s="49">
        <v>9404286</v>
      </c>
      <c r="D23" s="49">
        <v>13025228</v>
      </c>
      <c r="E23" s="49">
        <f>+D23-C23</f>
        <v>3620942</v>
      </c>
      <c r="F23" s="70">
        <f>IF(C23=0,0,+E23/C23)</f>
        <v>0.38503103797566346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866</v>
      </c>
      <c r="C24" s="49">
        <v>5282985</v>
      </c>
      <c r="D24" s="49">
        <v>2204269</v>
      </c>
      <c r="E24" s="49">
        <f>+D24-C24</f>
        <v>-3078716</v>
      </c>
      <c r="F24" s="70">
        <f>IF(C24=0,0,+E24/C24)</f>
        <v>-0.58276069305515732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859</v>
      </c>
      <c r="C25" s="27">
        <f>+C22+C23+C24</f>
        <v>21129180</v>
      </c>
      <c r="D25" s="27">
        <f>+D22+D23+D24</f>
        <v>20038812</v>
      </c>
      <c r="E25" s="27">
        <f>+E22+E23+E24</f>
        <v>-1090368</v>
      </c>
      <c r="F25" s="28">
        <f>IF(C25=0,0,+E25/C25)</f>
        <v>-5.1604842213469712E-2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867</v>
      </c>
      <c r="C27" s="49">
        <v>3040</v>
      </c>
      <c r="D27" s="49">
        <v>1788</v>
      </c>
      <c r="E27" s="49">
        <f>+D27-C27</f>
        <v>-1252</v>
      </c>
      <c r="F27" s="70">
        <f>IF(C27=0,0,+E27/C27)</f>
        <v>-0.4118421052631579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868</v>
      </c>
      <c r="C28" s="49">
        <v>557</v>
      </c>
      <c r="D28" s="49">
        <v>564</v>
      </c>
      <c r="E28" s="49">
        <f>+D28-C28</f>
        <v>7</v>
      </c>
      <c r="F28" s="70">
        <f>IF(C28=0,0,+E28/C28)</f>
        <v>1.2567324955116697E-2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869</v>
      </c>
      <c r="C29" s="49">
        <v>2906</v>
      </c>
      <c r="D29" s="49">
        <v>1789</v>
      </c>
      <c r="E29" s="49">
        <f>+D29-C29</f>
        <v>-1117</v>
      </c>
      <c r="F29" s="70">
        <f>IF(C29=0,0,+E29/C29)</f>
        <v>-0.38437715072264284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870</v>
      </c>
      <c r="C30" s="49">
        <v>14928</v>
      </c>
      <c r="D30" s="49">
        <v>13405</v>
      </c>
      <c r="E30" s="49">
        <f>+D30-C30</f>
        <v>-1523</v>
      </c>
      <c r="F30" s="70">
        <f>IF(C30=0,0,+E30/C30)</f>
        <v>-0.10202304394426581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871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872</v>
      </c>
      <c r="C33" s="51">
        <v>6359575</v>
      </c>
      <c r="D33" s="51">
        <v>9138160</v>
      </c>
      <c r="E33" s="51">
        <f>+D33-C33</f>
        <v>2778585</v>
      </c>
      <c r="F33" s="70">
        <f>IF(C33=0,0,+E33/C33)</f>
        <v>0.43691363023472479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873</v>
      </c>
      <c r="C34" s="49">
        <v>549593</v>
      </c>
      <c r="D34" s="49">
        <v>504174</v>
      </c>
      <c r="E34" s="49">
        <f>+D34-C34</f>
        <v>-45419</v>
      </c>
      <c r="F34" s="70">
        <f>IF(C34=0,0,+E34/C34)</f>
        <v>-8.2641154454296178E-2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874</v>
      </c>
      <c r="C35" s="49">
        <v>942159</v>
      </c>
      <c r="D35" s="49">
        <v>861298</v>
      </c>
      <c r="E35" s="49">
        <f>+D35-C35</f>
        <v>-80861</v>
      </c>
      <c r="F35" s="70">
        <f>IF(C35=0,0,+E35/C35)</f>
        <v>-8.5825216338218921E-2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875</v>
      </c>
      <c r="C36" s="27">
        <f>+C33+C34+C35</f>
        <v>7851327</v>
      </c>
      <c r="D36" s="27">
        <f>+D33+D34+D35</f>
        <v>10503632</v>
      </c>
      <c r="E36" s="27">
        <f>+E33+E34+E35</f>
        <v>2652305</v>
      </c>
      <c r="F36" s="28">
        <f>IF(C36=0,0,+E36/C36)</f>
        <v>0.33781614241770852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876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877</v>
      </c>
      <c r="C39" s="51">
        <f>+C25</f>
        <v>21129180</v>
      </c>
      <c r="D39" s="51">
        <f>+D25</f>
        <v>20038812</v>
      </c>
      <c r="E39" s="51">
        <f>+D39-C39</f>
        <v>-1090368</v>
      </c>
      <c r="F39" s="70">
        <f>IF(C39=0,0,+E39/C39)</f>
        <v>-5.1604842213469712E-2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878</v>
      </c>
      <c r="C40" s="49">
        <f>+C36</f>
        <v>7851327</v>
      </c>
      <c r="D40" s="49">
        <f>+D36</f>
        <v>10503632</v>
      </c>
      <c r="E40" s="49">
        <f>+D40-C40</f>
        <v>2652305</v>
      </c>
      <c r="F40" s="70">
        <f>IF(C40=0,0,+E40/C40)</f>
        <v>0.33781614241770852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879</v>
      </c>
      <c r="C41" s="27">
        <f>+C39+C40</f>
        <v>28980507</v>
      </c>
      <c r="D41" s="27">
        <f>+D39+D40</f>
        <v>30542444</v>
      </c>
      <c r="E41" s="27">
        <f>+E39+E40</f>
        <v>1561937</v>
      </c>
      <c r="F41" s="28">
        <f>IF(C41=0,0,+E41/C41)</f>
        <v>5.3896124039513868E-2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880</v>
      </c>
      <c r="C43" s="51">
        <f t="shared" ref="C43:D45" si="0">+C22+C33</f>
        <v>12801484</v>
      </c>
      <c r="D43" s="51">
        <f t="shared" si="0"/>
        <v>13947475</v>
      </c>
      <c r="E43" s="51">
        <f>+D43-C43</f>
        <v>1145991</v>
      </c>
      <c r="F43" s="70">
        <f>IF(C43=0,0,+E43/C43)</f>
        <v>8.9520168130507366E-2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881</v>
      </c>
      <c r="C44" s="49">
        <f t="shared" si="0"/>
        <v>9953879</v>
      </c>
      <c r="D44" s="49">
        <f t="shared" si="0"/>
        <v>13529402</v>
      </c>
      <c r="E44" s="49">
        <f>+D44-C44</f>
        <v>3575523</v>
      </c>
      <c r="F44" s="70">
        <f>IF(C44=0,0,+E44/C44)</f>
        <v>0.35920900786517496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882</v>
      </c>
      <c r="C45" s="49">
        <f t="shared" si="0"/>
        <v>6225144</v>
      </c>
      <c r="D45" s="49">
        <f t="shared" si="0"/>
        <v>3065567</v>
      </c>
      <c r="E45" s="49">
        <f>+D45-C45</f>
        <v>-3159577</v>
      </c>
      <c r="F45" s="70">
        <f>IF(C45=0,0,+E45/C45)</f>
        <v>-0.50755082934627693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879</v>
      </c>
      <c r="C46" s="27">
        <f>+C43+C44+C45</f>
        <v>28980507</v>
      </c>
      <c r="D46" s="27">
        <f>+D43+D44+D45</f>
        <v>30542444</v>
      </c>
      <c r="E46" s="27">
        <f>+E43+E44+E45</f>
        <v>1561937</v>
      </c>
      <c r="F46" s="28">
        <f>IF(C46=0,0,+E46/C46)</f>
        <v>5.3896124039513868E-2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883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FILING&amp;RGREENWICH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884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885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600</v>
      </c>
      <c r="D9" s="35" t="s">
        <v>601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886</v>
      </c>
      <c r="D10" s="35" t="s">
        <v>886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887</v>
      </c>
      <c r="D11" s="605" t="s">
        <v>887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888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430930871</v>
      </c>
      <c r="D15" s="51">
        <v>464749003</v>
      </c>
      <c r="E15" s="51">
        <f>+D15-C15</f>
        <v>33818132</v>
      </c>
      <c r="F15" s="70">
        <f>+E15/C15</f>
        <v>7.8476930468042522E-2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889</v>
      </c>
      <c r="C17" s="51">
        <v>255384753</v>
      </c>
      <c r="D17" s="51">
        <v>283829458</v>
      </c>
      <c r="E17" s="51">
        <f>+D17-C17</f>
        <v>28444705</v>
      </c>
      <c r="F17" s="70">
        <f>+E17/C17</f>
        <v>0.11137980895828969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890</v>
      </c>
      <c r="C19" s="27">
        <f>+C15-C17</f>
        <v>175546118</v>
      </c>
      <c r="D19" s="27">
        <f>+D15-D17</f>
        <v>180919545</v>
      </c>
      <c r="E19" s="27">
        <f>+D19-C19</f>
        <v>5373427</v>
      </c>
      <c r="F19" s="28">
        <f>+E19/C19</f>
        <v>3.0609774008218172E-2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891</v>
      </c>
      <c r="C21" s="628">
        <f>+C17/C15</f>
        <v>0.5926350841548319</v>
      </c>
      <c r="D21" s="628">
        <f>+D17/D15</f>
        <v>0.61071558232046386</v>
      </c>
      <c r="E21" s="628">
        <f>+D21-C21</f>
        <v>1.8080498165631953E-2</v>
      </c>
      <c r="F21" s="28">
        <f>+E21/C21</f>
        <v>3.050865304644745E-2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892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FILING&amp;R&amp;12GREENWICH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893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894</v>
      </c>
      <c r="B6" s="632" t="s">
        <v>895</v>
      </c>
      <c r="C6" s="632" t="s">
        <v>896</v>
      </c>
      <c r="D6" s="632" t="s">
        <v>897</v>
      </c>
      <c r="E6" s="632" t="s">
        <v>898</v>
      </c>
    </row>
    <row r="7" spans="1:6" ht="37.5" customHeight="1" x14ac:dyDescent="0.25">
      <c r="A7" s="633" t="s">
        <v>8</v>
      </c>
      <c r="B7" s="634" t="s">
        <v>899</v>
      </c>
      <c r="C7" s="631" t="s">
        <v>900</v>
      </c>
      <c r="D7" s="631" t="s">
        <v>901</v>
      </c>
      <c r="E7" s="631" t="s">
        <v>902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903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904</v>
      </c>
      <c r="C10" s="641">
        <v>334089743</v>
      </c>
      <c r="D10" s="641">
        <v>362534490</v>
      </c>
      <c r="E10" s="641">
        <v>408731408</v>
      </c>
    </row>
    <row r="11" spans="1:6" ht="26.1" customHeight="1" x14ac:dyDescent="0.25">
      <c r="A11" s="639">
        <v>2</v>
      </c>
      <c r="B11" s="640" t="s">
        <v>905</v>
      </c>
      <c r="C11" s="641">
        <v>438960026</v>
      </c>
      <c r="D11" s="641">
        <v>467346952</v>
      </c>
      <c r="E11" s="641">
        <v>492001556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773049769</v>
      </c>
      <c r="D12" s="641">
        <f>+D11+D10</f>
        <v>829881442</v>
      </c>
      <c r="E12" s="641">
        <f>+E11+E10</f>
        <v>900732964</v>
      </c>
    </row>
    <row r="13" spans="1:6" ht="26.1" customHeight="1" x14ac:dyDescent="0.25">
      <c r="A13" s="639">
        <v>4</v>
      </c>
      <c r="B13" s="640" t="s">
        <v>484</v>
      </c>
      <c r="C13" s="641">
        <v>263093000</v>
      </c>
      <c r="D13" s="641">
        <v>269158231</v>
      </c>
      <c r="E13" s="641">
        <v>279086000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906</v>
      </c>
      <c r="C16" s="641">
        <v>278268000</v>
      </c>
      <c r="D16" s="641">
        <v>283532000</v>
      </c>
      <c r="E16" s="641">
        <v>287530757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907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51700</v>
      </c>
      <c r="D19" s="644">
        <v>50149</v>
      </c>
      <c r="E19" s="644">
        <v>53059</v>
      </c>
    </row>
    <row r="20" spans="1:5" ht="26.1" customHeight="1" x14ac:dyDescent="0.25">
      <c r="A20" s="639">
        <v>2</v>
      </c>
      <c r="B20" s="640" t="s">
        <v>373</v>
      </c>
      <c r="C20" s="645">
        <v>12731</v>
      </c>
      <c r="D20" s="645">
        <v>12931</v>
      </c>
      <c r="E20" s="645">
        <v>13627</v>
      </c>
    </row>
    <row r="21" spans="1:5" ht="26.1" customHeight="1" x14ac:dyDescent="0.25">
      <c r="A21" s="639">
        <v>3</v>
      </c>
      <c r="B21" s="640" t="s">
        <v>908</v>
      </c>
      <c r="C21" s="646">
        <f>IF(C20=0,0,+C19/C20)</f>
        <v>4.0609535778807633</v>
      </c>
      <c r="D21" s="646">
        <f>IF(D20=0,0,+D19/D20)</f>
        <v>3.8781996751991339</v>
      </c>
      <c r="E21" s="646">
        <f>IF(E20=0,0,+E19/E20)</f>
        <v>3.8936669846628016</v>
      </c>
    </row>
    <row r="22" spans="1:5" ht="26.1" customHeight="1" x14ac:dyDescent="0.25">
      <c r="A22" s="639">
        <v>4</v>
      </c>
      <c r="B22" s="640" t="s">
        <v>909</v>
      </c>
      <c r="C22" s="645">
        <f>IF(C10=0,0,C19*(C12/C10))</f>
        <v>119628.554586604</v>
      </c>
      <c r="D22" s="645">
        <f>IF(D10=0,0,D19*(D12/D10))</f>
        <v>114796.59338028225</v>
      </c>
      <c r="E22" s="645">
        <f>IF(E10=0,0,E19*(E12/E10))</f>
        <v>116927.61897288793</v>
      </c>
    </row>
    <row r="23" spans="1:5" ht="26.1" customHeight="1" x14ac:dyDescent="0.25">
      <c r="A23" s="639">
        <v>0</v>
      </c>
      <c r="B23" s="640" t="s">
        <v>910</v>
      </c>
      <c r="C23" s="645">
        <f>IF(C10=0,0,C20*(C12/C10))</f>
        <v>29458.242329633569</v>
      </c>
      <c r="D23" s="645">
        <f>IF(D10=0,0,D20*(D12/D10))</f>
        <v>29600.4855331199</v>
      </c>
      <c r="E23" s="645">
        <f>IF(E10=0,0,E20*(E12/E10))</f>
        <v>30030.205313774171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911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1.0899615034168566</v>
      </c>
      <c r="D26" s="647">
        <v>1.0744528033408089</v>
      </c>
      <c r="E26" s="647">
        <v>1.0867731122037132</v>
      </c>
    </row>
    <row r="27" spans="1:5" ht="26.1" customHeight="1" x14ac:dyDescent="0.25">
      <c r="A27" s="639">
        <v>2</v>
      </c>
      <c r="B27" s="640" t="s">
        <v>912</v>
      </c>
      <c r="C27" s="645">
        <f>C19*C26</f>
        <v>56351.009726651486</v>
      </c>
      <c r="D27" s="645">
        <f>D19*D26</f>
        <v>53882.73363473823</v>
      </c>
      <c r="E27" s="645">
        <f>E19*E26</f>
        <v>57663.094560416816</v>
      </c>
    </row>
    <row r="28" spans="1:5" ht="26.1" customHeight="1" x14ac:dyDescent="0.25">
      <c r="A28" s="639">
        <v>3</v>
      </c>
      <c r="B28" s="640" t="s">
        <v>913</v>
      </c>
      <c r="C28" s="645">
        <f>C20*C26</f>
        <v>13876.299900000002</v>
      </c>
      <c r="D28" s="645">
        <f>D20*D26</f>
        <v>13893.7492</v>
      </c>
      <c r="E28" s="645">
        <f>E20*E26</f>
        <v>14809.457199999999</v>
      </c>
    </row>
    <row r="29" spans="1:5" ht="26.1" customHeight="1" x14ac:dyDescent="0.25">
      <c r="A29" s="639">
        <v>4</v>
      </c>
      <c r="B29" s="640" t="s">
        <v>914</v>
      </c>
      <c r="C29" s="645">
        <f>C22*C26</f>
        <v>130390.5192088004</v>
      </c>
      <c r="D29" s="645">
        <f>D22*D26</f>
        <v>123343.52157141922</v>
      </c>
      <c r="E29" s="645">
        <f>E22*E26</f>
        <v>127073.79237373536</v>
      </c>
    </row>
    <row r="30" spans="1:5" ht="26.1" customHeight="1" x14ac:dyDescent="0.25">
      <c r="A30" s="639">
        <v>5</v>
      </c>
      <c r="B30" s="640" t="s">
        <v>915</v>
      </c>
      <c r="C30" s="645">
        <f>C23*C26</f>
        <v>32108.350097625491</v>
      </c>
      <c r="D30" s="645">
        <f>D23*D26</f>
        <v>31804.324661309736</v>
      </c>
      <c r="E30" s="645">
        <f>E23*E26</f>
        <v>32636.01968896684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916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917</v>
      </c>
      <c r="C33" s="641">
        <f>IF(C19=0,0,C12/C19)</f>
        <v>14952.606750483559</v>
      </c>
      <c r="D33" s="641">
        <f>IF(D19=0,0,D12/D19)</f>
        <v>16548.314861712097</v>
      </c>
      <c r="E33" s="641">
        <f>IF(E19=0,0,E12/E19)</f>
        <v>16976.063702670614</v>
      </c>
    </row>
    <row r="34" spans="1:5" ht="26.1" customHeight="1" x14ac:dyDescent="0.25">
      <c r="A34" s="639">
        <v>2</v>
      </c>
      <c r="B34" s="640" t="s">
        <v>918</v>
      </c>
      <c r="C34" s="641">
        <f>IF(C20=0,0,C12/C20)</f>
        <v>60721.841882020264</v>
      </c>
      <c r="D34" s="641">
        <f>IF(D20=0,0,D12/D20)</f>
        <v>64177.669321784859</v>
      </c>
      <c r="E34" s="641">
        <f>IF(E20=0,0,E12/E20)</f>
        <v>66099.138768621124</v>
      </c>
    </row>
    <row r="35" spans="1:5" ht="26.1" customHeight="1" x14ac:dyDescent="0.25">
      <c r="A35" s="639">
        <v>3</v>
      </c>
      <c r="B35" s="640" t="s">
        <v>919</v>
      </c>
      <c r="C35" s="641">
        <f>IF(C22=0,0,C12/C22)</f>
        <v>6462.0840038684719</v>
      </c>
      <c r="D35" s="641">
        <f>IF(D22=0,0,D12/D22)</f>
        <v>7229.1469421125039</v>
      </c>
      <c r="E35" s="641">
        <f>IF(E22=0,0,E12/E22)</f>
        <v>7703.3379445522914</v>
      </c>
    </row>
    <row r="36" spans="1:5" ht="26.1" customHeight="1" x14ac:dyDescent="0.25">
      <c r="A36" s="639">
        <v>4</v>
      </c>
      <c r="B36" s="640" t="s">
        <v>920</v>
      </c>
      <c r="C36" s="641">
        <f>IF(C23=0,0,C12/C23)</f>
        <v>26242.223156075721</v>
      </c>
      <c r="D36" s="641">
        <f>IF(D23=0,0,D12/D23)</f>
        <v>28036.075322867524</v>
      </c>
      <c r="E36" s="641">
        <f>IF(E23=0,0,E12/E23)</f>
        <v>29994.232626403467</v>
      </c>
    </row>
    <row r="37" spans="1:5" ht="26.1" customHeight="1" x14ac:dyDescent="0.25">
      <c r="A37" s="639">
        <v>5</v>
      </c>
      <c r="B37" s="640" t="s">
        <v>921</v>
      </c>
      <c r="C37" s="641">
        <f>IF(C29=0,0,C12/C29)</f>
        <v>5928.7268253152633</v>
      </c>
      <c r="D37" s="641">
        <f>IF(D29=0,0,D12/D29)</f>
        <v>6728.212648926813</v>
      </c>
      <c r="E37" s="641">
        <f>IF(E29=0,0,E12/E29)</f>
        <v>7088.266960278198</v>
      </c>
    </row>
    <row r="38" spans="1:5" ht="26.1" customHeight="1" x14ac:dyDescent="0.25">
      <c r="A38" s="639">
        <v>6</v>
      </c>
      <c r="B38" s="640" t="s">
        <v>922</v>
      </c>
      <c r="C38" s="641">
        <f>IF(C30=0,0,C12/C30)</f>
        <v>24076.284413541678</v>
      </c>
      <c r="D38" s="641">
        <f>IF(D30=0,0,D12/D30)</f>
        <v>26093.352109738669</v>
      </c>
      <c r="E38" s="641">
        <f>IF(E30=0,0,E12/E30)</f>
        <v>27599.351041711379</v>
      </c>
    </row>
    <row r="39" spans="1:5" ht="26.1" customHeight="1" x14ac:dyDescent="0.25">
      <c r="A39" s="639">
        <v>7</v>
      </c>
      <c r="B39" s="640" t="s">
        <v>923</v>
      </c>
      <c r="C39" s="641">
        <f>IF(C22=0,0,C10/C22)</f>
        <v>2792.7257347085874</v>
      </c>
      <c r="D39" s="641">
        <f>IF(D22=0,0,D10/D22)</f>
        <v>3158.0596542533799</v>
      </c>
      <c r="E39" s="641">
        <f>IF(E22=0,0,E10/E22)</f>
        <v>3495.5933558757642</v>
      </c>
    </row>
    <row r="40" spans="1:5" ht="26.1" customHeight="1" x14ac:dyDescent="0.25">
      <c r="A40" s="639">
        <v>8</v>
      </c>
      <c r="B40" s="640" t="s">
        <v>924</v>
      </c>
      <c r="C40" s="641">
        <f>IF(C23=0,0,C10/C23)</f>
        <v>11341.129564404522</v>
      </c>
      <c r="D40" s="641">
        <f>IF(D23=0,0,D10/D23)</f>
        <v>12247.585925384947</v>
      </c>
      <c r="E40" s="641">
        <f>IF(E23=0,0,E10/E23)</f>
        <v>13610.676441580112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925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926</v>
      </c>
      <c r="C43" s="641">
        <f>IF(C19=0,0,C13/C19)</f>
        <v>5088.8394584139269</v>
      </c>
      <c r="D43" s="641">
        <f>IF(D19=0,0,D13/D19)</f>
        <v>5367.170452052882</v>
      </c>
      <c r="E43" s="641">
        <f>IF(E19=0,0,E13/E19)</f>
        <v>5259.9182042631792</v>
      </c>
    </row>
    <row r="44" spans="1:5" ht="26.1" customHeight="1" x14ac:dyDescent="0.25">
      <c r="A44" s="639">
        <v>2</v>
      </c>
      <c r="B44" s="640" t="s">
        <v>927</v>
      </c>
      <c r="C44" s="641">
        <f>IF(C20=0,0,C13/C20)</f>
        <v>20665.540805906843</v>
      </c>
      <c r="D44" s="641">
        <f>IF(D20=0,0,D13/D20)</f>
        <v>20814.958703889875</v>
      </c>
      <c r="E44" s="641">
        <f>IF(E20=0,0,E13/E20)</f>
        <v>20480.369853966389</v>
      </c>
    </row>
    <row r="45" spans="1:5" ht="26.1" customHeight="1" x14ac:dyDescent="0.25">
      <c r="A45" s="639">
        <v>3</v>
      </c>
      <c r="B45" s="640" t="s">
        <v>928</v>
      </c>
      <c r="C45" s="641">
        <f>IF(C22=0,0,C13/C22)</f>
        <v>2199.249175158563</v>
      </c>
      <c r="D45" s="641">
        <f>IF(D22=0,0,D13/D22)</f>
        <v>2344.6534698845103</v>
      </c>
      <c r="E45" s="641">
        <f>IF(E22=0,0,E13/E22)</f>
        <v>2386.827017017355</v>
      </c>
    </row>
    <row r="46" spans="1:5" ht="26.1" customHeight="1" x14ac:dyDescent="0.25">
      <c r="A46" s="639">
        <v>4</v>
      </c>
      <c r="B46" s="640" t="s">
        <v>929</v>
      </c>
      <c r="C46" s="641">
        <f>IF(C23=0,0,C13/C23)</f>
        <v>8931.048806511486</v>
      </c>
      <c r="D46" s="641">
        <f>IF(D23=0,0,D13/D23)</f>
        <v>9093.0343253606297</v>
      </c>
      <c r="E46" s="641">
        <f>IF(E23=0,0,E13/E23)</f>
        <v>9293.5095542616764</v>
      </c>
    </row>
    <row r="47" spans="1:5" ht="26.1" customHeight="1" x14ac:dyDescent="0.25">
      <c r="A47" s="639">
        <v>5</v>
      </c>
      <c r="B47" s="640" t="s">
        <v>930</v>
      </c>
      <c r="C47" s="641">
        <f>IF(C29=0,0,C13/C29)</f>
        <v>2017.7310558806576</v>
      </c>
      <c r="D47" s="641">
        <f>IF(D29=0,0,D13/D29)</f>
        <v>2182.1837707475388</v>
      </c>
      <c r="E47" s="641">
        <f>IF(E29=0,0,E13/E29)</f>
        <v>2196.2514440364162</v>
      </c>
    </row>
    <row r="48" spans="1:5" ht="26.1" customHeight="1" x14ac:dyDescent="0.25">
      <c r="A48" s="639">
        <v>6</v>
      </c>
      <c r="B48" s="640" t="s">
        <v>931</v>
      </c>
      <c r="C48" s="641">
        <f>IF(C30=0,0,C13/C30)</f>
        <v>8193.9121505796866</v>
      </c>
      <c r="D48" s="641">
        <f>IF(D30=0,0,D13/D30)</f>
        <v>8462.9443909379261</v>
      </c>
      <c r="E48" s="641">
        <f>IF(E30=0,0,E13/E30)</f>
        <v>8551.4717376625977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932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933</v>
      </c>
      <c r="C51" s="641">
        <f>IF(C19=0,0,C16/C19)</f>
        <v>5382.3597678916831</v>
      </c>
      <c r="D51" s="641">
        <f>IF(D19=0,0,D16/D19)</f>
        <v>5653.7917007318192</v>
      </c>
      <c r="E51" s="641">
        <f>IF(E19=0,0,E16/E19)</f>
        <v>5419.0760662658549</v>
      </c>
    </row>
    <row r="52" spans="1:6" ht="26.1" customHeight="1" x14ac:dyDescent="0.25">
      <c r="A52" s="639">
        <v>2</v>
      </c>
      <c r="B52" s="640" t="s">
        <v>934</v>
      </c>
      <c r="C52" s="641">
        <f>IF(C20=0,0,C16/C20)</f>
        <v>21857.513156861205</v>
      </c>
      <c r="D52" s="641">
        <f>IF(D20=0,0,D16/D20)</f>
        <v>21926.533137421698</v>
      </c>
      <c r="E52" s="641">
        <f>IF(E20=0,0,E16/E20)</f>
        <v>21100.07756659573</v>
      </c>
    </row>
    <row r="53" spans="1:6" ht="26.1" customHeight="1" x14ac:dyDescent="0.25">
      <c r="A53" s="639">
        <v>3</v>
      </c>
      <c r="B53" s="640" t="s">
        <v>935</v>
      </c>
      <c r="C53" s="641">
        <f>IF(C22=0,0,C16/C22)</f>
        <v>2326.1001602970168</v>
      </c>
      <c r="D53" s="641">
        <f>IF(D22=0,0,D16/D22)</f>
        <v>2469.8642324755619</v>
      </c>
      <c r="E53" s="641">
        <f>IF(E22=0,0,E16/E22)</f>
        <v>2459.0491068382221</v>
      </c>
    </row>
    <row r="54" spans="1:6" ht="26.1" customHeight="1" x14ac:dyDescent="0.25">
      <c r="A54" s="639">
        <v>4</v>
      </c>
      <c r="B54" s="640" t="s">
        <v>936</v>
      </c>
      <c r="C54" s="641">
        <f>IF(C23=0,0,C16/C23)</f>
        <v>9446.1847684671884</v>
      </c>
      <c r="D54" s="641">
        <f>IF(D23=0,0,D16/D23)</f>
        <v>9578.6266641726816</v>
      </c>
      <c r="E54" s="641">
        <f>IF(E23=0,0,E16/E23)</f>
        <v>9574.7183209605355</v>
      </c>
    </row>
    <row r="55" spans="1:6" ht="26.1" customHeight="1" x14ac:dyDescent="0.25">
      <c r="A55" s="639">
        <v>5</v>
      </c>
      <c r="B55" s="640" t="s">
        <v>937</v>
      </c>
      <c r="C55" s="641">
        <f>IF(C29=0,0,C16/C29)</f>
        <v>2134.1122168123015</v>
      </c>
      <c r="D55" s="641">
        <f>IF(D29=0,0,D16/D29)</f>
        <v>2298.7182171203644</v>
      </c>
      <c r="E55" s="641">
        <f>IF(E29=0,0,E16/E29)</f>
        <v>2262.7069801643001</v>
      </c>
    </row>
    <row r="56" spans="1:6" ht="26.1" customHeight="1" x14ac:dyDescent="0.25">
      <c r="A56" s="639">
        <v>6</v>
      </c>
      <c r="B56" s="640" t="s">
        <v>938</v>
      </c>
      <c r="C56" s="641">
        <f>IF(C30=0,0,C16/C30)</f>
        <v>8666.5306424629634</v>
      </c>
      <c r="D56" s="641">
        <f>IF(D30=0,0,D16/D30)</f>
        <v>8914.8882430105295</v>
      </c>
      <c r="E56" s="641">
        <f>IF(E30=0,0,E16/E30)</f>
        <v>8810.2274646318056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939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940</v>
      </c>
      <c r="C59" s="649">
        <v>34451485</v>
      </c>
      <c r="D59" s="649">
        <v>34682247</v>
      </c>
      <c r="E59" s="649">
        <v>32654133</v>
      </c>
    </row>
    <row r="60" spans="1:6" ht="26.1" customHeight="1" x14ac:dyDescent="0.25">
      <c r="A60" s="639">
        <v>2</v>
      </c>
      <c r="B60" s="640" t="s">
        <v>941</v>
      </c>
      <c r="C60" s="649">
        <v>8613360</v>
      </c>
      <c r="D60" s="649">
        <v>9364207</v>
      </c>
      <c r="E60" s="649">
        <v>9208466</v>
      </c>
    </row>
    <row r="61" spans="1:6" ht="26.1" customHeight="1" x14ac:dyDescent="0.25">
      <c r="A61" s="650">
        <v>3</v>
      </c>
      <c r="B61" s="651" t="s">
        <v>942</v>
      </c>
      <c r="C61" s="652">
        <f>C59+C60</f>
        <v>43064845</v>
      </c>
      <c r="D61" s="652">
        <f>D59+D60</f>
        <v>44046454</v>
      </c>
      <c r="E61" s="652">
        <f>E59+E60</f>
        <v>41862599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943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944</v>
      </c>
      <c r="C64" s="641">
        <v>14575885</v>
      </c>
      <c r="D64" s="641">
        <v>16001525</v>
      </c>
      <c r="E64" s="649">
        <v>16407798</v>
      </c>
      <c r="F64" s="653"/>
    </row>
    <row r="65" spans="1:6" ht="26.1" customHeight="1" x14ac:dyDescent="0.25">
      <c r="A65" s="639">
        <v>2</v>
      </c>
      <c r="B65" s="640" t="s">
        <v>945</v>
      </c>
      <c r="C65" s="649">
        <v>3691440</v>
      </c>
      <c r="D65" s="649">
        <v>4320412</v>
      </c>
      <c r="E65" s="649">
        <v>4626999</v>
      </c>
      <c r="F65" s="653"/>
    </row>
    <row r="66" spans="1:6" ht="26.1" customHeight="1" x14ac:dyDescent="0.25">
      <c r="A66" s="650">
        <v>3</v>
      </c>
      <c r="B66" s="651" t="s">
        <v>946</v>
      </c>
      <c r="C66" s="654">
        <f>C64+C65</f>
        <v>18267325</v>
      </c>
      <c r="D66" s="654">
        <f>D64+D65</f>
        <v>20321937</v>
      </c>
      <c r="E66" s="654">
        <f>E64+E65</f>
        <v>21034797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947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948</v>
      </c>
      <c r="C69" s="649">
        <v>74323630</v>
      </c>
      <c r="D69" s="649">
        <v>71813474</v>
      </c>
      <c r="E69" s="649">
        <v>69278749</v>
      </c>
    </row>
    <row r="70" spans="1:6" ht="26.1" customHeight="1" x14ac:dyDescent="0.25">
      <c r="A70" s="639">
        <v>2</v>
      </c>
      <c r="B70" s="640" t="s">
        <v>949</v>
      </c>
      <c r="C70" s="649">
        <v>18457200</v>
      </c>
      <c r="D70" s="649">
        <v>20460705</v>
      </c>
      <c r="E70" s="649">
        <v>19548935</v>
      </c>
    </row>
    <row r="71" spans="1:6" ht="26.1" customHeight="1" x14ac:dyDescent="0.25">
      <c r="A71" s="650">
        <v>3</v>
      </c>
      <c r="B71" s="651" t="s">
        <v>950</v>
      </c>
      <c r="C71" s="652">
        <f>C69+C70</f>
        <v>92780830</v>
      </c>
      <c r="D71" s="652">
        <f>D69+D70</f>
        <v>92274179</v>
      </c>
      <c r="E71" s="652">
        <f>E69+E70</f>
        <v>88827684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951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952</v>
      </c>
      <c r="C75" s="641">
        <f t="shared" ref="C75:E76" si="0">+C59+C64+C69</f>
        <v>123351000</v>
      </c>
      <c r="D75" s="641">
        <f t="shared" si="0"/>
        <v>122497246</v>
      </c>
      <c r="E75" s="641">
        <f t="shared" si="0"/>
        <v>118340680</v>
      </c>
    </row>
    <row r="76" spans="1:6" ht="26.1" customHeight="1" x14ac:dyDescent="0.25">
      <c r="A76" s="639">
        <v>2</v>
      </c>
      <c r="B76" s="640" t="s">
        <v>953</v>
      </c>
      <c r="C76" s="641">
        <f t="shared" si="0"/>
        <v>30762000</v>
      </c>
      <c r="D76" s="641">
        <f t="shared" si="0"/>
        <v>34145324</v>
      </c>
      <c r="E76" s="641">
        <f t="shared" si="0"/>
        <v>33384400</v>
      </c>
    </row>
    <row r="77" spans="1:6" ht="26.1" customHeight="1" x14ac:dyDescent="0.25">
      <c r="A77" s="650">
        <v>3</v>
      </c>
      <c r="B77" s="651" t="s">
        <v>951</v>
      </c>
      <c r="C77" s="654">
        <f>C75+C76</f>
        <v>154113000</v>
      </c>
      <c r="D77" s="654">
        <f>D75+D76</f>
        <v>156642570</v>
      </c>
      <c r="E77" s="654">
        <f>E75+E76</f>
        <v>151725080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954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418.5</v>
      </c>
      <c r="D80" s="646">
        <v>338.2</v>
      </c>
      <c r="E80" s="646">
        <v>351.9</v>
      </c>
    </row>
    <row r="81" spans="1:5" ht="26.1" customHeight="1" x14ac:dyDescent="0.25">
      <c r="A81" s="639">
        <v>2</v>
      </c>
      <c r="B81" s="640" t="s">
        <v>579</v>
      </c>
      <c r="C81" s="646">
        <v>65.400000000000006</v>
      </c>
      <c r="D81" s="646">
        <v>60.1</v>
      </c>
      <c r="E81" s="646">
        <v>51.3</v>
      </c>
    </row>
    <row r="82" spans="1:5" ht="26.1" customHeight="1" x14ac:dyDescent="0.25">
      <c r="A82" s="639">
        <v>3</v>
      </c>
      <c r="B82" s="640" t="s">
        <v>955</v>
      </c>
      <c r="C82" s="646">
        <v>1112</v>
      </c>
      <c r="D82" s="646">
        <v>1041.8</v>
      </c>
      <c r="E82" s="646">
        <v>1058.5</v>
      </c>
    </row>
    <row r="83" spans="1:5" ht="26.1" customHeight="1" x14ac:dyDescent="0.25">
      <c r="A83" s="650">
        <v>4</v>
      </c>
      <c r="B83" s="651" t="s">
        <v>954</v>
      </c>
      <c r="C83" s="656">
        <f>C80+C81+C82</f>
        <v>1595.9</v>
      </c>
      <c r="D83" s="656">
        <f>D80+D81+D82</f>
        <v>1440.1</v>
      </c>
      <c r="E83" s="656">
        <f>E80+E81+E82</f>
        <v>1461.7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956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957</v>
      </c>
      <c r="C86" s="649">
        <f>IF(C80=0,0,C59/C80)</f>
        <v>82321.35005973716</v>
      </c>
      <c r="D86" s="649">
        <f>IF(D80=0,0,D59/D80)</f>
        <v>102549.5180366647</v>
      </c>
      <c r="E86" s="649">
        <f>IF(E80=0,0,E59/E80)</f>
        <v>92793.785166240414</v>
      </c>
    </row>
    <row r="87" spans="1:5" ht="26.1" customHeight="1" x14ac:dyDescent="0.25">
      <c r="A87" s="639">
        <v>2</v>
      </c>
      <c r="B87" s="640" t="s">
        <v>958</v>
      </c>
      <c r="C87" s="649">
        <f>IF(C80=0,0,C60/C80)</f>
        <v>20581.505376344085</v>
      </c>
      <c r="D87" s="649">
        <f>IF(D80=0,0,D60/D80)</f>
        <v>27688.370786516854</v>
      </c>
      <c r="E87" s="649">
        <f>IF(E80=0,0,E60/E80)</f>
        <v>26167.848820687697</v>
      </c>
    </row>
    <row r="88" spans="1:5" ht="26.1" customHeight="1" x14ac:dyDescent="0.25">
      <c r="A88" s="650">
        <v>3</v>
      </c>
      <c r="B88" s="651" t="s">
        <v>959</v>
      </c>
      <c r="C88" s="652">
        <f>+C86+C87</f>
        <v>102902.85543608124</v>
      </c>
      <c r="D88" s="652">
        <f>+D86+D87</f>
        <v>130237.88882318155</v>
      </c>
      <c r="E88" s="652">
        <f>+E86+E87</f>
        <v>118961.63398692811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960</v>
      </c>
    </row>
    <row r="91" spans="1:5" ht="26.1" customHeight="1" x14ac:dyDescent="0.25">
      <c r="A91" s="639">
        <v>1</v>
      </c>
      <c r="B91" s="640" t="s">
        <v>961</v>
      </c>
      <c r="C91" s="641">
        <f>IF(C81=0,0,C64/C81)</f>
        <v>222872.8593272171</v>
      </c>
      <c r="D91" s="641">
        <f>IF(D81=0,0,D64/D81)</f>
        <v>266248.33610648918</v>
      </c>
      <c r="E91" s="641">
        <f>IF(E81=0,0,E64/E81)</f>
        <v>319840.11695906433</v>
      </c>
    </row>
    <row r="92" spans="1:5" ht="26.1" customHeight="1" x14ac:dyDescent="0.25">
      <c r="A92" s="639">
        <v>2</v>
      </c>
      <c r="B92" s="640" t="s">
        <v>962</v>
      </c>
      <c r="C92" s="641">
        <f>IF(C81=0,0,C65/C81)</f>
        <v>56444.036697247699</v>
      </c>
      <c r="D92" s="641">
        <f>IF(D81=0,0,D65/D81)</f>
        <v>71887.05490848585</v>
      </c>
      <c r="E92" s="641">
        <f>IF(E81=0,0,E65/E81)</f>
        <v>90194.912280701756</v>
      </c>
    </row>
    <row r="93" spans="1:5" ht="26.1" customHeight="1" x14ac:dyDescent="0.25">
      <c r="A93" s="650">
        <v>3</v>
      </c>
      <c r="B93" s="651" t="s">
        <v>963</v>
      </c>
      <c r="C93" s="654">
        <f>+C91+C92</f>
        <v>279316.8960244648</v>
      </c>
      <c r="D93" s="654">
        <f>+D91+D92</f>
        <v>338135.39101497503</v>
      </c>
      <c r="E93" s="654">
        <f>+E91+E92</f>
        <v>410035.02923976607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964</v>
      </c>
      <c r="B95" s="642" t="s">
        <v>965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966</v>
      </c>
      <c r="C96" s="649">
        <f>IF(C82=0,0,C69/C82)</f>
        <v>66837.796762589933</v>
      </c>
      <c r="D96" s="649">
        <f>IF(D82=0,0,D69/D82)</f>
        <v>68932.111729698605</v>
      </c>
      <c r="E96" s="649">
        <f>IF(E82=0,0,E69/E82)</f>
        <v>65449.928200283422</v>
      </c>
    </row>
    <row r="97" spans="1:5" ht="26.1" customHeight="1" x14ac:dyDescent="0.25">
      <c r="A97" s="639">
        <v>2</v>
      </c>
      <c r="B97" s="640" t="s">
        <v>967</v>
      </c>
      <c r="C97" s="649">
        <f>IF(C82=0,0,C70/C82)</f>
        <v>16598.201438848922</v>
      </c>
      <c r="D97" s="649">
        <f>IF(D82=0,0,D70/D82)</f>
        <v>19639.762910347476</v>
      </c>
      <c r="E97" s="649">
        <f>IF(E82=0,0,E70/E82)</f>
        <v>18468.526216343882</v>
      </c>
    </row>
    <row r="98" spans="1:5" ht="26.1" customHeight="1" x14ac:dyDescent="0.25">
      <c r="A98" s="650">
        <v>3</v>
      </c>
      <c r="B98" s="651" t="s">
        <v>968</v>
      </c>
      <c r="C98" s="654">
        <f>+C96+C97</f>
        <v>83435.998201438852</v>
      </c>
      <c r="D98" s="654">
        <f>+D96+D97</f>
        <v>88571.87464004608</v>
      </c>
      <c r="E98" s="654">
        <f>+E96+E97</f>
        <v>83918.454416627297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969</v>
      </c>
      <c r="B100" s="642" t="s">
        <v>970</v>
      </c>
    </row>
    <row r="101" spans="1:5" ht="26.1" customHeight="1" x14ac:dyDescent="0.25">
      <c r="A101" s="639">
        <v>1</v>
      </c>
      <c r="B101" s="640" t="s">
        <v>971</v>
      </c>
      <c r="C101" s="641">
        <f>IF(C83=0,0,C75/C83)</f>
        <v>77292.436869478028</v>
      </c>
      <c r="D101" s="641">
        <f>IF(D83=0,0,D75/D83)</f>
        <v>85061.624887160622</v>
      </c>
      <c r="E101" s="641">
        <f>IF(E83=0,0,E75/E83)</f>
        <v>80960.990627351712</v>
      </c>
    </row>
    <row r="102" spans="1:5" ht="26.1" customHeight="1" x14ac:dyDescent="0.25">
      <c r="A102" s="639">
        <v>2</v>
      </c>
      <c r="B102" s="640" t="s">
        <v>972</v>
      </c>
      <c r="C102" s="658">
        <f>IF(C83=0,0,C76/C83)</f>
        <v>19275.643837333166</v>
      </c>
      <c r="D102" s="658">
        <f>IF(D83=0,0,D76/D83)</f>
        <v>23710.384001111037</v>
      </c>
      <c r="E102" s="658">
        <f>IF(E83=0,0,E76/E83)</f>
        <v>22839.433536293356</v>
      </c>
    </row>
    <row r="103" spans="1:5" ht="26.1" customHeight="1" x14ac:dyDescent="0.25">
      <c r="A103" s="650">
        <v>3</v>
      </c>
      <c r="B103" s="651" t="s">
        <v>970</v>
      </c>
      <c r="C103" s="654">
        <f>+C101+C102</f>
        <v>96568.08070681119</v>
      </c>
      <c r="D103" s="654">
        <f>+D101+D102</f>
        <v>108772.00888827167</v>
      </c>
      <c r="E103" s="654">
        <f>+E101+E102</f>
        <v>103800.42416364508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973</v>
      </c>
      <c r="B107" s="634" t="s">
        <v>974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975</v>
      </c>
      <c r="C108" s="641">
        <f>IF(C19=0,0,C77/C19)</f>
        <v>2980.909090909091</v>
      </c>
      <c r="D108" s="641">
        <f>IF(D19=0,0,D77/D19)</f>
        <v>3123.5432411413985</v>
      </c>
      <c r="E108" s="641">
        <f>IF(E19=0,0,E77/E19)</f>
        <v>2859.5540813057164</v>
      </c>
    </row>
    <row r="109" spans="1:5" ht="26.1" customHeight="1" x14ac:dyDescent="0.25">
      <c r="A109" s="639">
        <v>2</v>
      </c>
      <c r="B109" s="640" t="s">
        <v>976</v>
      </c>
      <c r="C109" s="641">
        <f>IF(C20=0,0,C77/C20)</f>
        <v>12105.333438064567</v>
      </c>
      <c r="D109" s="641">
        <f>IF(D20=0,0,D77/D20)</f>
        <v>12113.724383265022</v>
      </c>
      <c r="E109" s="641">
        <f>IF(E20=0,0,E77/E20)</f>
        <v>11134.151317237836</v>
      </c>
    </row>
    <row r="110" spans="1:5" ht="26.1" customHeight="1" x14ac:dyDescent="0.25">
      <c r="A110" s="639">
        <v>3</v>
      </c>
      <c r="B110" s="640" t="s">
        <v>977</v>
      </c>
      <c r="C110" s="641">
        <f>IF(C22=0,0,C77/C22)</f>
        <v>1288.2626604706763</v>
      </c>
      <c r="D110" s="641">
        <f>IF(D22=0,0,D77/D22)</f>
        <v>1364.5228084521304</v>
      </c>
      <c r="E110" s="641">
        <f>IF(E22=0,0,E77/E22)</f>
        <v>1297.5983034015308</v>
      </c>
    </row>
    <row r="111" spans="1:5" ht="26.1" customHeight="1" x14ac:dyDescent="0.25">
      <c r="A111" s="639">
        <v>4</v>
      </c>
      <c r="B111" s="640" t="s">
        <v>978</v>
      </c>
      <c r="C111" s="641">
        <f>IF(C23=0,0,C77/C23)</f>
        <v>5231.5748602885842</v>
      </c>
      <c r="D111" s="641">
        <f>IF(D23=0,0,D77/D23)</f>
        <v>5291.8919125408629</v>
      </c>
      <c r="E111" s="641">
        <f>IF(E23=0,0,E77/E23)</f>
        <v>5052.4156733090049</v>
      </c>
    </row>
    <row r="112" spans="1:5" ht="26.1" customHeight="1" x14ac:dyDescent="0.25">
      <c r="A112" s="639">
        <v>5</v>
      </c>
      <c r="B112" s="640" t="s">
        <v>979</v>
      </c>
      <c r="C112" s="641">
        <f>IF(C29=0,0,C77/C29)</f>
        <v>1181.9340925639824</v>
      </c>
      <c r="D112" s="641">
        <f>IF(D29=0,0,D77/D29)</f>
        <v>1269.9699830550057</v>
      </c>
      <c r="E112" s="641">
        <f>IF(E29=0,0,E77/E29)</f>
        <v>1193.9919094707036</v>
      </c>
    </row>
    <row r="113" spans="1:7" ht="25.5" customHeight="1" x14ac:dyDescent="0.25">
      <c r="A113" s="639">
        <v>6</v>
      </c>
      <c r="B113" s="640" t="s">
        <v>980</v>
      </c>
      <c r="C113" s="641">
        <f>IF(C30=0,0,C77/C30)</f>
        <v>4799.7794820169574</v>
      </c>
      <c r="D113" s="641">
        <f>IF(D30=0,0,D77/D30)</f>
        <v>4925.197175796573</v>
      </c>
      <c r="E113" s="641">
        <f>IF(E30=0,0,E77/E30)</f>
        <v>4649.0068778605755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FILING&amp;R&amp;12GREENWICH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829881000</v>
      </c>
      <c r="D12" s="51">
        <v>900733000</v>
      </c>
      <c r="E12" s="51">
        <f t="shared" ref="E12:E19" si="0">D12-C12</f>
        <v>70852000</v>
      </c>
      <c r="F12" s="70">
        <f t="shared" ref="F12:F19" si="1">IF(C12=0,0,E12/C12)</f>
        <v>8.5376096090885326E-2</v>
      </c>
    </row>
    <row r="13" spans="1:8" ht="23.1" customHeight="1" x14ac:dyDescent="0.2">
      <c r="A13" s="25">
        <v>2</v>
      </c>
      <c r="B13" s="48" t="s">
        <v>72</v>
      </c>
      <c r="C13" s="51">
        <v>518529544</v>
      </c>
      <c r="D13" s="51">
        <v>581544906</v>
      </c>
      <c r="E13" s="51">
        <f t="shared" si="0"/>
        <v>63015362</v>
      </c>
      <c r="F13" s="70">
        <f t="shared" si="1"/>
        <v>0.1215270426326952</v>
      </c>
    </row>
    <row r="14" spans="1:8" ht="23.1" customHeight="1" x14ac:dyDescent="0.2">
      <c r="A14" s="25">
        <v>3</v>
      </c>
      <c r="B14" s="48" t="s">
        <v>73</v>
      </c>
      <c r="C14" s="51">
        <v>25185225</v>
      </c>
      <c r="D14" s="51">
        <v>22988513</v>
      </c>
      <c r="E14" s="51">
        <f t="shared" si="0"/>
        <v>-2196712</v>
      </c>
      <c r="F14" s="70">
        <f t="shared" si="1"/>
        <v>-8.722225034717776E-2</v>
      </c>
    </row>
    <row r="15" spans="1:8" ht="23.1" customHeight="1" x14ac:dyDescent="0.2">
      <c r="A15" s="25">
        <v>4</v>
      </c>
      <c r="B15" s="48" t="s">
        <v>74</v>
      </c>
      <c r="C15" s="51">
        <v>17008000</v>
      </c>
      <c r="D15" s="51">
        <v>17113581</v>
      </c>
      <c r="E15" s="51">
        <f t="shared" si="0"/>
        <v>105581</v>
      </c>
      <c r="F15" s="70">
        <f t="shared" si="1"/>
        <v>6.2077257761053621E-3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269158231</v>
      </c>
      <c r="D16" s="27">
        <f>D12-D13-D14-D15</f>
        <v>279086000</v>
      </c>
      <c r="E16" s="27">
        <f t="shared" si="0"/>
        <v>9927769</v>
      </c>
      <c r="F16" s="28">
        <f t="shared" si="1"/>
        <v>3.6884508280187057E-2</v>
      </c>
    </row>
    <row r="17" spans="1:7" ht="23.1" customHeight="1" x14ac:dyDescent="0.2">
      <c r="A17" s="25">
        <v>5</v>
      </c>
      <c r="B17" s="48" t="s">
        <v>76</v>
      </c>
      <c r="C17" s="51">
        <v>18508769</v>
      </c>
      <c r="D17" s="51">
        <v>16362383</v>
      </c>
      <c r="E17" s="51">
        <f t="shared" si="0"/>
        <v>-2146386</v>
      </c>
      <c r="F17" s="70">
        <f t="shared" si="1"/>
        <v>-0.1159658970296728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6439000</v>
      </c>
      <c r="D18" s="51">
        <v>5444814</v>
      </c>
      <c r="E18" s="51">
        <f t="shared" si="0"/>
        <v>-994186</v>
      </c>
      <c r="F18" s="70">
        <f t="shared" si="1"/>
        <v>-0.15440068333592172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294106000</v>
      </c>
      <c r="D19" s="27">
        <f>SUM(D16:D18)</f>
        <v>300893197</v>
      </c>
      <c r="E19" s="27">
        <f t="shared" si="0"/>
        <v>6787197</v>
      </c>
      <c r="F19" s="28">
        <f t="shared" si="1"/>
        <v>2.307738366439311E-2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122497246</v>
      </c>
      <c r="D22" s="51">
        <v>118340680</v>
      </c>
      <c r="E22" s="51">
        <f t="shared" ref="E22:E31" si="2">D22-C22</f>
        <v>-4156566</v>
      </c>
      <c r="F22" s="70">
        <f t="shared" ref="F22:F31" si="3">IF(C22=0,0,E22/C22)</f>
        <v>-3.3931913865230895E-2</v>
      </c>
    </row>
    <row r="23" spans="1:7" ht="23.1" customHeight="1" x14ac:dyDescent="0.2">
      <c r="A23" s="25">
        <v>2</v>
      </c>
      <c r="B23" s="48" t="s">
        <v>81</v>
      </c>
      <c r="C23" s="51">
        <v>34145324</v>
      </c>
      <c r="D23" s="51">
        <v>33384400</v>
      </c>
      <c r="E23" s="51">
        <f t="shared" si="2"/>
        <v>-760924</v>
      </c>
      <c r="F23" s="70">
        <f t="shared" si="3"/>
        <v>-2.2284866882504906E-2</v>
      </c>
    </row>
    <row r="24" spans="1:7" ht="23.1" customHeight="1" x14ac:dyDescent="0.2">
      <c r="A24" s="25">
        <v>3</v>
      </c>
      <c r="B24" s="48" t="s">
        <v>82</v>
      </c>
      <c r="C24" s="51">
        <v>3751612</v>
      </c>
      <c r="D24" s="51">
        <v>3944170</v>
      </c>
      <c r="E24" s="51">
        <f t="shared" si="2"/>
        <v>192558</v>
      </c>
      <c r="F24" s="70">
        <f t="shared" si="3"/>
        <v>5.1326736346935666E-2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32944899</v>
      </c>
      <c r="D25" s="51">
        <v>38270558</v>
      </c>
      <c r="E25" s="51">
        <f t="shared" si="2"/>
        <v>5325659</v>
      </c>
      <c r="F25" s="70">
        <f t="shared" si="3"/>
        <v>0.16165352335728819</v>
      </c>
    </row>
    <row r="26" spans="1:7" ht="23.1" customHeight="1" x14ac:dyDescent="0.2">
      <c r="A26" s="25">
        <v>5</v>
      </c>
      <c r="B26" s="48" t="s">
        <v>84</v>
      </c>
      <c r="C26" s="51">
        <v>19015000</v>
      </c>
      <c r="D26" s="51">
        <v>20275407</v>
      </c>
      <c r="E26" s="51">
        <f t="shared" si="2"/>
        <v>1260407</v>
      </c>
      <c r="F26" s="70">
        <f t="shared" si="3"/>
        <v>6.6284880357612416E-2</v>
      </c>
    </row>
    <row r="27" spans="1:7" ht="23.1" customHeight="1" x14ac:dyDescent="0.2">
      <c r="A27" s="25">
        <v>6</v>
      </c>
      <c r="B27" s="48" t="s">
        <v>85</v>
      </c>
      <c r="C27" s="51">
        <v>7851000</v>
      </c>
      <c r="D27" s="51">
        <v>10503632</v>
      </c>
      <c r="E27" s="51">
        <f t="shared" si="2"/>
        <v>2652632</v>
      </c>
      <c r="F27" s="70">
        <f t="shared" si="3"/>
        <v>0.33787186345688447</v>
      </c>
    </row>
    <row r="28" spans="1:7" ht="23.1" customHeight="1" x14ac:dyDescent="0.2">
      <c r="A28" s="25">
        <v>7</v>
      </c>
      <c r="B28" s="48" t="s">
        <v>86</v>
      </c>
      <c r="C28" s="51">
        <v>669000</v>
      </c>
      <c r="D28" s="51">
        <v>448812</v>
      </c>
      <c r="E28" s="51">
        <f t="shared" si="2"/>
        <v>-220188</v>
      </c>
      <c r="F28" s="70">
        <f t="shared" si="3"/>
        <v>-0.32913004484304931</v>
      </c>
    </row>
    <row r="29" spans="1:7" ht="23.1" customHeight="1" x14ac:dyDescent="0.2">
      <c r="A29" s="25">
        <v>8</v>
      </c>
      <c r="B29" s="48" t="s">
        <v>87</v>
      </c>
      <c r="C29" s="51">
        <v>2858541</v>
      </c>
      <c r="D29" s="51">
        <v>2913343</v>
      </c>
      <c r="E29" s="51">
        <f t="shared" si="2"/>
        <v>54802</v>
      </c>
      <c r="F29" s="70">
        <f t="shared" si="3"/>
        <v>1.9171318515284544E-2</v>
      </c>
    </row>
    <row r="30" spans="1:7" ht="23.1" customHeight="1" x14ac:dyDescent="0.2">
      <c r="A30" s="25">
        <v>9</v>
      </c>
      <c r="B30" s="48" t="s">
        <v>88</v>
      </c>
      <c r="C30" s="51">
        <v>59799378</v>
      </c>
      <c r="D30" s="51">
        <v>59449755</v>
      </c>
      <c r="E30" s="51">
        <f t="shared" si="2"/>
        <v>-349623</v>
      </c>
      <c r="F30" s="70">
        <f t="shared" si="3"/>
        <v>-5.8465992739924486E-3</v>
      </c>
    </row>
    <row r="31" spans="1:7" ht="23.1" customHeight="1" x14ac:dyDescent="0.25">
      <c r="A31" s="29"/>
      <c r="B31" s="71" t="s">
        <v>89</v>
      </c>
      <c r="C31" s="27">
        <f>SUM(C22:C30)</f>
        <v>283532000</v>
      </c>
      <c r="D31" s="27">
        <f>SUM(D22:D30)</f>
        <v>287530757</v>
      </c>
      <c r="E31" s="27">
        <f t="shared" si="2"/>
        <v>3998757</v>
      </c>
      <c r="F31" s="28">
        <f t="shared" si="3"/>
        <v>1.4103371048065121E-2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10574000</v>
      </c>
      <c r="D33" s="27">
        <f>+D19-D31</f>
        <v>13362440</v>
      </c>
      <c r="E33" s="27">
        <f>D33-C33</f>
        <v>2788440</v>
      </c>
      <c r="F33" s="28">
        <f>IF(C33=0,0,E33/C33)</f>
        <v>0.26370720635521089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1478000</v>
      </c>
      <c r="D36" s="51">
        <v>1051000</v>
      </c>
      <c r="E36" s="51">
        <f>D36-C36</f>
        <v>-427000</v>
      </c>
      <c r="F36" s="70">
        <f>IF(C36=0,0,E36/C36)</f>
        <v>-0.28890392422192152</v>
      </c>
    </row>
    <row r="37" spans="1:6" ht="23.1" customHeight="1" x14ac:dyDescent="0.2">
      <c r="A37" s="44">
        <v>2</v>
      </c>
      <c r="B37" s="48" t="s">
        <v>93</v>
      </c>
      <c r="C37" s="51">
        <v>2571000</v>
      </c>
      <c r="D37" s="51">
        <v>1605000</v>
      </c>
      <c r="E37" s="51">
        <f>D37-C37</f>
        <v>-966000</v>
      </c>
      <c r="F37" s="70">
        <f>IF(C37=0,0,E37/C37)</f>
        <v>-0.37572928821470247</v>
      </c>
    </row>
    <row r="38" spans="1:6" ht="23.1" customHeight="1" x14ac:dyDescent="0.2">
      <c r="A38" s="44">
        <v>3</v>
      </c>
      <c r="B38" s="48" t="s">
        <v>94</v>
      </c>
      <c r="C38" s="51">
        <v>-7268000</v>
      </c>
      <c r="D38" s="51">
        <v>-4251000</v>
      </c>
      <c r="E38" s="51">
        <f>D38-C38</f>
        <v>3017000</v>
      </c>
      <c r="F38" s="70">
        <f>IF(C38=0,0,E38/C38)</f>
        <v>-0.4151073197578426</v>
      </c>
    </row>
    <row r="39" spans="1:6" ht="23.1" customHeight="1" x14ac:dyDescent="0.25">
      <c r="A39" s="20"/>
      <c r="B39" s="71" t="s">
        <v>95</v>
      </c>
      <c r="C39" s="27">
        <f>SUM(C36:C38)</f>
        <v>-3219000</v>
      </c>
      <c r="D39" s="27">
        <f>SUM(D36:D38)</f>
        <v>-1595000</v>
      </c>
      <c r="E39" s="27">
        <f>D39-C39</f>
        <v>1624000</v>
      </c>
      <c r="F39" s="28">
        <f>IF(C39=0,0,E39/C39)</f>
        <v>-0.50450450450450446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7355000</v>
      </c>
      <c r="D41" s="27">
        <f>D33+D39</f>
        <v>11767440</v>
      </c>
      <c r="E41" s="27">
        <f>D41-C41</f>
        <v>4412440</v>
      </c>
      <c r="F41" s="28">
        <f>IF(C41=0,0,E41/C41)</f>
        <v>0.59992386131883069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6098000</v>
      </c>
      <c r="D44" s="51">
        <v>4661000</v>
      </c>
      <c r="E44" s="51">
        <f>D44-C44</f>
        <v>-1437000</v>
      </c>
      <c r="F44" s="70">
        <f>IF(C44=0,0,E44/C44)</f>
        <v>-0.23565103312561494</v>
      </c>
    </row>
    <row r="45" spans="1:6" ht="23.1" customHeight="1" x14ac:dyDescent="0.2">
      <c r="A45" s="44"/>
      <c r="B45" s="48" t="s">
        <v>99</v>
      </c>
      <c r="C45" s="51">
        <v>-3971000</v>
      </c>
      <c r="D45" s="51">
        <v>-3435000</v>
      </c>
      <c r="E45" s="51">
        <f>D45-C45</f>
        <v>536000</v>
      </c>
      <c r="F45" s="70">
        <f>IF(C45=0,0,E45/C45)</f>
        <v>-0.13497859481238983</v>
      </c>
    </row>
    <row r="46" spans="1:6" ht="23.1" customHeight="1" x14ac:dyDescent="0.25">
      <c r="A46" s="20"/>
      <c r="B46" s="74" t="s">
        <v>100</v>
      </c>
      <c r="C46" s="27">
        <f>SUM(C44:C45)</f>
        <v>2127000</v>
      </c>
      <c r="D46" s="27">
        <f>SUM(D44:D45)</f>
        <v>1226000</v>
      </c>
      <c r="E46" s="27">
        <f>D46-C46</f>
        <v>-901000</v>
      </c>
      <c r="F46" s="28">
        <f>IF(C46=0,0,E46/C46)</f>
        <v>-0.42360131640808651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9482000</v>
      </c>
      <c r="D48" s="27">
        <f>D41+D46</f>
        <v>12993440</v>
      </c>
      <c r="E48" s="27">
        <f>D48-C48</f>
        <v>3511440</v>
      </c>
      <c r="F48" s="28">
        <f>IF(C48=0,0,E48/C48)</f>
        <v>0.37032693524572874</v>
      </c>
    </row>
    <row r="49" spans="1:6" ht="23.1" customHeight="1" x14ac:dyDescent="0.2">
      <c r="A49" s="44"/>
      <c r="B49" s="48" t="s">
        <v>102</v>
      </c>
      <c r="C49" s="51">
        <v>2115000</v>
      </c>
      <c r="D49" s="51">
        <v>2190000</v>
      </c>
      <c r="E49" s="51">
        <f>D49-C49</f>
        <v>75000</v>
      </c>
      <c r="F49" s="70">
        <f>IF(C49=0,0,E49/C49)</f>
        <v>3.5460992907801421E-2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FILING&amp;RGREENWICH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42578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175236378</v>
      </c>
      <c r="D14" s="97">
        <v>190151680</v>
      </c>
      <c r="E14" s="97">
        <f t="shared" ref="E14:E25" si="0">D14-C14</f>
        <v>14915302</v>
      </c>
      <c r="F14" s="98">
        <f t="shared" ref="F14:F25" si="1">IF(C14=0,0,E14/C14)</f>
        <v>8.5115329192663403E-2</v>
      </c>
    </row>
    <row r="15" spans="1:6" ht="18" customHeight="1" x14ac:dyDescent="0.25">
      <c r="A15" s="99">
        <v>2</v>
      </c>
      <c r="B15" s="100" t="s">
        <v>113</v>
      </c>
      <c r="C15" s="97">
        <v>16239151</v>
      </c>
      <c r="D15" s="97">
        <v>20344124</v>
      </c>
      <c r="E15" s="97">
        <f t="shared" si="0"/>
        <v>4104973</v>
      </c>
      <c r="F15" s="98">
        <f t="shared" si="1"/>
        <v>0.25278248844413109</v>
      </c>
    </row>
    <row r="16" spans="1:6" ht="18" customHeight="1" x14ac:dyDescent="0.25">
      <c r="A16" s="99">
        <v>3</v>
      </c>
      <c r="B16" s="100" t="s">
        <v>114</v>
      </c>
      <c r="C16" s="97">
        <v>4009405</v>
      </c>
      <c r="D16" s="97">
        <v>5499028</v>
      </c>
      <c r="E16" s="97">
        <f t="shared" si="0"/>
        <v>1489623</v>
      </c>
      <c r="F16" s="98">
        <f t="shared" si="1"/>
        <v>0.37153218495013601</v>
      </c>
    </row>
    <row r="17" spans="1:6" ht="18" customHeight="1" x14ac:dyDescent="0.25">
      <c r="A17" s="99">
        <v>4</v>
      </c>
      <c r="B17" s="100" t="s">
        <v>115</v>
      </c>
      <c r="C17" s="97">
        <v>1964948</v>
      </c>
      <c r="D17" s="97">
        <v>3607426</v>
      </c>
      <c r="E17" s="97">
        <f t="shared" si="0"/>
        <v>1642478</v>
      </c>
      <c r="F17" s="98">
        <f t="shared" si="1"/>
        <v>0.8358887868788385</v>
      </c>
    </row>
    <row r="18" spans="1:6" ht="18" customHeight="1" x14ac:dyDescent="0.25">
      <c r="A18" s="99">
        <v>5</v>
      </c>
      <c r="B18" s="100" t="s">
        <v>116</v>
      </c>
      <c r="C18" s="97">
        <v>266274</v>
      </c>
      <c r="D18" s="97">
        <v>137517</v>
      </c>
      <c r="E18" s="97">
        <f t="shared" si="0"/>
        <v>-128757</v>
      </c>
      <c r="F18" s="98">
        <f t="shared" si="1"/>
        <v>-0.48355077852137274</v>
      </c>
    </row>
    <row r="19" spans="1:6" ht="18" customHeight="1" x14ac:dyDescent="0.25">
      <c r="A19" s="99">
        <v>6</v>
      </c>
      <c r="B19" s="100" t="s">
        <v>117</v>
      </c>
      <c r="C19" s="97">
        <v>52930954</v>
      </c>
      <c r="D19" s="97">
        <v>62253807</v>
      </c>
      <c r="E19" s="97">
        <f t="shared" si="0"/>
        <v>9322853</v>
      </c>
      <c r="F19" s="98">
        <f t="shared" si="1"/>
        <v>0.17613234403445666</v>
      </c>
    </row>
    <row r="20" spans="1:6" ht="18" customHeight="1" x14ac:dyDescent="0.25">
      <c r="A20" s="99">
        <v>7</v>
      </c>
      <c r="B20" s="100" t="s">
        <v>118</v>
      </c>
      <c r="C20" s="97">
        <v>94351059</v>
      </c>
      <c r="D20" s="97">
        <v>103780722</v>
      </c>
      <c r="E20" s="97">
        <f t="shared" si="0"/>
        <v>9429663</v>
      </c>
      <c r="F20" s="98">
        <f t="shared" si="1"/>
        <v>9.9942312253220172E-2</v>
      </c>
    </row>
    <row r="21" spans="1:6" ht="18" customHeight="1" x14ac:dyDescent="0.25">
      <c r="A21" s="99">
        <v>8</v>
      </c>
      <c r="B21" s="100" t="s">
        <v>119</v>
      </c>
      <c r="C21" s="97">
        <v>2167936</v>
      </c>
      <c r="D21" s="97">
        <v>3573124</v>
      </c>
      <c r="E21" s="97">
        <f t="shared" si="0"/>
        <v>1405188</v>
      </c>
      <c r="F21" s="98">
        <f t="shared" si="1"/>
        <v>0.6481685806223062</v>
      </c>
    </row>
    <row r="22" spans="1:6" ht="18" customHeight="1" x14ac:dyDescent="0.25">
      <c r="A22" s="99">
        <v>9</v>
      </c>
      <c r="B22" s="100" t="s">
        <v>120</v>
      </c>
      <c r="C22" s="97">
        <v>8103855</v>
      </c>
      <c r="D22" s="97">
        <v>8419911</v>
      </c>
      <c r="E22" s="97">
        <f t="shared" si="0"/>
        <v>316056</v>
      </c>
      <c r="F22" s="98">
        <f t="shared" si="1"/>
        <v>3.9000697816039404E-2</v>
      </c>
    </row>
    <row r="23" spans="1:6" ht="18" customHeight="1" x14ac:dyDescent="0.25">
      <c r="A23" s="99">
        <v>10</v>
      </c>
      <c r="B23" s="100" t="s">
        <v>121</v>
      </c>
      <c r="C23" s="97">
        <v>1153931</v>
      </c>
      <c r="D23" s="97">
        <v>417994</v>
      </c>
      <c r="E23" s="97">
        <f t="shared" si="0"/>
        <v>-735937</v>
      </c>
      <c r="F23" s="98">
        <f t="shared" si="1"/>
        <v>-0.63776516966785712</v>
      </c>
    </row>
    <row r="24" spans="1:6" ht="18" customHeight="1" x14ac:dyDescent="0.25">
      <c r="A24" s="99">
        <v>11</v>
      </c>
      <c r="B24" s="100" t="s">
        <v>122</v>
      </c>
      <c r="C24" s="97">
        <v>6110599</v>
      </c>
      <c r="D24" s="97">
        <v>10546075</v>
      </c>
      <c r="E24" s="97">
        <f t="shared" si="0"/>
        <v>4435476</v>
      </c>
      <c r="F24" s="98">
        <f t="shared" si="1"/>
        <v>0.7258659912064267</v>
      </c>
    </row>
    <row r="25" spans="1:6" ht="18" customHeight="1" x14ac:dyDescent="0.25">
      <c r="A25" s="101"/>
      <c r="B25" s="102" t="s">
        <v>123</v>
      </c>
      <c r="C25" s="103">
        <f>SUM(C14:C24)</f>
        <v>362534490</v>
      </c>
      <c r="D25" s="103">
        <f>SUM(D14:D24)</f>
        <v>408731408</v>
      </c>
      <c r="E25" s="103">
        <f t="shared" si="0"/>
        <v>46196918</v>
      </c>
      <c r="F25" s="104">
        <f t="shared" si="1"/>
        <v>0.12742764971134193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116185492</v>
      </c>
      <c r="D27" s="97">
        <v>120314106</v>
      </c>
      <c r="E27" s="97">
        <f t="shared" ref="E27:E38" si="2">D27-C27</f>
        <v>4128614</v>
      </c>
      <c r="F27" s="98">
        <f t="shared" ref="F27:F38" si="3">IF(C27=0,0,E27/C27)</f>
        <v>3.553467759985042E-2</v>
      </c>
    </row>
    <row r="28" spans="1:6" ht="18" customHeight="1" x14ac:dyDescent="0.25">
      <c r="A28" s="99">
        <v>2</v>
      </c>
      <c r="B28" s="100" t="s">
        <v>113</v>
      </c>
      <c r="C28" s="97">
        <v>8501590</v>
      </c>
      <c r="D28" s="97">
        <v>9928828</v>
      </c>
      <c r="E28" s="97">
        <f t="shared" si="2"/>
        <v>1427238</v>
      </c>
      <c r="F28" s="98">
        <f t="shared" si="3"/>
        <v>0.16787894970234979</v>
      </c>
    </row>
    <row r="29" spans="1:6" ht="18" customHeight="1" x14ac:dyDescent="0.25">
      <c r="A29" s="99">
        <v>3</v>
      </c>
      <c r="B29" s="100" t="s">
        <v>114</v>
      </c>
      <c r="C29" s="97">
        <v>3706262</v>
      </c>
      <c r="D29" s="97">
        <v>5061974</v>
      </c>
      <c r="E29" s="97">
        <f t="shared" si="2"/>
        <v>1355712</v>
      </c>
      <c r="F29" s="98">
        <f t="shared" si="3"/>
        <v>0.36578957450930344</v>
      </c>
    </row>
    <row r="30" spans="1:6" ht="18" customHeight="1" x14ac:dyDescent="0.25">
      <c r="A30" s="99">
        <v>4</v>
      </c>
      <c r="B30" s="100" t="s">
        <v>115</v>
      </c>
      <c r="C30" s="97">
        <v>7316967</v>
      </c>
      <c r="D30" s="97">
        <v>9784274</v>
      </c>
      <c r="E30" s="97">
        <f t="shared" si="2"/>
        <v>2467307</v>
      </c>
      <c r="F30" s="98">
        <f t="shared" si="3"/>
        <v>0.33720351615635275</v>
      </c>
    </row>
    <row r="31" spans="1:6" ht="18" customHeight="1" x14ac:dyDescent="0.25">
      <c r="A31" s="99">
        <v>5</v>
      </c>
      <c r="B31" s="100" t="s">
        <v>116</v>
      </c>
      <c r="C31" s="97">
        <v>377926</v>
      </c>
      <c r="D31" s="97">
        <v>394295</v>
      </c>
      <c r="E31" s="97">
        <f t="shared" si="2"/>
        <v>16369</v>
      </c>
      <c r="F31" s="98">
        <f t="shared" si="3"/>
        <v>4.3312712012404546E-2</v>
      </c>
    </row>
    <row r="32" spans="1:6" ht="18" customHeight="1" x14ac:dyDescent="0.25">
      <c r="A32" s="99">
        <v>6</v>
      </c>
      <c r="B32" s="100" t="s">
        <v>117</v>
      </c>
      <c r="C32" s="97">
        <v>103853032</v>
      </c>
      <c r="D32" s="97">
        <v>112913269</v>
      </c>
      <c r="E32" s="97">
        <f t="shared" si="2"/>
        <v>9060237</v>
      </c>
      <c r="F32" s="98">
        <f t="shared" si="3"/>
        <v>8.7240948343231803E-2</v>
      </c>
    </row>
    <row r="33" spans="1:6" ht="18" customHeight="1" x14ac:dyDescent="0.25">
      <c r="A33" s="99">
        <v>7</v>
      </c>
      <c r="B33" s="100" t="s">
        <v>118</v>
      </c>
      <c r="C33" s="97">
        <v>189416667</v>
      </c>
      <c r="D33" s="97">
        <v>194193965</v>
      </c>
      <c r="E33" s="97">
        <f t="shared" si="2"/>
        <v>4777298</v>
      </c>
      <c r="F33" s="98">
        <f t="shared" si="3"/>
        <v>2.5221106862787317E-2</v>
      </c>
    </row>
    <row r="34" spans="1:6" ht="18" customHeight="1" x14ac:dyDescent="0.25">
      <c r="A34" s="99">
        <v>8</v>
      </c>
      <c r="B34" s="100" t="s">
        <v>119</v>
      </c>
      <c r="C34" s="97">
        <v>5673371</v>
      </c>
      <c r="D34" s="97">
        <v>5875372</v>
      </c>
      <c r="E34" s="97">
        <f t="shared" si="2"/>
        <v>202001</v>
      </c>
      <c r="F34" s="98">
        <f t="shared" si="3"/>
        <v>3.5605110259843753E-2</v>
      </c>
    </row>
    <row r="35" spans="1:6" ht="18" customHeight="1" x14ac:dyDescent="0.25">
      <c r="A35" s="99">
        <v>9</v>
      </c>
      <c r="B35" s="100" t="s">
        <v>120</v>
      </c>
      <c r="C35" s="97">
        <v>25299716</v>
      </c>
      <c r="D35" s="97">
        <v>25712243</v>
      </c>
      <c r="E35" s="97">
        <f t="shared" si="2"/>
        <v>412527</v>
      </c>
      <c r="F35" s="98">
        <f t="shared" si="3"/>
        <v>1.6305598054934686E-2</v>
      </c>
    </row>
    <row r="36" spans="1:6" ht="18" customHeight="1" x14ac:dyDescent="0.25">
      <c r="A36" s="99">
        <v>10</v>
      </c>
      <c r="B36" s="100" t="s">
        <v>121</v>
      </c>
      <c r="C36" s="97">
        <v>1345923</v>
      </c>
      <c r="D36" s="97">
        <v>1095227</v>
      </c>
      <c r="E36" s="97">
        <f t="shared" si="2"/>
        <v>-250696</v>
      </c>
      <c r="F36" s="98">
        <f t="shared" si="3"/>
        <v>-0.18626325577317573</v>
      </c>
    </row>
    <row r="37" spans="1:6" ht="18" customHeight="1" x14ac:dyDescent="0.25">
      <c r="A37" s="99">
        <v>11</v>
      </c>
      <c r="B37" s="100" t="s">
        <v>122</v>
      </c>
      <c r="C37" s="97">
        <v>5670006</v>
      </c>
      <c r="D37" s="97">
        <v>6728003</v>
      </c>
      <c r="E37" s="97">
        <f t="shared" si="2"/>
        <v>1057997</v>
      </c>
      <c r="F37" s="98">
        <f t="shared" si="3"/>
        <v>0.18659539337348144</v>
      </c>
    </row>
    <row r="38" spans="1:6" ht="18" customHeight="1" x14ac:dyDescent="0.25">
      <c r="A38" s="101"/>
      <c r="B38" s="102" t="s">
        <v>126</v>
      </c>
      <c r="C38" s="103">
        <f>SUM(C27:C37)</f>
        <v>467346952</v>
      </c>
      <c r="D38" s="103">
        <f>SUM(D27:D37)</f>
        <v>492001556</v>
      </c>
      <c r="E38" s="103">
        <f t="shared" si="2"/>
        <v>24654604</v>
      </c>
      <c r="F38" s="104">
        <f t="shared" si="3"/>
        <v>5.2754391345639931E-2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291421870</v>
      </c>
      <c r="D41" s="103">
        <f t="shared" si="4"/>
        <v>310465786</v>
      </c>
      <c r="E41" s="107">
        <f t="shared" ref="E41:E52" si="5">D41-C41</f>
        <v>19043916</v>
      </c>
      <c r="F41" s="108">
        <f t="shared" ref="F41:F52" si="6">IF(C41=0,0,E41/C41)</f>
        <v>6.5348273278186014E-2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24740741</v>
      </c>
      <c r="D42" s="103">
        <f t="shared" si="4"/>
        <v>30272952</v>
      </c>
      <c r="E42" s="107">
        <f t="shared" si="5"/>
        <v>5532211</v>
      </c>
      <c r="F42" s="108">
        <f t="shared" si="6"/>
        <v>0.22360732849513279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7715667</v>
      </c>
      <c r="D43" s="103">
        <f t="shared" si="4"/>
        <v>10561002</v>
      </c>
      <c r="E43" s="107">
        <f t="shared" si="5"/>
        <v>2845335</v>
      </c>
      <c r="F43" s="108">
        <f t="shared" si="6"/>
        <v>0.36877369124406223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9281915</v>
      </c>
      <c r="D44" s="103">
        <f t="shared" si="4"/>
        <v>13391700</v>
      </c>
      <c r="E44" s="107">
        <f t="shared" si="5"/>
        <v>4109785</v>
      </c>
      <c r="F44" s="108">
        <f t="shared" si="6"/>
        <v>0.44277339320603559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644200</v>
      </c>
      <c r="D45" s="103">
        <f t="shared" si="4"/>
        <v>531812</v>
      </c>
      <c r="E45" s="107">
        <f t="shared" si="5"/>
        <v>-112388</v>
      </c>
      <c r="F45" s="108">
        <f t="shared" si="6"/>
        <v>-0.17446134740763738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156783986</v>
      </c>
      <c r="D46" s="103">
        <f t="shared" si="4"/>
        <v>175167076</v>
      </c>
      <c r="E46" s="107">
        <f t="shared" si="5"/>
        <v>18383090</v>
      </c>
      <c r="F46" s="108">
        <f t="shared" si="6"/>
        <v>0.11725106925142215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283767726</v>
      </c>
      <c r="D47" s="103">
        <f t="shared" si="4"/>
        <v>297974687</v>
      </c>
      <c r="E47" s="107">
        <f t="shared" si="5"/>
        <v>14206961</v>
      </c>
      <c r="F47" s="108">
        <f t="shared" si="6"/>
        <v>5.0065457408641323E-2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7841307</v>
      </c>
      <c r="D48" s="103">
        <f t="shared" si="4"/>
        <v>9448496</v>
      </c>
      <c r="E48" s="107">
        <f t="shared" si="5"/>
        <v>1607189</v>
      </c>
      <c r="F48" s="108">
        <f t="shared" si="6"/>
        <v>0.20496442748638716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33403571</v>
      </c>
      <c r="D49" s="103">
        <f t="shared" si="4"/>
        <v>34132154</v>
      </c>
      <c r="E49" s="107">
        <f t="shared" si="5"/>
        <v>728583</v>
      </c>
      <c r="F49" s="108">
        <f t="shared" si="6"/>
        <v>2.1811530270221709E-2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2499854</v>
      </c>
      <c r="D50" s="103">
        <f t="shared" si="4"/>
        <v>1513221</v>
      </c>
      <c r="E50" s="107">
        <f t="shared" si="5"/>
        <v>-986633</v>
      </c>
      <c r="F50" s="108">
        <f t="shared" si="6"/>
        <v>-0.39467624909294702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11780605</v>
      </c>
      <c r="D51" s="103">
        <f t="shared" si="4"/>
        <v>17274078</v>
      </c>
      <c r="E51" s="107">
        <f t="shared" si="5"/>
        <v>5493473</v>
      </c>
      <c r="F51" s="108">
        <f t="shared" si="6"/>
        <v>0.46631501523054208</v>
      </c>
    </row>
    <row r="52" spans="1:6" ht="18.75" customHeight="1" thickBot="1" x14ac:dyDescent="0.3">
      <c r="A52" s="109"/>
      <c r="B52" s="110" t="s">
        <v>128</v>
      </c>
      <c r="C52" s="111">
        <f>SUM(C41:C51)</f>
        <v>829881442</v>
      </c>
      <c r="D52" s="112">
        <f>SUM(D41:D51)</f>
        <v>900732964</v>
      </c>
      <c r="E52" s="111">
        <f t="shared" si="5"/>
        <v>70851522</v>
      </c>
      <c r="F52" s="113">
        <f t="shared" si="6"/>
        <v>8.5375474633158505E-2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47761207</v>
      </c>
      <c r="D57" s="97">
        <v>48266096</v>
      </c>
      <c r="E57" s="97">
        <f t="shared" ref="E57:E68" si="7">D57-C57</f>
        <v>504889</v>
      </c>
      <c r="F57" s="98">
        <f t="shared" ref="F57:F68" si="8">IF(C57=0,0,E57/C57)</f>
        <v>1.0571110566782787E-2</v>
      </c>
    </row>
    <row r="58" spans="1:6" ht="18" customHeight="1" x14ac:dyDescent="0.25">
      <c r="A58" s="99">
        <v>2</v>
      </c>
      <c r="B58" s="100" t="s">
        <v>113</v>
      </c>
      <c r="C58" s="97">
        <v>3402467</v>
      </c>
      <c r="D58" s="97">
        <v>3902480</v>
      </c>
      <c r="E58" s="97">
        <f t="shared" si="7"/>
        <v>500013</v>
      </c>
      <c r="F58" s="98">
        <f t="shared" si="8"/>
        <v>0.14695601750141882</v>
      </c>
    </row>
    <row r="59" spans="1:6" ht="18" customHeight="1" x14ac:dyDescent="0.25">
      <c r="A59" s="99">
        <v>3</v>
      </c>
      <c r="B59" s="100" t="s">
        <v>114</v>
      </c>
      <c r="C59" s="97">
        <v>1655383</v>
      </c>
      <c r="D59" s="97">
        <v>1161159</v>
      </c>
      <c r="E59" s="97">
        <f t="shared" si="7"/>
        <v>-494224</v>
      </c>
      <c r="F59" s="98">
        <f t="shared" si="8"/>
        <v>-0.29855568167608343</v>
      </c>
    </row>
    <row r="60" spans="1:6" ht="18" customHeight="1" x14ac:dyDescent="0.25">
      <c r="A60" s="99">
        <v>4</v>
      </c>
      <c r="B60" s="100" t="s">
        <v>115</v>
      </c>
      <c r="C60" s="97">
        <v>421070</v>
      </c>
      <c r="D60" s="97">
        <v>915850</v>
      </c>
      <c r="E60" s="97">
        <f t="shared" si="7"/>
        <v>494780</v>
      </c>
      <c r="F60" s="98">
        <f t="shared" si="8"/>
        <v>1.175054029021303</v>
      </c>
    </row>
    <row r="61" spans="1:6" ht="18" customHeight="1" x14ac:dyDescent="0.25">
      <c r="A61" s="99">
        <v>5</v>
      </c>
      <c r="B61" s="100" t="s">
        <v>116</v>
      </c>
      <c r="C61" s="97">
        <v>63719</v>
      </c>
      <c r="D61" s="97">
        <v>10408</v>
      </c>
      <c r="E61" s="97">
        <f t="shared" si="7"/>
        <v>-53311</v>
      </c>
      <c r="F61" s="98">
        <f t="shared" si="8"/>
        <v>-0.83665782576625491</v>
      </c>
    </row>
    <row r="62" spans="1:6" ht="18" customHeight="1" x14ac:dyDescent="0.25">
      <c r="A62" s="99">
        <v>6</v>
      </c>
      <c r="B62" s="100" t="s">
        <v>117</v>
      </c>
      <c r="C62" s="97">
        <v>20065798</v>
      </c>
      <c r="D62" s="97">
        <v>20887019</v>
      </c>
      <c r="E62" s="97">
        <f t="shared" si="7"/>
        <v>821221</v>
      </c>
      <c r="F62" s="98">
        <f t="shared" si="8"/>
        <v>4.0926406216189357E-2</v>
      </c>
    </row>
    <row r="63" spans="1:6" ht="18" customHeight="1" x14ac:dyDescent="0.25">
      <c r="A63" s="99">
        <v>7</v>
      </c>
      <c r="B63" s="100" t="s">
        <v>118</v>
      </c>
      <c r="C63" s="97">
        <v>38979700</v>
      </c>
      <c r="D63" s="97">
        <v>45536625</v>
      </c>
      <c r="E63" s="97">
        <f t="shared" si="7"/>
        <v>6556925</v>
      </c>
      <c r="F63" s="98">
        <f t="shared" si="8"/>
        <v>0.16821383951133539</v>
      </c>
    </row>
    <row r="64" spans="1:6" ht="18" customHeight="1" x14ac:dyDescent="0.25">
      <c r="A64" s="99">
        <v>8</v>
      </c>
      <c r="B64" s="100" t="s">
        <v>119</v>
      </c>
      <c r="C64" s="97">
        <v>1430011</v>
      </c>
      <c r="D64" s="97">
        <v>2644852</v>
      </c>
      <c r="E64" s="97">
        <f t="shared" si="7"/>
        <v>1214841</v>
      </c>
      <c r="F64" s="98">
        <f t="shared" si="8"/>
        <v>0.84953262597280721</v>
      </c>
    </row>
    <row r="65" spans="1:6" ht="18" customHeight="1" x14ac:dyDescent="0.25">
      <c r="A65" s="99">
        <v>9</v>
      </c>
      <c r="B65" s="100" t="s">
        <v>120</v>
      </c>
      <c r="C65" s="97">
        <v>1073055</v>
      </c>
      <c r="D65" s="97">
        <v>885530</v>
      </c>
      <c r="E65" s="97">
        <f t="shared" si="7"/>
        <v>-187525</v>
      </c>
      <c r="F65" s="98">
        <f t="shared" si="8"/>
        <v>-0.17475805061250355</v>
      </c>
    </row>
    <row r="66" spans="1:6" ht="18" customHeight="1" x14ac:dyDescent="0.25">
      <c r="A66" s="99">
        <v>10</v>
      </c>
      <c r="B66" s="100" t="s">
        <v>121</v>
      </c>
      <c r="C66" s="97">
        <v>126591</v>
      </c>
      <c r="D66" s="97">
        <v>71799</v>
      </c>
      <c r="E66" s="97">
        <f t="shared" si="7"/>
        <v>-54792</v>
      </c>
      <c r="F66" s="98">
        <f t="shared" si="8"/>
        <v>-0.43282697822120059</v>
      </c>
    </row>
    <row r="67" spans="1:6" ht="18" customHeight="1" x14ac:dyDescent="0.25">
      <c r="A67" s="99">
        <v>11</v>
      </c>
      <c r="B67" s="100" t="s">
        <v>122</v>
      </c>
      <c r="C67" s="97">
        <v>1528013</v>
      </c>
      <c r="D67" s="97">
        <v>3320128</v>
      </c>
      <c r="E67" s="97">
        <f t="shared" si="7"/>
        <v>1792115</v>
      </c>
      <c r="F67" s="98">
        <f t="shared" si="8"/>
        <v>1.1728401525379692</v>
      </c>
    </row>
    <row r="68" spans="1:6" ht="18" customHeight="1" x14ac:dyDescent="0.25">
      <c r="A68" s="101"/>
      <c r="B68" s="102" t="s">
        <v>131</v>
      </c>
      <c r="C68" s="103">
        <f>SUM(C57:C67)</f>
        <v>116507014</v>
      </c>
      <c r="D68" s="103">
        <f>SUM(D57:D67)</f>
        <v>127601946</v>
      </c>
      <c r="E68" s="103">
        <f t="shared" si="7"/>
        <v>11094932</v>
      </c>
      <c r="F68" s="104">
        <f t="shared" si="8"/>
        <v>9.522973440895155E-2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22187653</v>
      </c>
      <c r="D70" s="97">
        <v>20741720</v>
      </c>
      <c r="E70" s="97">
        <f t="shared" ref="E70:E81" si="9">D70-C70</f>
        <v>-1445933</v>
      </c>
      <c r="F70" s="98">
        <f t="shared" ref="F70:F81" si="10">IF(C70=0,0,E70/C70)</f>
        <v>-6.5168361881267928E-2</v>
      </c>
    </row>
    <row r="71" spans="1:6" ht="18" customHeight="1" x14ac:dyDescent="0.25">
      <c r="A71" s="99">
        <v>2</v>
      </c>
      <c r="B71" s="100" t="s">
        <v>113</v>
      </c>
      <c r="C71" s="97">
        <v>1738427</v>
      </c>
      <c r="D71" s="97">
        <v>1995223</v>
      </c>
      <c r="E71" s="97">
        <f t="shared" si="9"/>
        <v>256796</v>
      </c>
      <c r="F71" s="98">
        <f t="shared" si="10"/>
        <v>0.14771744801478578</v>
      </c>
    </row>
    <row r="72" spans="1:6" ht="18" customHeight="1" x14ac:dyDescent="0.25">
      <c r="A72" s="99">
        <v>3</v>
      </c>
      <c r="B72" s="100" t="s">
        <v>114</v>
      </c>
      <c r="C72" s="97">
        <v>783162</v>
      </c>
      <c r="D72" s="97">
        <v>104449</v>
      </c>
      <c r="E72" s="97">
        <f t="shared" si="9"/>
        <v>-678713</v>
      </c>
      <c r="F72" s="98">
        <f t="shared" si="10"/>
        <v>-0.86663168029092319</v>
      </c>
    </row>
    <row r="73" spans="1:6" ht="18" customHeight="1" x14ac:dyDescent="0.25">
      <c r="A73" s="99">
        <v>4</v>
      </c>
      <c r="B73" s="100" t="s">
        <v>115</v>
      </c>
      <c r="C73" s="97">
        <v>1636231</v>
      </c>
      <c r="D73" s="97">
        <v>2158858</v>
      </c>
      <c r="E73" s="97">
        <f t="shared" si="9"/>
        <v>522627</v>
      </c>
      <c r="F73" s="98">
        <f t="shared" si="10"/>
        <v>0.31940905654519441</v>
      </c>
    </row>
    <row r="74" spans="1:6" ht="18" customHeight="1" x14ac:dyDescent="0.25">
      <c r="A74" s="99">
        <v>5</v>
      </c>
      <c r="B74" s="100" t="s">
        <v>116</v>
      </c>
      <c r="C74" s="97">
        <v>162577</v>
      </c>
      <c r="D74" s="97">
        <v>27059</v>
      </c>
      <c r="E74" s="97">
        <f t="shared" si="9"/>
        <v>-135518</v>
      </c>
      <c r="F74" s="98">
        <f t="shared" si="10"/>
        <v>-0.83356194295626074</v>
      </c>
    </row>
    <row r="75" spans="1:6" ht="18" customHeight="1" x14ac:dyDescent="0.25">
      <c r="A75" s="99">
        <v>6</v>
      </c>
      <c r="B75" s="100" t="s">
        <v>117</v>
      </c>
      <c r="C75" s="97">
        <v>37402462</v>
      </c>
      <c r="D75" s="97">
        <v>38209354</v>
      </c>
      <c r="E75" s="97">
        <f t="shared" si="9"/>
        <v>806892</v>
      </c>
      <c r="F75" s="98">
        <f t="shared" si="10"/>
        <v>2.1573232264763747E-2</v>
      </c>
    </row>
    <row r="76" spans="1:6" ht="18" customHeight="1" x14ac:dyDescent="0.25">
      <c r="A76" s="99">
        <v>7</v>
      </c>
      <c r="B76" s="100" t="s">
        <v>118</v>
      </c>
      <c r="C76" s="97">
        <v>77885448</v>
      </c>
      <c r="D76" s="97">
        <v>72160796</v>
      </c>
      <c r="E76" s="97">
        <f t="shared" si="9"/>
        <v>-5724652</v>
      </c>
      <c r="F76" s="98">
        <f t="shared" si="10"/>
        <v>-7.3500918939312002E-2</v>
      </c>
    </row>
    <row r="77" spans="1:6" ht="18" customHeight="1" x14ac:dyDescent="0.25">
      <c r="A77" s="99">
        <v>8</v>
      </c>
      <c r="B77" s="100" t="s">
        <v>119</v>
      </c>
      <c r="C77" s="97">
        <v>3603094</v>
      </c>
      <c r="D77" s="97">
        <v>3898777</v>
      </c>
      <c r="E77" s="97">
        <f t="shared" si="9"/>
        <v>295683</v>
      </c>
      <c r="F77" s="98">
        <f t="shared" si="10"/>
        <v>8.2063637529301209E-2</v>
      </c>
    </row>
    <row r="78" spans="1:6" ht="18" customHeight="1" x14ac:dyDescent="0.25">
      <c r="A78" s="99">
        <v>9</v>
      </c>
      <c r="B78" s="100" t="s">
        <v>120</v>
      </c>
      <c r="C78" s="97">
        <v>3350009</v>
      </c>
      <c r="D78" s="97">
        <v>2704180</v>
      </c>
      <c r="E78" s="97">
        <f t="shared" si="9"/>
        <v>-645829</v>
      </c>
      <c r="F78" s="98">
        <f t="shared" si="10"/>
        <v>-0.19278425819154515</v>
      </c>
    </row>
    <row r="79" spans="1:6" ht="18" customHeight="1" x14ac:dyDescent="0.25">
      <c r="A79" s="99">
        <v>10</v>
      </c>
      <c r="B79" s="100" t="s">
        <v>121</v>
      </c>
      <c r="C79" s="97">
        <v>168155</v>
      </c>
      <c r="D79" s="97">
        <v>144267</v>
      </c>
      <c r="E79" s="97">
        <f t="shared" si="9"/>
        <v>-23888</v>
      </c>
      <c r="F79" s="98">
        <f t="shared" si="10"/>
        <v>-0.14205940947340251</v>
      </c>
    </row>
    <row r="80" spans="1:6" ht="18" customHeight="1" x14ac:dyDescent="0.25">
      <c r="A80" s="99">
        <v>11</v>
      </c>
      <c r="B80" s="100" t="s">
        <v>122</v>
      </c>
      <c r="C80" s="97">
        <v>502384</v>
      </c>
      <c r="D80" s="97">
        <v>654893</v>
      </c>
      <c r="E80" s="97">
        <f t="shared" si="9"/>
        <v>152509</v>
      </c>
      <c r="F80" s="98">
        <f t="shared" si="10"/>
        <v>0.30357057549603489</v>
      </c>
    </row>
    <row r="81" spans="1:6" ht="18" customHeight="1" x14ac:dyDescent="0.25">
      <c r="A81" s="101"/>
      <c r="B81" s="102" t="s">
        <v>133</v>
      </c>
      <c r="C81" s="103">
        <f>SUM(C70:C80)</f>
        <v>149419602</v>
      </c>
      <c r="D81" s="103">
        <f>SUM(D70:D80)</f>
        <v>142799576</v>
      </c>
      <c r="E81" s="103">
        <f t="shared" si="9"/>
        <v>-6620026</v>
      </c>
      <c r="F81" s="104">
        <f t="shared" si="10"/>
        <v>-4.4304936644122501E-2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69948860</v>
      </c>
      <c r="D84" s="103">
        <f t="shared" si="11"/>
        <v>69007816</v>
      </c>
      <c r="E84" s="103">
        <f t="shared" ref="E84:E95" si="12">D84-C84</f>
        <v>-941044</v>
      </c>
      <c r="F84" s="104">
        <f t="shared" ref="F84:F95" si="13">IF(C84=0,0,E84/C84)</f>
        <v>-1.3453314321348482E-2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5140894</v>
      </c>
      <c r="D85" s="103">
        <f t="shared" si="11"/>
        <v>5897703</v>
      </c>
      <c r="E85" s="103">
        <f t="shared" si="12"/>
        <v>756809</v>
      </c>
      <c r="F85" s="104">
        <f t="shared" si="13"/>
        <v>0.14721350022000065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2438545</v>
      </c>
      <c r="D86" s="103">
        <f t="shared" si="11"/>
        <v>1265608</v>
      </c>
      <c r="E86" s="103">
        <f t="shared" si="12"/>
        <v>-1172937</v>
      </c>
      <c r="F86" s="104">
        <f t="shared" si="13"/>
        <v>-0.48099871029650876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2057301</v>
      </c>
      <c r="D87" s="103">
        <f t="shared" si="11"/>
        <v>3074708</v>
      </c>
      <c r="E87" s="103">
        <f t="shared" si="12"/>
        <v>1017407</v>
      </c>
      <c r="F87" s="104">
        <f t="shared" si="13"/>
        <v>0.49453482985717695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226296</v>
      </c>
      <c r="D88" s="103">
        <f t="shared" si="11"/>
        <v>37467</v>
      </c>
      <c r="E88" s="103">
        <f t="shared" si="12"/>
        <v>-188829</v>
      </c>
      <c r="F88" s="104">
        <f t="shared" si="13"/>
        <v>-0.8344336621062679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57468260</v>
      </c>
      <c r="D89" s="103">
        <f t="shared" si="11"/>
        <v>59096373</v>
      </c>
      <c r="E89" s="103">
        <f t="shared" si="12"/>
        <v>1628113</v>
      </c>
      <c r="F89" s="104">
        <f t="shared" si="13"/>
        <v>2.8330647212913701E-2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116865148</v>
      </c>
      <c r="D90" s="103">
        <f t="shared" si="11"/>
        <v>117697421</v>
      </c>
      <c r="E90" s="103">
        <f t="shared" si="12"/>
        <v>832273</v>
      </c>
      <c r="F90" s="104">
        <f t="shared" si="13"/>
        <v>7.1216527274667041E-3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5033105</v>
      </c>
      <c r="D91" s="103">
        <f t="shared" si="11"/>
        <v>6543629</v>
      </c>
      <c r="E91" s="103">
        <f t="shared" si="12"/>
        <v>1510524</v>
      </c>
      <c r="F91" s="104">
        <f t="shared" si="13"/>
        <v>0.30011772057209218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4423064</v>
      </c>
      <c r="D92" s="103">
        <f t="shared" si="11"/>
        <v>3589710</v>
      </c>
      <c r="E92" s="103">
        <f t="shared" si="12"/>
        <v>-833354</v>
      </c>
      <c r="F92" s="104">
        <f t="shared" si="13"/>
        <v>-0.18841102005306729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294746</v>
      </c>
      <c r="D93" s="103">
        <f t="shared" si="11"/>
        <v>216066</v>
      </c>
      <c r="E93" s="103">
        <f t="shared" si="12"/>
        <v>-78680</v>
      </c>
      <c r="F93" s="104">
        <f t="shared" si="13"/>
        <v>-0.26694170573985737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2030397</v>
      </c>
      <c r="D94" s="103">
        <f t="shared" si="11"/>
        <v>3975021</v>
      </c>
      <c r="E94" s="103">
        <f t="shared" si="12"/>
        <v>1944624</v>
      </c>
      <c r="F94" s="104">
        <f t="shared" si="13"/>
        <v>0.9577555522392911</v>
      </c>
    </row>
    <row r="95" spans="1:6" ht="18.75" customHeight="1" thickBot="1" x14ac:dyDescent="0.3">
      <c r="A95" s="115"/>
      <c r="B95" s="116" t="s">
        <v>134</v>
      </c>
      <c r="C95" s="112">
        <f>SUM(C84:C94)</f>
        <v>265926616</v>
      </c>
      <c r="D95" s="112">
        <f>SUM(D84:D94)</f>
        <v>270401522</v>
      </c>
      <c r="E95" s="112">
        <f t="shared" si="12"/>
        <v>4474906</v>
      </c>
      <c r="F95" s="113">
        <f t="shared" si="13"/>
        <v>1.6827597279694635E-2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4624</v>
      </c>
      <c r="D100" s="117">
        <v>4718</v>
      </c>
      <c r="E100" s="117">
        <f t="shared" ref="E100:E111" si="14">D100-C100</f>
        <v>94</v>
      </c>
      <c r="F100" s="98">
        <f t="shared" ref="F100:F111" si="15">IF(C100=0,0,E100/C100)</f>
        <v>2.032871972318339E-2</v>
      </c>
    </row>
    <row r="101" spans="1:6" ht="18" customHeight="1" x14ac:dyDescent="0.25">
      <c r="A101" s="99">
        <v>2</v>
      </c>
      <c r="B101" s="100" t="s">
        <v>113</v>
      </c>
      <c r="C101" s="117">
        <v>430</v>
      </c>
      <c r="D101" s="117">
        <v>551</v>
      </c>
      <c r="E101" s="117">
        <f t="shared" si="14"/>
        <v>121</v>
      </c>
      <c r="F101" s="98">
        <f t="shared" si="15"/>
        <v>0.28139534883720929</v>
      </c>
    </row>
    <row r="102" spans="1:6" ht="18" customHeight="1" x14ac:dyDescent="0.25">
      <c r="A102" s="99">
        <v>3</v>
      </c>
      <c r="B102" s="100" t="s">
        <v>114</v>
      </c>
      <c r="C102" s="117">
        <v>212</v>
      </c>
      <c r="D102" s="117">
        <v>341</v>
      </c>
      <c r="E102" s="117">
        <f t="shared" si="14"/>
        <v>129</v>
      </c>
      <c r="F102" s="98">
        <f t="shared" si="15"/>
        <v>0.60849056603773588</v>
      </c>
    </row>
    <row r="103" spans="1:6" ht="18" customHeight="1" x14ac:dyDescent="0.25">
      <c r="A103" s="99">
        <v>4</v>
      </c>
      <c r="B103" s="100" t="s">
        <v>115</v>
      </c>
      <c r="C103" s="117">
        <v>115</v>
      </c>
      <c r="D103" s="117">
        <v>176</v>
      </c>
      <c r="E103" s="117">
        <f t="shared" si="14"/>
        <v>61</v>
      </c>
      <c r="F103" s="98">
        <f t="shared" si="15"/>
        <v>0.5304347826086957</v>
      </c>
    </row>
    <row r="104" spans="1:6" ht="18" customHeight="1" x14ac:dyDescent="0.25">
      <c r="A104" s="99">
        <v>5</v>
      </c>
      <c r="B104" s="100" t="s">
        <v>116</v>
      </c>
      <c r="C104" s="117">
        <v>6</v>
      </c>
      <c r="D104" s="117">
        <v>6</v>
      </c>
      <c r="E104" s="117">
        <f t="shared" si="14"/>
        <v>0</v>
      </c>
      <c r="F104" s="98">
        <f t="shared" si="15"/>
        <v>0</v>
      </c>
    </row>
    <row r="105" spans="1:6" ht="18" customHeight="1" x14ac:dyDescent="0.25">
      <c r="A105" s="99">
        <v>6</v>
      </c>
      <c r="B105" s="100" t="s">
        <v>117</v>
      </c>
      <c r="C105" s="117">
        <v>2313</v>
      </c>
      <c r="D105" s="117">
        <v>2441</v>
      </c>
      <c r="E105" s="117">
        <f t="shared" si="14"/>
        <v>128</v>
      </c>
      <c r="F105" s="98">
        <f t="shared" si="15"/>
        <v>5.5339386078685687E-2</v>
      </c>
    </row>
    <row r="106" spans="1:6" ht="18" customHeight="1" x14ac:dyDescent="0.25">
      <c r="A106" s="99">
        <v>7</v>
      </c>
      <c r="B106" s="100" t="s">
        <v>118</v>
      </c>
      <c r="C106" s="117">
        <v>4645</v>
      </c>
      <c r="D106" s="117">
        <v>4757</v>
      </c>
      <c r="E106" s="117">
        <f t="shared" si="14"/>
        <v>112</v>
      </c>
      <c r="F106" s="98">
        <f t="shared" si="15"/>
        <v>2.411194833153929E-2</v>
      </c>
    </row>
    <row r="107" spans="1:6" ht="18" customHeight="1" x14ac:dyDescent="0.25">
      <c r="A107" s="99">
        <v>8</v>
      </c>
      <c r="B107" s="100" t="s">
        <v>119</v>
      </c>
      <c r="C107" s="117">
        <v>44</v>
      </c>
      <c r="D107" s="117">
        <v>51</v>
      </c>
      <c r="E107" s="117">
        <f t="shared" si="14"/>
        <v>7</v>
      </c>
      <c r="F107" s="98">
        <f t="shared" si="15"/>
        <v>0.15909090909090909</v>
      </c>
    </row>
    <row r="108" spans="1:6" ht="18" customHeight="1" x14ac:dyDescent="0.25">
      <c r="A108" s="99">
        <v>9</v>
      </c>
      <c r="B108" s="100" t="s">
        <v>120</v>
      </c>
      <c r="C108" s="117">
        <v>296</v>
      </c>
      <c r="D108" s="117">
        <v>333</v>
      </c>
      <c r="E108" s="117">
        <f t="shared" si="14"/>
        <v>37</v>
      </c>
      <c r="F108" s="98">
        <f t="shared" si="15"/>
        <v>0.125</v>
      </c>
    </row>
    <row r="109" spans="1:6" ht="18" customHeight="1" x14ac:dyDescent="0.25">
      <c r="A109" s="99">
        <v>10</v>
      </c>
      <c r="B109" s="100" t="s">
        <v>121</v>
      </c>
      <c r="C109" s="117">
        <v>27</v>
      </c>
      <c r="D109" s="117">
        <v>15</v>
      </c>
      <c r="E109" s="117">
        <f t="shared" si="14"/>
        <v>-12</v>
      </c>
      <c r="F109" s="98">
        <f t="shared" si="15"/>
        <v>-0.44444444444444442</v>
      </c>
    </row>
    <row r="110" spans="1:6" ht="18" customHeight="1" x14ac:dyDescent="0.25">
      <c r="A110" s="99">
        <v>11</v>
      </c>
      <c r="B110" s="100" t="s">
        <v>122</v>
      </c>
      <c r="C110" s="117">
        <v>219</v>
      </c>
      <c r="D110" s="117">
        <v>238</v>
      </c>
      <c r="E110" s="117">
        <f t="shared" si="14"/>
        <v>19</v>
      </c>
      <c r="F110" s="98">
        <f t="shared" si="15"/>
        <v>8.6757990867579904E-2</v>
      </c>
    </row>
    <row r="111" spans="1:6" ht="18" customHeight="1" x14ac:dyDescent="0.25">
      <c r="A111" s="101"/>
      <c r="B111" s="102" t="s">
        <v>138</v>
      </c>
      <c r="C111" s="118">
        <f>SUM(C100:C110)</f>
        <v>12931</v>
      </c>
      <c r="D111" s="118">
        <f>SUM(D100:D110)</f>
        <v>13627</v>
      </c>
      <c r="E111" s="118">
        <f t="shared" si="14"/>
        <v>696</v>
      </c>
      <c r="F111" s="104">
        <f t="shared" si="15"/>
        <v>5.3824143531049418E-2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21906</v>
      </c>
      <c r="D113" s="117">
        <v>22558</v>
      </c>
      <c r="E113" s="117">
        <f t="shared" ref="E113:E124" si="16">D113-C113</f>
        <v>652</v>
      </c>
      <c r="F113" s="98">
        <f t="shared" ref="F113:F124" si="17">IF(C113=0,0,E113/C113)</f>
        <v>2.976353510453757E-2</v>
      </c>
    </row>
    <row r="114" spans="1:6" ht="18" customHeight="1" x14ac:dyDescent="0.25">
      <c r="A114" s="99">
        <v>2</v>
      </c>
      <c r="B114" s="100" t="s">
        <v>113</v>
      </c>
      <c r="C114" s="117">
        <v>2283</v>
      </c>
      <c r="D114" s="117">
        <v>2664</v>
      </c>
      <c r="E114" s="117">
        <f t="shared" si="16"/>
        <v>381</v>
      </c>
      <c r="F114" s="98">
        <f t="shared" si="17"/>
        <v>0.16688567674113008</v>
      </c>
    </row>
    <row r="115" spans="1:6" ht="18" customHeight="1" x14ac:dyDescent="0.25">
      <c r="A115" s="99">
        <v>3</v>
      </c>
      <c r="B115" s="100" t="s">
        <v>114</v>
      </c>
      <c r="C115" s="117">
        <v>761</v>
      </c>
      <c r="D115" s="117">
        <v>1163</v>
      </c>
      <c r="E115" s="117">
        <f t="shared" si="16"/>
        <v>402</v>
      </c>
      <c r="F115" s="98">
        <f t="shared" si="17"/>
        <v>0.52825229960578191</v>
      </c>
    </row>
    <row r="116" spans="1:6" ht="18" customHeight="1" x14ac:dyDescent="0.25">
      <c r="A116" s="99">
        <v>4</v>
      </c>
      <c r="B116" s="100" t="s">
        <v>115</v>
      </c>
      <c r="C116" s="117">
        <v>338</v>
      </c>
      <c r="D116" s="117">
        <v>646</v>
      </c>
      <c r="E116" s="117">
        <f t="shared" si="16"/>
        <v>308</v>
      </c>
      <c r="F116" s="98">
        <f t="shared" si="17"/>
        <v>0.91124260355029585</v>
      </c>
    </row>
    <row r="117" spans="1:6" ht="18" customHeight="1" x14ac:dyDescent="0.25">
      <c r="A117" s="99">
        <v>5</v>
      </c>
      <c r="B117" s="100" t="s">
        <v>116</v>
      </c>
      <c r="C117" s="117">
        <v>27</v>
      </c>
      <c r="D117" s="117">
        <v>19</v>
      </c>
      <c r="E117" s="117">
        <f t="shared" si="16"/>
        <v>-8</v>
      </c>
      <c r="F117" s="98">
        <f t="shared" si="17"/>
        <v>-0.29629629629629628</v>
      </c>
    </row>
    <row r="118" spans="1:6" ht="18" customHeight="1" x14ac:dyDescent="0.25">
      <c r="A118" s="99">
        <v>6</v>
      </c>
      <c r="B118" s="100" t="s">
        <v>117</v>
      </c>
      <c r="C118" s="117">
        <v>7836</v>
      </c>
      <c r="D118" s="117">
        <v>8219</v>
      </c>
      <c r="E118" s="117">
        <f t="shared" si="16"/>
        <v>383</v>
      </c>
      <c r="F118" s="98">
        <f t="shared" si="17"/>
        <v>4.887697805002552E-2</v>
      </c>
    </row>
    <row r="119" spans="1:6" ht="18" customHeight="1" x14ac:dyDescent="0.25">
      <c r="A119" s="99">
        <v>7</v>
      </c>
      <c r="B119" s="100" t="s">
        <v>118</v>
      </c>
      <c r="C119" s="117">
        <v>14870</v>
      </c>
      <c r="D119" s="117">
        <v>15203</v>
      </c>
      <c r="E119" s="117">
        <f t="shared" si="16"/>
        <v>333</v>
      </c>
      <c r="F119" s="98">
        <f t="shared" si="17"/>
        <v>2.2394082044384669E-2</v>
      </c>
    </row>
    <row r="120" spans="1:6" ht="18" customHeight="1" x14ac:dyDescent="0.25">
      <c r="A120" s="99">
        <v>8</v>
      </c>
      <c r="B120" s="100" t="s">
        <v>119</v>
      </c>
      <c r="C120" s="117">
        <v>141</v>
      </c>
      <c r="D120" s="117">
        <v>193</v>
      </c>
      <c r="E120" s="117">
        <f t="shared" si="16"/>
        <v>52</v>
      </c>
      <c r="F120" s="98">
        <f t="shared" si="17"/>
        <v>0.36879432624113473</v>
      </c>
    </row>
    <row r="121" spans="1:6" ht="18" customHeight="1" x14ac:dyDescent="0.25">
      <c r="A121" s="99">
        <v>9</v>
      </c>
      <c r="B121" s="100" t="s">
        <v>120</v>
      </c>
      <c r="C121" s="117">
        <v>1000</v>
      </c>
      <c r="D121" s="117">
        <v>1005</v>
      </c>
      <c r="E121" s="117">
        <f t="shared" si="16"/>
        <v>5</v>
      </c>
      <c r="F121" s="98">
        <f t="shared" si="17"/>
        <v>5.0000000000000001E-3</v>
      </c>
    </row>
    <row r="122" spans="1:6" ht="18" customHeight="1" x14ac:dyDescent="0.25">
      <c r="A122" s="99">
        <v>10</v>
      </c>
      <c r="B122" s="100" t="s">
        <v>121</v>
      </c>
      <c r="C122" s="117">
        <v>184</v>
      </c>
      <c r="D122" s="117">
        <v>53</v>
      </c>
      <c r="E122" s="117">
        <f t="shared" si="16"/>
        <v>-131</v>
      </c>
      <c r="F122" s="98">
        <f t="shared" si="17"/>
        <v>-0.71195652173913049</v>
      </c>
    </row>
    <row r="123" spans="1:6" ht="18" customHeight="1" x14ac:dyDescent="0.25">
      <c r="A123" s="99">
        <v>11</v>
      </c>
      <c r="B123" s="100" t="s">
        <v>122</v>
      </c>
      <c r="C123" s="117">
        <v>803</v>
      </c>
      <c r="D123" s="117">
        <v>1336</v>
      </c>
      <c r="E123" s="117">
        <f t="shared" si="16"/>
        <v>533</v>
      </c>
      <c r="F123" s="98">
        <f t="shared" si="17"/>
        <v>0.66376089663760895</v>
      </c>
    </row>
    <row r="124" spans="1:6" ht="18" customHeight="1" x14ac:dyDescent="0.25">
      <c r="A124" s="101"/>
      <c r="B124" s="102" t="s">
        <v>140</v>
      </c>
      <c r="C124" s="118">
        <f>SUM(C113:C123)</f>
        <v>50149</v>
      </c>
      <c r="D124" s="118">
        <f>SUM(D113:D123)</f>
        <v>53059</v>
      </c>
      <c r="E124" s="118">
        <f t="shared" si="16"/>
        <v>2910</v>
      </c>
      <c r="F124" s="104">
        <f t="shared" si="17"/>
        <v>5.8027079303675046E-2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106924</v>
      </c>
      <c r="D126" s="117">
        <v>104149</v>
      </c>
      <c r="E126" s="117">
        <f t="shared" ref="E126:E137" si="18">D126-C126</f>
        <v>-2775</v>
      </c>
      <c r="F126" s="98">
        <f t="shared" ref="F126:F137" si="19">IF(C126=0,0,E126/C126)</f>
        <v>-2.5953013355280385E-2</v>
      </c>
    </row>
    <row r="127" spans="1:6" ht="18" customHeight="1" x14ac:dyDescent="0.25">
      <c r="A127" s="99">
        <v>2</v>
      </c>
      <c r="B127" s="100" t="s">
        <v>113</v>
      </c>
      <c r="C127" s="117">
        <v>6721</v>
      </c>
      <c r="D127" s="117">
        <v>7130</v>
      </c>
      <c r="E127" s="117">
        <f t="shared" si="18"/>
        <v>409</v>
      </c>
      <c r="F127" s="98">
        <f t="shared" si="19"/>
        <v>6.0854039577443834E-2</v>
      </c>
    </row>
    <row r="128" spans="1:6" ht="18" customHeight="1" x14ac:dyDescent="0.25">
      <c r="A128" s="99">
        <v>3</v>
      </c>
      <c r="B128" s="100" t="s">
        <v>114</v>
      </c>
      <c r="C128" s="117">
        <v>5314</v>
      </c>
      <c r="D128" s="117">
        <v>4780</v>
      </c>
      <c r="E128" s="117">
        <f t="shared" si="18"/>
        <v>-534</v>
      </c>
      <c r="F128" s="98">
        <f t="shared" si="19"/>
        <v>-0.10048927361686112</v>
      </c>
    </row>
    <row r="129" spans="1:6" ht="18" customHeight="1" x14ac:dyDescent="0.25">
      <c r="A129" s="99">
        <v>4</v>
      </c>
      <c r="B129" s="100" t="s">
        <v>115</v>
      </c>
      <c r="C129" s="117">
        <v>10878</v>
      </c>
      <c r="D129" s="117">
        <v>14441</v>
      </c>
      <c r="E129" s="117">
        <f t="shared" si="18"/>
        <v>3563</v>
      </c>
      <c r="F129" s="98">
        <f t="shared" si="19"/>
        <v>0.32754182754182753</v>
      </c>
    </row>
    <row r="130" spans="1:6" ht="18" customHeight="1" x14ac:dyDescent="0.25">
      <c r="A130" s="99">
        <v>5</v>
      </c>
      <c r="B130" s="100" t="s">
        <v>116</v>
      </c>
      <c r="C130" s="117">
        <v>159</v>
      </c>
      <c r="D130" s="117">
        <v>256</v>
      </c>
      <c r="E130" s="117">
        <f t="shared" si="18"/>
        <v>97</v>
      </c>
      <c r="F130" s="98">
        <f t="shared" si="19"/>
        <v>0.61006289308176098</v>
      </c>
    </row>
    <row r="131" spans="1:6" ht="18" customHeight="1" x14ac:dyDescent="0.25">
      <c r="A131" s="99">
        <v>6</v>
      </c>
      <c r="B131" s="100" t="s">
        <v>117</v>
      </c>
      <c r="C131" s="117">
        <v>89616</v>
      </c>
      <c r="D131" s="117">
        <v>65860</v>
      </c>
      <c r="E131" s="117">
        <f t="shared" si="18"/>
        <v>-23756</v>
      </c>
      <c r="F131" s="98">
        <f t="shared" si="19"/>
        <v>-0.26508659168005716</v>
      </c>
    </row>
    <row r="132" spans="1:6" ht="18" customHeight="1" x14ac:dyDescent="0.25">
      <c r="A132" s="99">
        <v>7</v>
      </c>
      <c r="B132" s="100" t="s">
        <v>118</v>
      </c>
      <c r="C132" s="117">
        <v>160833</v>
      </c>
      <c r="D132" s="117">
        <v>167237</v>
      </c>
      <c r="E132" s="117">
        <f t="shared" si="18"/>
        <v>6404</v>
      </c>
      <c r="F132" s="98">
        <f t="shared" si="19"/>
        <v>3.9817699104039594E-2</v>
      </c>
    </row>
    <row r="133" spans="1:6" ht="18" customHeight="1" x14ac:dyDescent="0.25">
      <c r="A133" s="99">
        <v>8</v>
      </c>
      <c r="B133" s="100" t="s">
        <v>119</v>
      </c>
      <c r="C133" s="117">
        <v>4903</v>
      </c>
      <c r="D133" s="117">
        <v>4964</v>
      </c>
      <c r="E133" s="117">
        <f t="shared" si="18"/>
        <v>61</v>
      </c>
      <c r="F133" s="98">
        <f t="shared" si="19"/>
        <v>1.2441362431164593E-2</v>
      </c>
    </row>
    <row r="134" spans="1:6" ht="18" customHeight="1" x14ac:dyDescent="0.25">
      <c r="A134" s="99">
        <v>9</v>
      </c>
      <c r="B134" s="100" t="s">
        <v>120</v>
      </c>
      <c r="C134" s="117">
        <v>43832</v>
      </c>
      <c r="D134" s="117">
        <v>42715</v>
      </c>
      <c r="E134" s="117">
        <f t="shared" si="18"/>
        <v>-1117</v>
      </c>
      <c r="F134" s="98">
        <f t="shared" si="19"/>
        <v>-2.5483664902354444E-2</v>
      </c>
    </row>
    <row r="135" spans="1:6" ht="18" customHeight="1" x14ac:dyDescent="0.25">
      <c r="A135" s="99">
        <v>10</v>
      </c>
      <c r="B135" s="100" t="s">
        <v>121</v>
      </c>
      <c r="C135" s="117">
        <v>602</v>
      </c>
      <c r="D135" s="117">
        <v>1610</v>
      </c>
      <c r="E135" s="117">
        <f t="shared" si="18"/>
        <v>1008</v>
      </c>
      <c r="F135" s="98">
        <f t="shared" si="19"/>
        <v>1.6744186046511629</v>
      </c>
    </row>
    <row r="136" spans="1:6" ht="18" customHeight="1" x14ac:dyDescent="0.25">
      <c r="A136" s="99">
        <v>11</v>
      </c>
      <c r="B136" s="100" t="s">
        <v>122</v>
      </c>
      <c r="C136" s="117">
        <v>345</v>
      </c>
      <c r="D136" s="117">
        <v>310</v>
      </c>
      <c r="E136" s="117">
        <f t="shared" si="18"/>
        <v>-35</v>
      </c>
      <c r="F136" s="98">
        <f t="shared" si="19"/>
        <v>-0.10144927536231885</v>
      </c>
    </row>
    <row r="137" spans="1:6" ht="18" customHeight="1" x14ac:dyDescent="0.25">
      <c r="A137" s="101"/>
      <c r="B137" s="102" t="s">
        <v>143</v>
      </c>
      <c r="C137" s="118">
        <f>SUM(C126:C136)</f>
        <v>430127</v>
      </c>
      <c r="D137" s="118">
        <f>SUM(D126:D136)</f>
        <v>413452</v>
      </c>
      <c r="E137" s="118">
        <f t="shared" si="18"/>
        <v>-16675</v>
      </c>
      <c r="F137" s="104">
        <f t="shared" si="19"/>
        <v>-3.8767619796013737E-2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14284511</v>
      </c>
      <c r="D142" s="97">
        <v>14495623</v>
      </c>
      <c r="E142" s="97">
        <f t="shared" ref="E142:E153" si="20">D142-C142</f>
        <v>211112</v>
      </c>
      <c r="F142" s="98">
        <f t="shared" ref="F142:F153" si="21">IF(C142=0,0,E142/C142)</f>
        <v>1.4779084842316268E-2</v>
      </c>
    </row>
    <row r="143" spans="1:6" ht="18" customHeight="1" x14ac:dyDescent="0.25">
      <c r="A143" s="99">
        <v>2</v>
      </c>
      <c r="B143" s="100" t="s">
        <v>113</v>
      </c>
      <c r="C143" s="97">
        <v>1352008</v>
      </c>
      <c r="D143" s="97">
        <v>1509843</v>
      </c>
      <c r="E143" s="97">
        <f t="shared" si="20"/>
        <v>157835</v>
      </c>
      <c r="F143" s="98">
        <f t="shared" si="21"/>
        <v>0.11674117312915308</v>
      </c>
    </row>
    <row r="144" spans="1:6" ht="18" customHeight="1" x14ac:dyDescent="0.25">
      <c r="A144" s="99">
        <v>3</v>
      </c>
      <c r="B144" s="100" t="s">
        <v>114</v>
      </c>
      <c r="C144" s="97">
        <v>1260734</v>
      </c>
      <c r="D144" s="97">
        <v>1312662</v>
      </c>
      <c r="E144" s="97">
        <f t="shared" si="20"/>
        <v>51928</v>
      </c>
      <c r="F144" s="98">
        <f t="shared" si="21"/>
        <v>4.1188704357937519E-2</v>
      </c>
    </row>
    <row r="145" spans="1:6" ht="18" customHeight="1" x14ac:dyDescent="0.25">
      <c r="A145" s="99">
        <v>4</v>
      </c>
      <c r="B145" s="100" t="s">
        <v>115</v>
      </c>
      <c r="C145" s="97">
        <v>4466762</v>
      </c>
      <c r="D145" s="97">
        <v>5261917</v>
      </c>
      <c r="E145" s="97">
        <f t="shared" si="20"/>
        <v>795155</v>
      </c>
      <c r="F145" s="98">
        <f t="shared" si="21"/>
        <v>0.17801597667393068</v>
      </c>
    </row>
    <row r="146" spans="1:6" ht="18" customHeight="1" x14ac:dyDescent="0.25">
      <c r="A146" s="99">
        <v>5</v>
      </c>
      <c r="B146" s="100" t="s">
        <v>116</v>
      </c>
      <c r="C146" s="97">
        <v>131208</v>
      </c>
      <c r="D146" s="97">
        <v>135210</v>
      </c>
      <c r="E146" s="97">
        <f t="shared" si="20"/>
        <v>4002</v>
      </c>
      <c r="F146" s="98">
        <f t="shared" si="21"/>
        <v>3.0501188951893177E-2</v>
      </c>
    </row>
    <row r="147" spans="1:6" ht="18" customHeight="1" x14ac:dyDescent="0.25">
      <c r="A147" s="99">
        <v>6</v>
      </c>
      <c r="B147" s="100" t="s">
        <v>117</v>
      </c>
      <c r="C147" s="97">
        <v>21828947</v>
      </c>
      <c r="D147" s="97">
        <v>15320966</v>
      </c>
      <c r="E147" s="97">
        <f t="shared" si="20"/>
        <v>-6507981</v>
      </c>
      <c r="F147" s="98">
        <f t="shared" si="21"/>
        <v>-0.29813536127051843</v>
      </c>
    </row>
    <row r="148" spans="1:6" ht="18" customHeight="1" x14ac:dyDescent="0.25">
      <c r="A148" s="99">
        <v>7</v>
      </c>
      <c r="B148" s="100" t="s">
        <v>118</v>
      </c>
      <c r="C148" s="97">
        <v>36595503</v>
      </c>
      <c r="D148" s="97">
        <v>38605229</v>
      </c>
      <c r="E148" s="97">
        <f t="shared" si="20"/>
        <v>2009726</v>
      </c>
      <c r="F148" s="98">
        <f t="shared" si="21"/>
        <v>5.4917294072990334E-2</v>
      </c>
    </row>
    <row r="149" spans="1:6" ht="18" customHeight="1" x14ac:dyDescent="0.25">
      <c r="A149" s="99">
        <v>8</v>
      </c>
      <c r="B149" s="100" t="s">
        <v>119</v>
      </c>
      <c r="C149" s="97">
        <v>2729688</v>
      </c>
      <c r="D149" s="97">
        <v>2566170</v>
      </c>
      <c r="E149" s="97">
        <f t="shared" si="20"/>
        <v>-163518</v>
      </c>
      <c r="F149" s="98">
        <f t="shared" si="21"/>
        <v>-5.9903549416636628E-2</v>
      </c>
    </row>
    <row r="150" spans="1:6" ht="18" customHeight="1" x14ac:dyDescent="0.25">
      <c r="A150" s="99">
        <v>9</v>
      </c>
      <c r="B150" s="100" t="s">
        <v>120</v>
      </c>
      <c r="C150" s="97">
        <v>12749953</v>
      </c>
      <c r="D150" s="97">
        <v>12002690</v>
      </c>
      <c r="E150" s="97">
        <f t="shared" si="20"/>
        <v>-747263</v>
      </c>
      <c r="F150" s="98">
        <f t="shared" si="21"/>
        <v>-5.8609078794251243E-2</v>
      </c>
    </row>
    <row r="151" spans="1:6" ht="18" customHeight="1" x14ac:dyDescent="0.25">
      <c r="A151" s="99">
        <v>10</v>
      </c>
      <c r="B151" s="100" t="s">
        <v>121</v>
      </c>
      <c r="C151" s="97">
        <v>767279</v>
      </c>
      <c r="D151" s="97">
        <v>861963</v>
      </c>
      <c r="E151" s="97">
        <f t="shared" si="20"/>
        <v>94684</v>
      </c>
      <c r="F151" s="98">
        <f t="shared" si="21"/>
        <v>0.1234023086778082</v>
      </c>
    </row>
    <row r="152" spans="1:6" ht="18" customHeight="1" x14ac:dyDescent="0.25">
      <c r="A152" s="99">
        <v>11</v>
      </c>
      <c r="B152" s="100" t="s">
        <v>122</v>
      </c>
      <c r="C152" s="97">
        <v>6848465</v>
      </c>
      <c r="D152" s="97">
        <v>7261896</v>
      </c>
      <c r="E152" s="97">
        <f t="shared" si="20"/>
        <v>413431</v>
      </c>
      <c r="F152" s="98">
        <f t="shared" si="21"/>
        <v>6.0368418324398244E-2</v>
      </c>
    </row>
    <row r="153" spans="1:6" ht="33.75" customHeight="1" x14ac:dyDescent="0.25">
      <c r="A153" s="101"/>
      <c r="B153" s="102" t="s">
        <v>147</v>
      </c>
      <c r="C153" s="103">
        <f>SUM(C142:C152)</f>
        <v>103015058</v>
      </c>
      <c r="D153" s="103">
        <f>SUM(D142:D152)</f>
        <v>99334169</v>
      </c>
      <c r="E153" s="103">
        <f t="shared" si="20"/>
        <v>-3680889</v>
      </c>
      <c r="F153" s="104">
        <f t="shared" si="21"/>
        <v>-3.5731562661450909E-2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4839433</v>
      </c>
      <c r="D155" s="97">
        <v>4997655</v>
      </c>
      <c r="E155" s="97">
        <f t="shared" ref="E155:E166" si="22">D155-C155</f>
        <v>158222</v>
      </c>
      <c r="F155" s="98">
        <f t="shared" ref="F155:F166" si="23">IF(C155=0,0,E155/C155)</f>
        <v>3.2694325967525535E-2</v>
      </c>
    </row>
    <row r="156" spans="1:6" ht="18" customHeight="1" x14ac:dyDescent="0.25">
      <c r="A156" s="99">
        <v>2</v>
      </c>
      <c r="B156" s="100" t="s">
        <v>113</v>
      </c>
      <c r="C156" s="97">
        <v>458045</v>
      </c>
      <c r="D156" s="97">
        <v>520549</v>
      </c>
      <c r="E156" s="97">
        <f t="shared" si="22"/>
        <v>62504</v>
      </c>
      <c r="F156" s="98">
        <f t="shared" si="23"/>
        <v>0.13645820825464747</v>
      </c>
    </row>
    <row r="157" spans="1:6" ht="18" customHeight="1" x14ac:dyDescent="0.25">
      <c r="A157" s="99">
        <v>3</v>
      </c>
      <c r="B157" s="100" t="s">
        <v>114</v>
      </c>
      <c r="C157" s="97">
        <v>427122</v>
      </c>
      <c r="D157" s="97">
        <v>452566</v>
      </c>
      <c r="E157" s="97">
        <f t="shared" si="22"/>
        <v>25444</v>
      </c>
      <c r="F157" s="98">
        <f t="shared" si="23"/>
        <v>5.9570801784970102E-2</v>
      </c>
    </row>
    <row r="158" spans="1:6" ht="18" customHeight="1" x14ac:dyDescent="0.25">
      <c r="A158" s="99">
        <v>4</v>
      </c>
      <c r="B158" s="100" t="s">
        <v>115</v>
      </c>
      <c r="C158" s="97">
        <v>1513289</v>
      </c>
      <c r="D158" s="97">
        <v>1814151</v>
      </c>
      <c r="E158" s="97">
        <f t="shared" si="22"/>
        <v>300862</v>
      </c>
      <c r="F158" s="98">
        <f t="shared" si="23"/>
        <v>0.19881331325344995</v>
      </c>
    </row>
    <row r="159" spans="1:6" ht="18" customHeight="1" x14ac:dyDescent="0.25">
      <c r="A159" s="99">
        <v>5</v>
      </c>
      <c r="B159" s="100" t="s">
        <v>116</v>
      </c>
      <c r="C159" s="97">
        <v>44452</v>
      </c>
      <c r="D159" s="97">
        <v>46616</v>
      </c>
      <c r="E159" s="97">
        <f t="shared" si="22"/>
        <v>2164</v>
      </c>
      <c r="F159" s="98">
        <f t="shared" si="23"/>
        <v>4.8681724106901823E-2</v>
      </c>
    </row>
    <row r="160" spans="1:6" ht="18" customHeight="1" x14ac:dyDescent="0.25">
      <c r="A160" s="99">
        <v>6</v>
      </c>
      <c r="B160" s="100" t="s">
        <v>117</v>
      </c>
      <c r="C160" s="97">
        <v>7395403</v>
      </c>
      <c r="D160" s="97">
        <v>5282208</v>
      </c>
      <c r="E160" s="97">
        <f t="shared" si="22"/>
        <v>-2113195</v>
      </c>
      <c r="F160" s="98">
        <f t="shared" si="23"/>
        <v>-0.28574440094745346</v>
      </c>
    </row>
    <row r="161" spans="1:6" ht="18" customHeight="1" x14ac:dyDescent="0.25">
      <c r="A161" s="99">
        <v>7</v>
      </c>
      <c r="B161" s="100" t="s">
        <v>118</v>
      </c>
      <c r="C161" s="97">
        <v>12398147</v>
      </c>
      <c r="D161" s="97">
        <v>13309921</v>
      </c>
      <c r="E161" s="97">
        <f t="shared" si="22"/>
        <v>911774</v>
      </c>
      <c r="F161" s="98">
        <f t="shared" si="23"/>
        <v>7.3541150947798894E-2</v>
      </c>
    </row>
    <row r="162" spans="1:6" ht="18" customHeight="1" x14ac:dyDescent="0.25">
      <c r="A162" s="99">
        <v>8</v>
      </c>
      <c r="B162" s="100" t="s">
        <v>119</v>
      </c>
      <c r="C162" s="97">
        <v>924788</v>
      </c>
      <c r="D162" s="97">
        <v>884738</v>
      </c>
      <c r="E162" s="97">
        <f t="shared" si="22"/>
        <v>-40050</v>
      </c>
      <c r="F162" s="98">
        <f t="shared" si="23"/>
        <v>-4.3307222844587087E-2</v>
      </c>
    </row>
    <row r="163" spans="1:6" ht="18" customHeight="1" x14ac:dyDescent="0.25">
      <c r="A163" s="99">
        <v>9</v>
      </c>
      <c r="B163" s="100" t="s">
        <v>120</v>
      </c>
      <c r="C163" s="97">
        <v>4319542</v>
      </c>
      <c r="D163" s="97">
        <v>4138167</v>
      </c>
      <c r="E163" s="97">
        <f t="shared" si="22"/>
        <v>-181375</v>
      </c>
      <c r="F163" s="98">
        <f t="shared" si="23"/>
        <v>-4.1989405358253261E-2</v>
      </c>
    </row>
    <row r="164" spans="1:6" ht="18" customHeight="1" x14ac:dyDescent="0.25">
      <c r="A164" s="99">
        <v>10</v>
      </c>
      <c r="B164" s="100" t="s">
        <v>121</v>
      </c>
      <c r="C164" s="97">
        <v>259946</v>
      </c>
      <c r="D164" s="97">
        <v>297179</v>
      </c>
      <c r="E164" s="97">
        <f t="shared" si="22"/>
        <v>37233</v>
      </c>
      <c r="F164" s="98">
        <f t="shared" si="23"/>
        <v>0.14323359466966215</v>
      </c>
    </row>
    <row r="165" spans="1:6" ht="18" customHeight="1" x14ac:dyDescent="0.25">
      <c r="A165" s="99">
        <v>11</v>
      </c>
      <c r="B165" s="100" t="s">
        <v>122</v>
      </c>
      <c r="C165" s="97">
        <v>2320183</v>
      </c>
      <c r="D165" s="97">
        <v>2503683</v>
      </c>
      <c r="E165" s="97">
        <f t="shared" si="22"/>
        <v>183500</v>
      </c>
      <c r="F165" s="98">
        <f t="shared" si="23"/>
        <v>7.9088589132839948E-2</v>
      </c>
    </row>
    <row r="166" spans="1:6" ht="33.75" customHeight="1" x14ac:dyDescent="0.25">
      <c r="A166" s="101"/>
      <c r="B166" s="102" t="s">
        <v>149</v>
      </c>
      <c r="C166" s="103">
        <f>SUM(C155:C165)</f>
        <v>34900350</v>
      </c>
      <c r="D166" s="103">
        <f>SUM(D155:D165)</f>
        <v>34247433</v>
      </c>
      <c r="E166" s="103">
        <f t="shared" si="22"/>
        <v>-652917</v>
      </c>
      <c r="F166" s="104">
        <f t="shared" si="23"/>
        <v>-1.8708035879296338E-2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4917</v>
      </c>
      <c r="D168" s="117">
        <v>5091</v>
      </c>
      <c r="E168" s="117">
        <f t="shared" ref="E168:E179" si="24">D168-C168</f>
        <v>174</v>
      </c>
      <c r="F168" s="98">
        <f t="shared" ref="F168:F179" si="25">IF(C168=0,0,E168/C168)</f>
        <v>3.5387431360585725E-2</v>
      </c>
    </row>
    <row r="169" spans="1:6" ht="18" customHeight="1" x14ac:dyDescent="0.25">
      <c r="A169" s="99">
        <v>2</v>
      </c>
      <c r="B169" s="100" t="s">
        <v>113</v>
      </c>
      <c r="C169" s="117">
        <v>465</v>
      </c>
      <c r="D169" s="117">
        <v>530</v>
      </c>
      <c r="E169" s="117">
        <f t="shared" si="24"/>
        <v>65</v>
      </c>
      <c r="F169" s="98">
        <f t="shared" si="25"/>
        <v>0.13978494623655913</v>
      </c>
    </row>
    <row r="170" spans="1:6" ht="18" customHeight="1" x14ac:dyDescent="0.25">
      <c r="A170" s="99">
        <v>3</v>
      </c>
      <c r="B170" s="100" t="s">
        <v>114</v>
      </c>
      <c r="C170" s="117">
        <v>434</v>
      </c>
      <c r="D170" s="117">
        <v>461</v>
      </c>
      <c r="E170" s="117">
        <f t="shared" si="24"/>
        <v>27</v>
      </c>
      <c r="F170" s="98">
        <f t="shared" si="25"/>
        <v>6.2211981566820278E-2</v>
      </c>
    </row>
    <row r="171" spans="1:6" ht="18" customHeight="1" x14ac:dyDescent="0.25">
      <c r="A171" s="99">
        <v>4</v>
      </c>
      <c r="B171" s="100" t="s">
        <v>115</v>
      </c>
      <c r="C171" s="117">
        <v>1538</v>
      </c>
      <c r="D171" s="117">
        <v>1848</v>
      </c>
      <c r="E171" s="117">
        <f t="shared" si="24"/>
        <v>310</v>
      </c>
      <c r="F171" s="98">
        <f t="shared" si="25"/>
        <v>0.20156046814044212</v>
      </c>
    </row>
    <row r="172" spans="1:6" ht="18" customHeight="1" x14ac:dyDescent="0.25">
      <c r="A172" s="99">
        <v>5</v>
      </c>
      <c r="B172" s="100" t="s">
        <v>116</v>
      </c>
      <c r="C172" s="117">
        <v>45</v>
      </c>
      <c r="D172" s="117">
        <v>47</v>
      </c>
      <c r="E172" s="117">
        <f t="shared" si="24"/>
        <v>2</v>
      </c>
      <c r="F172" s="98">
        <f t="shared" si="25"/>
        <v>4.4444444444444446E-2</v>
      </c>
    </row>
    <row r="173" spans="1:6" ht="18" customHeight="1" x14ac:dyDescent="0.25">
      <c r="A173" s="99">
        <v>6</v>
      </c>
      <c r="B173" s="100" t="s">
        <v>117</v>
      </c>
      <c r="C173" s="117">
        <v>7514</v>
      </c>
      <c r="D173" s="117">
        <v>5382</v>
      </c>
      <c r="E173" s="117">
        <f t="shared" si="24"/>
        <v>-2132</v>
      </c>
      <c r="F173" s="98">
        <f t="shared" si="25"/>
        <v>-0.2837370242214533</v>
      </c>
    </row>
    <row r="174" spans="1:6" ht="18" customHeight="1" x14ac:dyDescent="0.25">
      <c r="A174" s="99">
        <v>7</v>
      </c>
      <c r="B174" s="100" t="s">
        <v>118</v>
      </c>
      <c r="C174" s="117">
        <v>12598</v>
      </c>
      <c r="D174" s="117">
        <v>13559</v>
      </c>
      <c r="E174" s="117">
        <f t="shared" si="24"/>
        <v>961</v>
      </c>
      <c r="F174" s="98">
        <f t="shared" si="25"/>
        <v>7.6281949515796157E-2</v>
      </c>
    </row>
    <row r="175" spans="1:6" ht="18" customHeight="1" x14ac:dyDescent="0.25">
      <c r="A175" s="99">
        <v>8</v>
      </c>
      <c r="B175" s="100" t="s">
        <v>119</v>
      </c>
      <c r="C175" s="117">
        <v>940</v>
      </c>
      <c r="D175" s="117">
        <v>901</v>
      </c>
      <c r="E175" s="117">
        <f t="shared" si="24"/>
        <v>-39</v>
      </c>
      <c r="F175" s="98">
        <f t="shared" si="25"/>
        <v>-4.1489361702127657E-2</v>
      </c>
    </row>
    <row r="176" spans="1:6" ht="18" customHeight="1" x14ac:dyDescent="0.25">
      <c r="A176" s="99">
        <v>9</v>
      </c>
      <c r="B176" s="100" t="s">
        <v>120</v>
      </c>
      <c r="C176" s="117">
        <v>4389</v>
      </c>
      <c r="D176" s="117">
        <v>4215</v>
      </c>
      <c r="E176" s="117">
        <f t="shared" si="24"/>
        <v>-174</v>
      </c>
      <c r="F176" s="98">
        <f t="shared" si="25"/>
        <v>-3.9644565960355434E-2</v>
      </c>
    </row>
    <row r="177" spans="1:6" ht="18" customHeight="1" x14ac:dyDescent="0.25">
      <c r="A177" s="99">
        <v>10</v>
      </c>
      <c r="B177" s="100" t="s">
        <v>121</v>
      </c>
      <c r="C177" s="117">
        <v>264</v>
      </c>
      <c r="D177" s="117">
        <v>303</v>
      </c>
      <c r="E177" s="117">
        <f t="shared" si="24"/>
        <v>39</v>
      </c>
      <c r="F177" s="98">
        <f t="shared" si="25"/>
        <v>0.14772727272727273</v>
      </c>
    </row>
    <row r="178" spans="1:6" ht="18" customHeight="1" x14ac:dyDescent="0.25">
      <c r="A178" s="99">
        <v>11</v>
      </c>
      <c r="B178" s="100" t="s">
        <v>122</v>
      </c>
      <c r="C178" s="117">
        <v>2357</v>
      </c>
      <c r="D178" s="117">
        <v>2550</v>
      </c>
      <c r="E178" s="117">
        <f t="shared" si="24"/>
        <v>193</v>
      </c>
      <c r="F178" s="98">
        <f t="shared" si="25"/>
        <v>8.188375053033517E-2</v>
      </c>
    </row>
    <row r="179" spans="1:6" ht="33.75" customHeight="1" x14ac:dyDescent="0.25">
      <c r="A179" s="101"/>
      <c r="B179" s="102" t="s">
        <v>151</v>
      </c>
      <c r="C179" s="118">
        <f>SUM(C168:C178)</f>
        <v>35461</v>
      </c>
      <c r="D179" s="118">
        <f>SUM(D168:D178)</f>
        <v>34887</v>
      </c>
      <c r="E179" s="118">
        <f t="shared" si="24"/>
        <v>-574</v>
      </c>
      <c r="F179" s="104">
        <f t="shared" si="25"/>
        <v>-1.6186796762640648E-2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FILING&amp;RGREENWICH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>
      <selection activeCell="F18" sqref="F18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34682247</v>
      </c>
      <c r="D15" s="146">
        <v>32654133</v>
      </c>
      <c r="E15" s="146">
        <f>+D15-C15</f>
        <v>-2028114</v>
      </c>
      <c r="F15" s="150">
        <f>IF(C15=0,0,E15/C15)</f>
        <v>-5.8477006982852062E-2</v>
      </c>
    </row>
    <row r="16" spans="1:7" ht="15" customHeight="1" x14ac:dyDescent="0.2">
      <c r="A16" s="141">
        <v>2</v>
      </c>
      <c r="B16" s="149" t="s">
        <v>158</v>
      </c>
      <c r="C16" s="146">
        <v>16001525</v>
      </c>
      <c r="D16" s="146">
        <v>16407798</v>
      </c>
      <c r="E16" s="146">
        <f>+D16-C16</f>
        <v>406273</v>
      </c>
      <c r="F16" s="150">
        <f>IF(C16=0,0,E16/C16)</f>
        <v>2.5389642549694481E-2</v>
      </c>
    </row>
    <row r="17" spans="1:7" ht="15" customHeight="1" x14ac:dyDescent="0.2">
      <c r="A17" s="141">
        <v>3</v>
      </c>
      <c r="B17" s="149" t="s">
        <v>159</v>
      </c>
      <c r="C17" s="146">
        <v>71813474</v>
      </c>
      <c r="D17" s="146">
        <v>69278749</v>
      </c>
      <c r="E17" s="146">
        <f>+D17-C17</f>
        <v>-2534725</v>
      </c>
      <c r="F17" s="150">
        <f>IF(C17=0,0,E17/C17)</f>
        <v>-3.5295952957240306E-2</v>
      </c>
    </row>
    <row r="18" spans="1:7" ht="15.75" customHeight="1" x14ac:dyDescent="0.25">
      <c r="A18" s="141"/>
      <c r="B18" s="151" t="s">
        <v>160</v>
      </c>
      <c r="C18" s="147">
        <f>SUM(C15:C17)</f>
        <v>122497246</v>
      </c>
      <c r="D18" s="147">
        <f>SUM(D15:D17)</f>
        <v>118340680</v>
      </c>
      <c r="E18" s="147">
        <f>+D18-C18</f>
        <v>-4156566</v>
      </c>
      <c r="F18" s="148">
        <f>IF(C18=0,0,E18/C18)</f>
        <v>-3.3931913865230895E-2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9364207</v>
      </c>
      <c r="D21" s="146">
        <v>9208466</v>
      </c>
      <c r="E21" s="146">
        <f>+D21-C21</f>
        <v>-155741</v>
      </c>
      <c r="F21" s="150">
        <f>IF(C21=0,0,E21/C21)</f>
        <v>-1.6631520426662931E-2</v>
      </c>
    </row>
    <row r="22" spans="1:7" ht="15" customHeight="1" x14ac:dyDescent="0.2">
      <c r="A22" s="141">
        <v>2</v>
      </c>
      <c r="B22" s="149" t="s">
        <v>163</v>
      </c>
      <c r="C22" s="146">
        <v>4320412</v>
      </c>
      <c r="D22" s="146">
        <v>4626999</v>
      </c>
      <c r="E22" s="146">
        <f>+D22-C22</f>
        <v>306587</v>
      </c>
      <c r="F22" s="150">
        <f>IF(C22=0,0,E22/C22)</f>
        <v>7.0962445248277245E-2</v>
      </c>
    </row>
    <row r="23" spans="1:7" ht="15" customHeight="1" x14ac:dyDescent="0.2">
      <c r="A23" s="141">
        <v>3</v>
      </c>
      <c r="B23" s="149" t="s">
        <v>164</v>
      </c>
      <c r="C23" s="146">
        <v>20460705</v>
      </c>
      <c r="D23" s="146">
        <v>19548935</v>
      </c>
      <c r="E23" s="146">
        <f>+D23-C23</f>
        <v>-911770</v>
      </c>
      <c r="F23" s="150">
        <f>IF(C23=0,0,E23/C23)</f>
        <v>-4.4562003117683387E-2</v>
      </c>
    </row>
    <row r="24" spans="1:7" ht="15.75" customHeight="1" x14ac:dyDescent="0.25">
      <c r="A24" s="141"/>
      <c r="B24" s="151" t="s">
        <v>165</v>
      </c>
      <c r="C24" s="147">
        <f>SUM(C21:C23)</f>
        <v>34145324</v>
      </c>
      <c r="D24" s="147">
        <f>SUM(D21:D23)</f>
        <v>33384400</v>
      </c>
      <c r="E24" s="147">
        <f>+D24-C24</f>
        <v>-760924</v>
      </c>
      <c r="F24" s="148">
        <f>IF(C24=0,0,E24/C24)</f>
        <v>-2.2284866882504906E-2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1485355</v>
      </c>
      <c r="D27" s="146">
        <v>1902661</v>
      </c>
      <c r="E27" s="146">
        <f>+D27-C27</f>
        <v>417306</v>
      </c>
      <c r="F27" s="150">
        <f>IF(C27=0,0,E27/C27)</f>
        <v>0.28094697900501903</v>
      </c>
    </row>
    <row r="28" spans="1:7" ht="15" customHeight="1" x14ac:dyDescent="0.2">
      <c r="A28" s="141">
        <v>2</v>
      </c>
      <c r="B28" s="149" t="s">
        <v>168</v>
      </c>
      <c r="C28" s="146">
        <v>3751612</v>
      </c>
      <c r="D28" s="146">
        <v>3944170</v>
      </c>
      <c r="E28" s="146">
        <f>+D28-C28</f>
        <v>192558</v>
      </c>
      <c r="F28" s="150">
        <f>IF(C28=0,0,E28/C28)</f>
        <v>5.1326736346935666E-2</v>
      </c>
    </row>
    <row r="29" spans="1:7" ht="15" customHeight="1" x14ac:dyDescent="0.2">
      <c r="A29" s="141">
        <v>3</v>
      </c>
      <c r="B29" s="149" t="s">
        <v>169</v>
      </c>
      <c r="C29" s="146">
        <v>585407</v>
      </c>
      <c r="D29" s="146">
        <v>73866</v>
      </c>
      <c r="E29" s="146">
        <f>+D29-C29</f>
        <v>-511541</v>
      </c>
      <c r="F29" s="150">
        <f>IF(C29=0,0,E29/C29)</f>
        <v>-0.87382111932382089</v>
      </c>
    </row>
    <row r="30" spans="1:7" ht="15.75" customHeight="1" x14ac:dyDescent="0.25">
      <c r="A30" s="141"/>
      <c r="B30" s="151" t="s">
        <v>170</v>
      </c>
      <c r="C30" s="147">
        <f>SUM(C27:C29)</f>
        <v>5822374</v>
      </c>
      <c r="D30" s="147">
        <f>SUM(D27:D29)</f>
        <v>5920697</v>
      </c>
      <c r="E30" s="147">
        <f>+D30-C30</f>
        <v>98323</v>
      </c>
      <c r="F30" s="148">
        <f>IF(C30=0,0,E30/C30)</f>
        <v>1.6887097943210107E-2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25437800</v>
      </c>
      <c r="D33" s="146">
        <v>30298702</v>
      </c>
      <c r="E33" s="146">
        <f>+D33-C33</f>
        <v>4860902</v>
      </c>
      <c r="F33" s="150">
        <f>IF(C33=0,0,E33/C33)</f>
        <v>0.19108971687803192</v>
      </c>
    </row>
    <row r="34" spans="1:7" ht="15" customHeight="1" x14ac:dyDescent="0.2">
      <c r="A34" s="141">
        <v>2</v>
      </c>
      <c r="B34" s="149" t="s">
        <v>174</v>
      </c>
      <c r="C34" s="146">
        <v>7507099</v>
      </c>
      <c r="D34" s="146">
        <v>7971856</v>
      </c>
      <c r="E34" s="146">
        <f>+D34-C34</f>
        <v>464757</v>
      </c>
      <c r="F34" s="150">
        <f>IF(C34=0,0,E34/C34)</f>
        <v>6.1909001066856852E-2</v>
      </c>
    </row>
    <row r="35" spans="1:7" ht="15.75" customHeight="1" x14ac:dyDescent="0.25">
      <c r="A35" s="141"/>
      <c r="B35" s="151" t="s">
        <v>175</v>
      </c>
      <c r="C35" s="147">
        <f>SUM(C33:C34)</f>
        <v>32944899</v>
      </c>
      <c r="D35" s="147">
        <f>SUM(D33:D34)</f>
        <v>38270558</v>
      </c>
      <c r="E35" s="147">
        <f>+D35-C35</f>
        <v>5325659</v>
      </c>
      <c r="F35" s="148">
        <f>IF(C35=0,0,E35/C35)</f>
        <v>0.16165352335728819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5241000</v>
      </c>
      <c r="D38" s="146">
        <v>6928177</v>
      </c>
      <c r="E38" s="146">
        <f>+D38-C38</f>
        <v>1687177</v>
      </c>
      <c r="F38" s="150">
        <f>IF(C38=0,0,E38/C38)</f>
        <v>0.32191890860522798</v>
      </c>
    </row>
    <row r="39" spans="1:7" ht="15" customHeight="1" x14ac:dyDescent="0.2">
      <c r="A39" s="141">
        <v>2</v>
      </c>
      <c r="B39" s="149" t="s">
        <v>179</v>
      </c>
      <c r="C39" s="146">
        <v>13774000</v>
      </c>
      <c r="D39" s="146">
        <v>13347230</v>
      </c>
      <c r="E39" s="146">
        <f>+D39-C39</f>
        <v>-426770</v>
      </c>
      <c r="F39" s="150">
        <f>IF(C39=0,0,E39/C39)</f>
        <v>-3.0983737476404819E-2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19015000</v>
      </c>
      <c r="D41" s="147">
        <f>SUM(D38:D40)</f>
        <v>20275407</v>
      </c>
      <c r="E41" s="147">
        <f>+D41-C41</f>
        <v>1260407</v>
      </c>
      <c r="F41" s="148">
        <f>IF(C41=0,0,E41/C41)</f>
        <v>6.6284880357612416E-2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7851000</v>
      </c>
      <c r="D44" s="146">
        <v>10503632</v>
      </c>
      <c r="E44" s="146">
        <f>+D44-C44</f>
        <v>2652632</v>
      </c>
      <c r="F44" s="150">
        <f>IF(C44=0,0,E44/C44)</f>
        <v>0.33787186345688447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669000</v>
      </c>
      <c r="D47" s="146">
        <v>448812</v>
      </c>
      <c r="E47" s="146">
        <f>+D47-C47</f>
        <v>-220188</v>
      </c>
      <c r="F47" s="150">
        <f>IF(C47=0,0,E47/C47)</f>
        <v>-0.32913004484304931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2858541</v>
      </c>
      <c r="D50" s="146">
        <v>2913343</v>
      </c>
      <c r="E50" s="146">
        <f>+D50-C50</f>
        <v>54802</v>
      </c>
      <c r="F50" s="150">
        <f>IF(C50=0,0,E50/C50)</f>
        <v>1.9171318515284544E-2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75508</v>
      </c>
      <c r="D53" s="146">
        <v>78705</v>
      </c>
      <c r="E53" s="146">
        <f t="shared" ref="E53:E59" si="0">+D53-C53</f>
        <v>3197</v>
      </c>
      <c r="F53" s="150">
        <f t="shared" ref="F53:F59" si="1">IF(C53=0,0,E53/C53)</f>
        <v>4.2339884515548022E-2</v>
      </c>
    </row>
    <row r="54" spans="1:7" ht="15" customHeight="1" x14ac:dyDescent="0.2">
      <c r="A54" s="141">
        <v>2</v>
      </c>
      <c r="B54" s="149" t="s">
        <v>193</v>
      </c>
      <c r="C54" s="146">
        <v>853130</v>
      </c>
      <c r="D54" s="146">
        <v>961423</v>
      </c>
      <c r="E54" s="146">
        <f t="shared" si="0"/>
        <v>108293</v>
      </c>
      <c r="F54" s="150">
        <f t="shared" si="1"/>
        <v>0.12693610586897658</v>
      </c>
    </row>
    <row r="55" spans="1:7" ht="15" customHeight="1" x14ac:dyDescent="0.2">
      <c r="A55" s="141">
        <v>3</v>
      </c>
      <c r="B55" s="149" t="s">
        <v>194</v>
      </c>
      <c r="C55" s="146">
        <v>40906</v>
      </c>
      <c r="D55" s="146">
        <v>53649</v>
      </c>
      <c r="E55" s="146">
        <f t="shared" si="0"/>
        <v>12743</v>
      </c>
      <c r="F55" s="150">
        <f t="shared" si="1"/>
        <v>0.31151909255365962</v>
      </c>
    </row>
    <row r="56" spans="1:7" ht="15" customHeight="1" x14ac:dyDescent="0.2">
      <c r="A56" s="141">
        <v>4</v>
      </c>
      <c r="B56" s="149" t="s">
        <v>195</v>
      </c>
      <c r="C56" s="146">
        <v>1585379</v>
      </c>
      <c r="D56" s="146">
        <v>1799570</v>
      </c>
      <c r="E56" s="146">
        <f t="shared" si="0"/>
        <v>214191</v>
      </c>
      <c r="F56" s="150">
        <f t="shared" si="1"/>
        <v>0.13510397198398616</v>
      </c>
    </row>
    <row r="57" spans="1:7" ht="15" customHeight="1" x14ac:dyDescent="0.2">
      <c r="A57" s="141">
        <v>5</v>
      </c>
      <c r="B57" s="149" t="s">
        <v>196</v>
      </c>
      <c r="C57" s="146">
        <v>908700</v>
      </c>
      <c r="D57" s="146">
        <v>842068</v>
      </c>
      <c r="E57" s="146">
        <f t="shared" si="0"/>
        <v>-66632</v>
      </c>
      <c r="F57" s="150">
        <f t="shared" si="1"/>
        <v>-7.3326730494112466E-2</v>
      </c>
    </row>
    <row r="58" spans="1:7" ht="15" customHeight="1" x14ac:dyDescent="0.2">
      <c r="A58" s="141">
        <v>6</v>
      </c>
      <c r="B58" s="149" t="s">
        <v>197</v>
      </c>
      <c r="C58" s="146">
        <v>22713</v>
      </c>
      <c r="D58" s="146">
        <v>30053</v>
      </c>
      <c r="E58" s="146">
        <f t="shared" si="0"/>
        <v>7340</v>
      </c>
      <c r="F58" s="150">
        <f t="shared" si="1"/>
        <v>0.32316294633029541</v>
      </c>
    </row>
    <row r="59" spans="1:7" ht="15.75" customHeight="1" x14ac:dyDescent="0.25">
      <c r="A59" s="141"/>
      <c r="B59" s="151" t="s">
        <v>198</v>
      </c>
      <c r="C59" s="147">
        <f>SUM(C53:C58)</f>
        <v>3486336</v>
      </c>
      <c r="D59" s="147">
        <f>SUM(D53:D58)</f>
        <v>3765468</v>
      </c>
      <c r="E59" s="147">
        <f t="shared" si="0"/>
        <v>279132</v>
      </c>
      <c r="F59" s="148">
        <f t="shared" si="1"/>
        <v>8.0064572089437167E-2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254004</v>
      </c>
      <c r="D62" s="146">
        <v>248000</v>
      </c>
      <c r="E62" s="146">
        <f t="shared" ref="E62:E78" si="2">+D62-C62</f>
        <v>-6004</v>
      </c>
      <c r="F62" s="150">
        <f t="shared" ref="F62:F78" si="3">IF(C62=0,0,E62/C62)</f>
        <v>-2.3637423032708146E-2</v>
      </c>
    </row>
    <row r="63" spans="1:7" ht="15" customHeight="1" x14ac:dyDescent="0.2">
      <c r="A63" s="141">
        <v>2</v>
      </c>
      <c r="B63" s="149" t="s">
        <v>202</v>
      </c>
      <c r="C63" s="146">
        <v>672440</v>
      </c>
      <c r="D63" s="146">
        <v>682303</v>
      </c>
      <c r="E63" s="146">
        <f t="shared" si="2"/>
        <v>9863</v>
      </c>
      <c r="F63" s="150">
        <f t="shared" si="3"/>
        <v>1.4667479626435073E-2</v>
      </c>
    </row>
    <row r="64" spans="1:7" ht="15" customHeight="1" x14ac:dyDescent="0.2">
      <c r="A64" s="141">
        <v>3</v>
      </c>
      <c r="B64" s="149" t="s">
        <v>203</v>
      </c>
      <c r="C64" s="146">
        <v>3769768</v>
      </c>
      <c r="D64" s="146">
        <v>1678120</v>
      </c>
      <c r="E64" s="146">
        <f t="shared" si="2"/>
        <v>-2091648</v>
      </c>
      <c r="F64" s="150">
        <f t="shared" si="3"/>
        <v>-0.55484793759191542</v>
      </c>
    </row>
    <row r="65" spans="1:7" ht="15" customHeight="1" x14ac:dyDescent="0.2">
      <c r="A65" s="141">
        <v>4</v>
      </c>
      <c r="B65" s="149" t="s">
        <v>204</v>
      </c>
      <c r="C65" s="146">
        <v>392697</v>
      </c>
      <c r="D65" s="146">
        <v>429654</v>
      </c>
      <c r="E65" s="146">
        <f t="shared" si="2"/>
        <v>36957</v>
      </c>
      <c r="F65" s="150">
        <f t="shared" si="3"/>
        <v>9.4110726590730262E-2</v>
      </c>
    </row>
    <row r="66" spans="1:7" ht="15" customHeight="1" x14ac:dyDescent="0.2">
      <c r="A66" s="141">
        <v>5</v>
      </c>
      <c r="B66" s="149" t="s">
        <v>205</v>
      </c>
      <c r="C66" s="146">
        <v>896963</v>
      </c>
      <c r="D66" s="146">
        <v>951909</v>
      </c>
      <c r="E66" s="146">
        <f t="shared" si="2"/>
        <v>54946</v>
      </c>
      <c r="F66" s="150">
        <f t="shared" si="3"/>
        <v>6.1257822229010564E-2</v>
      </c>
    </row>
    <row r="67" spans="1:7" ht="15" customHeight="1" x14ac:dyDescent="0.2">
      <c r="A67" s="141">
        <v>6</v>
      </c>
      <c r="B67" s="149" t="s">
        <v>206</v>
      </c>
      <c r="C67" s="146">
        <v>4965037</v>
      </c>
      <c r="D67" s="146">
        <v>4992797</v>
      </c>
      <c r="E67" s="146">
        <f t="shared" si="2"/>
        <v>27760</v>
      </c>
      <c r="F67" s="150">
        <f t="shared" si="3"/>
        <v>5.5910962999872913E-3</v>
      </c>
    </row>
    <row r="68" spans="1:7" ht="15" customHeight="1" x14ac:dyDescent="0.2">
      <c r="A68" s="141">
        <v>7</v>
      </c>
      <c r="B68" s="149" t="s">
        <v>207</v>
      </c>
      <c r="C68" s="146">
        <v>1223574</v>
      </c>
      <c r="D68" s="146">
        <v>925517</v>
      </c>
      <c r="E68" s="146">
        <f t="shared" si="2"/>
        <v>-298057</v>
      </c>
      <c r="F68" s="150">
        <f t="shared" si="3"/>
        <v>-0.24359540166757385</v>
      </c>
    </row>
    <row r="69" spans="1:7" ht="15" customHeight="1" x14ac:dyDescent="0.2">
      <c r="A69" s="141">
        <v>8</v>
      </c>
      <c r="B69" s="149" t="s">
        <v>208</v>
      </c>
      <c r="C69" s="146">
        <v>454182</v>
      </c>
      <c r="D69" s="146">
        <v>422590</v>
      </c>
      <c r="E69" s="146">
        <f t="shared" si="2"/>
        <v>-31592</v>
      </c>
      <c r="F69" s="150">
        <f t="shared" si="3"/>
        <v>-6.9558018591665896E-2</v>
      </c>
    </row>
    <row r="70" spans="1:7" ht="15" customHeight="1" x14ac:dyDescent="0.2">
      <c r="A70" s="141">
        <v>9</v>
      </c>
      <c r="B70" s="149" t="s">
        <v>209</v>
      </c>
      <c r="C70" s="146">
        <v>98478</v>
      </c>
      <c r="D70" s="146">
        <v>64416</v>
      </c>
      <c r="E70" s="146">
        <f t="shared" si="2"/>
        <v>-34062</v>
      </c>
      <c r="F70" s="150">
        <f t="shared" si="3"/>
        <v>-0.34588435995856942</v>
      </c>
    </row>
    <row r="71" spans="1:7" ht="15" customHeight="1" x14ac:dyDescent="0.2">
      <c r="A71" s="141">
        <v>10</v>
      </c>
      <c r="B71" s="149" t="s">
        <v>210</v>
      </c>
      <c r="C71" s="146">
        <v>332733</v>
      </c>
      <c r="D71" s="146">
        <v>318185</v>
      </c>
      <c r="E71" s="146">
        <f t="shared" si="2"/>
        <v>-14548</v>
      </c>
      <c r="F71" s="150">
        <f t="shared" si="3"/>
        <v>-4.3722744663138309E-2</v>
      </c>
    </row>
    <row r="72" spans="1:7" ht="15" customHeight="1" x14ac:dyDescent="0.2">
      <c r="A72" s="141">
        <v>11</v>
      </c>
      <c r="B72" s="149" t="s">
        <v>211</v>
      </c>
      <c r="C72" s="146">
        <v>18674</v>
      </c>
      <c r="D72" s="146">
        <v>98302</v>
      </c>
      <c r="E72" s="146">
        <f t="shared" si="2"/>
        <v>79628</v>
      </c>
      <c r="F72" s="150">
        <f t="shared" si="3"/>
        <v>4.2641105280068548</v>
      </c>
    </row>
    <row r="73" spans="1:7" ht="15" customHeight="1" x14ac:dyDescent="0.2">
      <c r="A73" s="141">
        <v>12</v>
      </c>
      <c r="B73" s="149" t="s">
        <v>212</v>
      </c>
      <c r="C73" s="146">
        <v>5380379</v>
      </c>
      <c r="D73" s="146">
        <v>5853924</v>
      </c>
      <c r="E73" s="146">
        <f t="shared" si="2"/>
        <v>473545</v>
      </c>
      <c r="F73" s="150">
        <f t="shared" si="3"/>
        <v>8.8013316534021113E-2</v>
      </c>
    </row>
    <row r="74" spans="1:7" ht="15" customHeight="1" x14ac:dyDescent="0.2">
      <c r="A74" s="141">
        <v>13</v>
      </c>
      <c r="B74" s="149" t="s">
        <v>213</v>
      </c>
      <c r="C74" s="146">
        <v>339134</v>
      </c>
      <c r="D74" s="146">
        <v>362321</v>
      </c>
      <c r="E74" s="146">
        <f t="shared" si="2"/>
        <v>23187</v>
      </c>
      <c r="F74" s="150">
        <f t="shared" si="3"/>
        <v>6.8371204302724004E-2</v>
      </c>
    </row>
    <row r="75" spans="1:7" ht="15" customHeight="1" x14ac:dyDescent="0.2">
      <c r="A75" s="141">
        <v>14</v>
      </c>
      <c r="B75" s="149" t="s">
        <v>214</v>
      </c>
      <c r="C75" s="146">
        <v>613060</v>
      </c>
      <c r="D75" s="146">
        <v>623032</v>
      </c>
      <c r="E75" s="146">
        <f t="shared" si="2"/>
        <v>9972</v>
      </c>
      <c r="F75" s="150">
        <f t="shared" si="3"/>
        <v>1.6265944605748213E-2</v>
      </c>
    </row>
    <row r="76" spans="1:7" ht="15" customHeight="1" x14ac:dyDescent="0.2">
      <c r="A76" s="141">
        <v>15</v>
      </c>
      <c r="B76" s="149" t="s">
        <v>215</v>
      </c>
      <c r="C76" s="146">
        <v>1233756</v>
      </c>
      <c r="D76" s="146">
        <v>1417454</v>
      </c>
      <c r="E76" s="146">
        <f t="shared" si="2"/>
        <v>183698</v>
      </c>
      <c r="F76" s="150">
        <f t="shared" si="3"/>
        <v>0.14889329818862077</v>
      </c>
    </row>
    <row r="77" spans="1:7" ht="15" customHeight="1" x14ac:dyDescent="0.2">
      <c r="A77" s="141">
        <v>16</v>
      </c>
      <c r="B77" s="149" t="s">
        <v>216</v>
      </c>
      <c r="C77" s="146">
        <v>33212693</v>
      </c>
      <c r="D77" s="146">
        <v>34231321</v>
      </c>
      <c r="E77" s="146">
        <f t="shared" si="2"/>
        <v>1018628</v>
      </c>
      <c r="F77" s="150">
        <f t="shared" si="3"/>
        <v>3.0669840593775397E-2</v>
      </c>
    </row>
    <row r="78" spans="1:7" ht="15.75" customHeight="1" x14ac:dyDescent="0.25">
      <c r="A78" s="141"/>
      <c r="B78" s="151" t="s">
        <v>217</v>
      </c>
      <c r="C78" s="147">
        <f>SUM(C62:C77)</f>
        <v>53857572</v>
      </c>
      <c r="D78" s="147">
        <f>SUM(D62:D77)</f>
        <v>53299845</v>
      </c>
      <c r="E78" s="147">
        <f t="shared" si="2"/>
        <v>-557727</v>
      </c>
      <c r="F78" s="148">
        <f t="shared" si="3"/>
        <v>-1.0355591224944193E-2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384708</v>
      </c>
      <c r="D81" s="146">
        <v>407915</v>
      </c>
      <c r="E81" s="146">
        <f>+D81-C81</f>
        <v>23207</v>
      </c>
      <c r="F81" s="150">
        <f>IF(C81=0,0,E81/C81)</f>
        <v>6.0323674059286521E-2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283532000</v>
      </c>
      <c r="D83" s="147">
        <f>+D81+D78+D59+D50+D47+D44+D41+D35+D30+D24+D18</f>
        <v>287530757</v>
      </c>
      <c r="E83" s="147">
        <f>+D83-C83</f>
        <v>3998757</v>
      </c>
      <c r="F83" s="148">
        <f>IF(C83=0,0,E83/C83)</f>
        <v>1.4103371048065121E-2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64416677</v>
      </c>
      <c r="D91" s="146">
        <v>61800916</v>
      </c>
      <c r="E91" s="146">
        <f t="shared" ref="E91:E109" si="4">D91-C91</f>
        <v>-2615761</v>
      </c>
      <c r="F91" s="150">
        <f t="shared" ref="F91:F109" si="5">IF(C91=0,0,E91/C91)</f>
        <v>-4.060689128686349E-2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5298276</v>
      </c>
      <c r="D92" s="146">
        <v>5545226</v>
      </c>
      <c r="E92" s="146">
        <f t="shared" si="4"/>
        <v>246950</v>
      </c>
      <c r="F92" s="150">
        <f t="shared" si="5"/>
        <v>4.6609500901802776E-2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4434606</v>
      </c>
      <c r="D93" s="146">
        <v>4578028</v>
      </c>
      <c r="E93" s="146">
        <f t="shared" si="4"/>
        <v>143422</v>
      </c>
      <c r="F93" s="150">
        <f t="shared" si="5"/>
        <v>3.2341542856343948E-2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2728628</v>
      </c>
      <c r="D94" s="146">
        <v>2104352</v>
      </c>
      <c r="E94" s="146">
        <f t="shared" si="4"/>
        <v>-624276</v>
      </c>
      <c r="F94" s="150">
        <f t="shared" si="5"/>
        <v>-0.22878750786109356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7356946</v>
      </c>
      <c r="D95" s="146">
        <v>7292069</v>
      </c>
      <c r="E95" s="146">
        <f t="shared" si="4"/>
        <v>-64877</v>
      </c>
      <c r="F95" s="150">
        <f t="shared" si="5"/>
        <v>-8.8184689679657834E-3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2030393</v>
      </c>
      <c r="D97" s="146">
        <v>1971888</v>
      </c>
      <c r="E97" s="146">
        <f t="shared" si="4"/>
        <v>-58505</v>
      </c>
      <c r="F97" s="150">
        <f t="shared" si="5"/>
        <v>-2.8814618647719923E-2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3197788</v>
      </c>
      <c r="D98" s="146">
        <v>3450703</v>
      </c>
      <c r="E98" s="146">
        <f t="shared" si="4"/>
        <v>252915</v>
      </c>
      <c r="F98" s="150">
        <f t="shared" si="5"/>
        <v>7.9090608883390645E-2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617550</v>
      </c>
      <c r="D99" s="146">
        <v>774258</v>
      </c>
      <c r="E99" s="146">
        <f t="shared" si="4"/>
        <v>156708</v>
      </c>
      <c r="F99" s="150">
        <f t="shared" si="5"/>
        <v>0.25375759047850377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5139712</v>
      </c>
      <c r="D100" s="146">
        <v>4803647</v>
      </c>
      <c r="E100" s="146">
        <f t="shared" si="4"/>
        <v>-336065</v>
      </c>
      <c r="F100" s="150">
        <f t="shared" si="5"/>
        <v>-6.5385959368929616E-2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2639745</v>
      </c>
      <c r="D101" s="146">
        <v>2429728</v>
      </c>
      <c r="E101" s="146">
        <f t="shared" si="4"/>
        <v>-210017</v>
      </c>
      <c r="F101" s="150">
        <f t="shared" si="5"/>
        <v>-7.9559578671424699E-2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987019</v>
      </c>
      <c r="D102" s="146">
        <v>1135728</v>
      </c>
      <c r="E102" s="146">
        <f t="shared" si="4"/>
        <v>148709</v>
      </c>
      <c r="F102" s="150">
        <f t="shared" si="5"/>
        <v>0.15066477950272486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4315538</v>
      </c>
      <c r="D103" s="146">
        <v>4027415</v>
      </c>
      <c r="E103" s="146">
        <f t="shared" si="4"/>
        <v>-288123</v>
      </c>
      <c r="F103" s="150">
        <f t="shared" si="5"/>
        <v>-6.6764097547049747E-2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1656834</v>
      </c>
      <c r="D104" s="146">
        <v>1619763</v>
      </c>
      <c r="E104" s="146">
        <f t="shared" si="4"/>
        <v>-37071</v>
      </c>
      <c r="F104" s="150">
        <f t="shared" si="5"/>
        <v>-2.2374601197223138E-2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3452120</v>
      </c>
      <c r="D105" s="146">
        <v>3353032</v>
      </c>
      <c r="E105" s="146">
        <f t="shared" si="4"/>
        <v>-99088</v>
      </c>
      <c r="F105" s="150">
        <f t="shared" si="5"/>
        <v>-2.8703521314438665E-2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2384851</v>
      </c>
      <c r="D106" s="146">
        <v>1353247</v>
      </c>
      <c r="E106" s="146">
        <f t="shared" si="4"/>
        <v>-1031604</v>
      </c>
      <c r="F106" s="150">
        <f t="shared" si="5"/>
        <v>-0.43256538878110207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9904872</v>
      </c>
      <c r="D107" s="146">
        <v>9983865</v>
      </c>
      <c r="E107" s="146">
        <f t="shared" si="4"/>
        <v>78993</v>
      </c>
      <c r="F107" s="150">
        <f t="shared" si="5"/>
        <v>7.9751661606530608E-3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1928065</v>
      </c>
      <c r="D108" s="146">
        <v>1543525</v>
      </c>
      <c r="E108" s="146">
        <f t="shared" si="4"/>
        <v>-384540</v>
      </c>
      <c r="F108" s="150">
        <f t="shared" si="5"/>
        <v>-0.19944348349251712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122489620</v>
      </c>
      <c r="D109" s="147">
        <f>SUM(D91:D108)</f>
        <v>117767390</v>
      </c>
      <c r="E109" s="147">
        <f t="shared" si="4"/>
        <v>-4722230</v>
      </c>
      <c r="F109" s="148">
        <f t="shared" si="5"/>
        <v>-3.8552083025484116E-2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810232</v>
      </c>
      <c r="D112" s="146">
        <v>807571</v>
      </c>
      <c r="E112" s="146">
        <f t="shared" ref="E112:E118" si="6">D112-C112</f>
        <v>-2661</v>
      </c>
      <c r="F112" s="150">
        <f t="shared" ref="F112:F118" si="7">IF(C112=0,0,E112/C112)</f>
        <v>-3.2842445126827872E-3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2329975</v>
      </c>
      <c r="D113" s="146">
        <v>2239846</v>
      </c>
      <c r="E113" s="146">
        <f t="shared" si="6"/>
        <v>-90129</v>
      </c>
      <c r="F113" s="150">
        <f t="shared" si="7"/>
        <v>-3.8682389296022489E-2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1148464</v>
      </c>
      <c r="D114" s="146">
        <v>1005422</v>
      </c>
      <c r="E114" s="146">
        <f t="shared" si="6"/>
        <v>-143042</v>
      </c>
      <c r="F114" s="150">
        <f t="shared" si="7"/>
        <v>-0.12455070424497415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2561492</v>
      </c>
      <c r="D115" s="146">
        <v>2559884</v>
      </c>
      <c r="E115" s="146">
        <f t="shared" si="6"/>
        <v>-1608</v>
      </c>
      <c r="F115" s="150">
        <f t="shared" si="7"/>
        <v>-6.277591341296401E-4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1922093</v>
      </c>
      <c r="D116" s="146">
        <v>1984260</v>
      </c>
      <c r="E116" s="146">
        <f t="shared" si="6"/>
        <v>62167</v>
      </c>
      <c r="F116" s="150">
        <f t="shared" si="7"/>
        <v>3.2343388171123873E-2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1973972</v>
      </c>
      <c r="D117" s="146">
        <v>1964850</v>
      </c>
      <c r="E117" s="146">
        <f t="shared" si="6"/>
        <v>-9122</v>
      </c>
      <c r="F117" s="150">
        <f t="shared" si="7"/>
        <v>-4.6211395095776438E-3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10746228</v>
      </c>
      <c r="D118" s="147">
        <f>SUM(D112:D117)</f>
        <v>10561833</v>
      </c>
      <c r="E118" s="147">
        <f t="shared" si="6"/>
        <v>-184395</v>
      </c>
      <c r="F118" s="148">
        <f t="shared" si="7"/>
        <v>-1.7159044085050121E-2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19958970</v>
      </c>
      <c r="D121" s="146">
        <v>23103408</v>
      </c>
      <c r="E121" s="146">
        <f t="shared" ref="E121:E155" si="8">D121-C121</f>
        <v>3144438</v>
      </c>
      <c r="F121" s="150">
        <f t="shared" ref="F121:F155" si="9">IF(C121=0,0,E121/C121)</f>
        <v>0.15754510378040551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1183345</v>
      </c>
      <c r="D122" s="146">
        <v>1191739</v>
      </c>
      <c r="E122" s="146">
        <f t="shared" si="8"/>
        <v>8394</v>
      </c>
      <c r="F122" s="150">
        <f t="shared" si="9"/>
        <v>7.0934511913262827E-3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728872</v>
      </c>
      <c r="D123" s="146">
        <v>1169645</v>
      </c>
      <c r="E123" s="146">
        <f t="shared" si="8"/>
        <v>440773</v>
      </c>
      <c r="F123" s="150">
        <f t="shared" si="9"/>
        <v>0.6047330669856984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5278005</v>
      </c>
      <c r="D124" s="146">
        <v>5270821</v>
      </c>
      <c r="E124" s="146">
        <f t="shared" si="8"/>
        <v>-7184</v>
      </c>
      <c r="F124" s="150">
        <f t="shared" si="9"/>
        <v>-1.3611203475555631E-3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5684493</v>
      </c>
      <c r="D125" s="146">
        <v>5120654</v>
      </c>
      <c r="E125" s="146">
        <f t="shared" si="8"/>
        <v>-563839</v>
      </c>
      <c r="F125" s="150">
        <f t="shared" si="9"/>
        <v>-9.9188969007438302E-2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2088717</v>
      </c>
      <c r="D126" s="146">
        <v>1966544</v>
      </c>
      <c r="E126" s="146">
        <f t="shared" si="8"/>
        <v>-122173</v>
      </c>
      <c r="F126" s="150">
        <f t="shared" si="9"/>
        <v>-5.8491887603729947E-2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3455737</v>
      </c>
      <c r="D127" s="146">
        <v>3874456</v>
      </c>
      <c r="E127" s="146">
        <f t="shared" si="8"/>
        <v>418719</v>
      </c>
      <c r="F127" s="150">
        <f t="shared" si="9"/>
        <v>0.1211663387578395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793084</v>
      </c>
      <c r="D128" s="146">
        <v>810989</v>
      </c>
      <c r="E128" s="146">
        <f t="shared" si="8"/>
        <v>17905</v>
      </c>
      <c r="F128" s="150">
        <f t="shared" si="9"/>
        <v>2.2576423178377068E-2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1354689</v>
      </c>
      <c r="D129" s="146">
        <v>1607133</v>
      </c>
      <c r="E129" s="146">
        <f t="shared" si="8"/>
        <v>252444</v>
      </c>
      <c r="F129" s="150">
        <f t="shared" si="9"/>
        <v>0.18634830577350225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13942337</v>
      </c>
      <c r="D130" s="146">
        <v>17596197</v>
      </c>
      <c r="E130" s="146">
        <f t="shared" si="8"/>
        <v>3653860</v>
      </c>
      <c r="F130" s="150">
        <f t="shared" si="9"/>
        <v>0.26206940773272086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1474996</v>
      </c>
      <c r="D131" s="146">
        <v>1657247</v>
      </c>
      <c r="E131" s="146">
        <f t="shared" si="8"/>
        <v>182251</v>
      </c>
      <c r="F131" s="150">
        <f t="shared" si="9"/>
        <v>0.12356033507887479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1175623</v>
      </c>
      <c r="D132" s="146">
        <v>2545146</v>
      </c>
      <c r="E132" s="146">
        <f t="shared" si="8"/>
        <v>1369523</v>
      </c>
      <c r="F132" s="150">
        <f t="shared" si="9"/>
        <v>1.1649338265753562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366732</v>
      </c>
      <c r="D133" s="146">
        <v>199153</v>
      </c>
      <c r="E133" s="146">
        <f t="shared" si="8"/>
        <v>-167579</v>
      </c>
      <c r="F133" s="150">
        <f t="shared" si="9"/>
        <v>-0.45695221578700523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1159252</v>
      </c>
      <c r="D134" s="146">
        <v>1125610</v>
      </c>
      <c r="E134" s="146">
        <f t="shared" si="8"/>
        <v>-33642</v>
      </c>
      <c r="F134" s="150">
        <f t="shared" si="9"/>
        <v>-2.9020437316476487E-2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1714799</v>
      </c>
      <c r="D135" s="146">
        <v>1543233</v>
      </c>
      <c r="E135" s="146">
        <f t="shared" si="8"/>
        <v>-171566</v>
      </c>
      <c r="F135" s="150">
        <f t="shared" si="9"/>
        <v>-0.10005020996629926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402670</v>
      </c>
      <c r="D136" s="146">
        <v>433796</v>
      </c>
      <c r="E136" s="146">
        <f t="shared" si="8"/>
        <v>31126</v>
      </c>
      <c r="F136" s="150">
        <f t="shared" si="9"/>
        <v>7.7299028981548168E-2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100676</v>
      </c>
      <c r="D137" s="146">
        <v>112782</v>
      </c>
      <c r="E137" s="146">
        <f t="shared" si="8"/>
        <v>12106</v>
      </c>
      <c r="F137" s="150">
        <f t="shared" si="9"/>
        <v>0.12024712940522071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2316978</v>
      </c>
      <c r="D138" s="146">
        <v>2304304</v>
      </c>
      <c r="E138" s="146">
        <f t="shared" si="8"/>
        <v>-12674</v>
      </c>
      <c r="F138" s="150">
        <f t="shared" si="9"/>
        <v>-5.4700562543105718E-3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395779</v>
      </c>
      <c r="D139" s="146">
        <v>416432</v>
      </c>
      <c r="E139" s="146">
        <f t="shared" si="8"/>
        <v>20653</v>
      </c>
      <c r="F139" s="150">
        <f t="shared" si="9"/>
        <v>5.2183162825718395E-2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936743</v>
      </c>
      <c r="D140" s="146">
        <v>1385777</v>
      </c>
      <c r="E140" s="146">
        <f t="shared" si="8"/>
        <v>449034</v>
      </c>
      <c r="F140" s="150">
        <f t="shared" si="9"/>
        <v>0.47935666452805092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311378</v>
      </c>
      <c r="D143" s="146">
        <v>305549</v>
      </c>
      <c r="E143" s="146">
        <f t="shared" si="8"/>
        <v>-5829</v>
      </c>
      <c r="F143" s="150">
        <f t="shared" si="9"/>
        <v>-1.8720012332277811E-2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10167945</v>
      </c>
      <c r="D144" s="146">
        <v>10387832</v>
      </c>
      <c r="E144" s="146">
        <f t="shared" si="8"/>
        <v>219887</v>
      </c>
      <c r="F144" s="150">
        <f t="shared" si="9"/>
        <v>2.1625510366155599E-2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1216755</v>
      </c>
      <c r="D145" s="146">
        <v>1141895</v>
      </c>
      <c r="E145" s="146">
        <f t="shared" si="8"/>
        <v>-74860</v>
      </c>
      <c r="F145" s="150">
        <f t="shared" si="9"/>
        <v>-6.152430029052685E-2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485855</v>
      </c>
      <c r="D146" s="146">
        <v>484487</v>
      </c>
      <c r="E146" s="146">
        <f t="shared" si="8"/>
        <v>-1368</v>
      </c>
      <c r="F146" s="150">
        <f t="shared" si="9"/>
        <v>-2.8156548764549094E-3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1980130</v>
      </c>
      <c r="D148" s="146">
        <v>2017280</v>
      </c>
      <c r="E148" s="146">
        <f t="shared" si="8"/>
        <v>37150</v>
      </c>
      <c r="F148" s="150">
        <f t="shared" si="9"/>
        <v>1.8761394453899492E-2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75323</v>
      </c>
      <c r="D150" s="146">
        <v>55467</v>
      </c>
      <c r="E150" s="146">
        <f t="shared" si="8"/>
        <v>-19856</v>
      </c>
      <c r="F150" s="150">
        <f t="shared" si="9"/>
        <v>-0.26361138032207959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1140254</v>
      </c>
      <c r="D151" s="146">
        <v>1095966</v>
      </c>
      <c r="E151" s="146">
        <f t="shared" si="8"/>
        <v>-44288</v>
      </c>
      <c r="F151" s="150">
        <f t="shared" si="9"/>
        <v>-3.8840468877986832E-2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2002899</v>
      </c>
      <c r="D152" s="146">
        <v>3010087</v>
      </c>
      <c r="E152" s="146">
        <f t="shared" si="8"/>
        <v>1007188</v>
      </c>
      <c r="F152" s="150">
        <f t="shared" si="9"/>
        <v>0.50286509704183791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302250</v>
      </c>
      <c r="D153" s="146">
        <v>322872</v>
      </c>
      <c r="E153" s="146">
        <f t="shared" si="8"/>
        <v>20622</v>
      </c>
      <c r="F153" s="150">
        <f t="shared" si="9"/>
        <v>6.8228287841191074E-2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2199683</v>
      </c>
      <c r="D154" s="146">
        <v>2355885</v>
      </c>
      <c r="E154" s="146">
        <f t="shared" si="8"/>
        <v>156202</v>
      </c>
      <c r="F154" s="150">
        <f t="shared" si="9"/>
        <v>7.1011141150793086E-2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84394969</v>
      </c>
      <c r="D155" s="147">
        <f>SUM(D121:D154)</f>
        <v>94612386</v>
      </c>
      <c r="E155" s="147">
        <f t="shared" si="8"/>
        <v>10217417</v>
      </c>
      <c r="F155" s="148">
        <f t="shared" si="9"/>
        <v>0.12106665979105935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15624499</v>
      </c>
      <c r="D158" s="146">
        <v>16314597</v>
      </c>
      <c r="E158" s="146">
        <f t="shared" ref="E158:E171" si="10">D158-C158</f>
        <v>690098</v>
      </c>
      <c r="F158" s="150">
        <f t="shared" ref="F158:F171" si="11">IF(C158=0,0,E158/C158)</f>
        <v>4.4167688192754212E-2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2550541</v>
      </c>
      <c r="D159" s="146">
        <v>2582318</v>
      </c>
      <c r="E159" s="146">
        <f t="shared" si="10"/>
        <v>31777</v>
      </c>
      <c r="F159" s="150">
        <f t="shared" si="11"/>
        <v>1.2458925380928987E-2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1128820</v>
      </c>
      <c r="D161" s="146">
        <v>1123684</v>
      </c>
      <c r="E161" s="146">
        <f t="shared" si="10"/>
        <v>-5136</v>
      </c>
      <c r="F161" s="150">
        <f t="shared" si="11"/>
        <v>-4.5498839496110983E-3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1685947</v>
      </c>
      <c r="D162" s="146">
        <v>1282167</v>
      </c>
      <c r="E162" s="146">
        <f t="shared" si="10"/>
        <v>-403780</v>
      </c>
      <c r="F162" s="150">
        <f t="shared" si="11"/>
        <v>-0.23949744564924047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3245931</v>
      </c>
      <c r="D163" s="146">
        <v>3197090</v>
      </c>
      <c r="E163" s="146">
        <f t="shared" si="10"/>
        <v>-48841</v>
      </c>
      <c r="F163" s="150">
        <f t="shared" si="11"/>
        <v>-1.5046838641979759E-2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1284985</v>
      </c>
      <c r="D164" s="146">
        <v>1226010</v>
      </c>
      <c r="E164" s="146">
        <f t="shared" si="10"/>
        <v>-58975</v>
      </c>
      <c r="F164" s="150">
        <f t="shared" si="11"/>
        <v>-4.5895477379113377E-2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2432864</v>
      </c>
      <c r="D165" s="146">
        <v>2411353</v>
      </c>
      <c r="E165" s="146">
        <f t="shared" si="10"/>
        <v>-21511</v>
      </c>
      <c r="F165" s="150">
        <f t="shared" si="11"/>
        <v>-8.8418423717889702E-3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4247245</v>
      </c>
      <c r="D167" s="146">
        <v>4800199</v>
      </c>
      <c r="E167" s="146">
        <f t="shared" si="10"/>
        <v>552954</v>
      </c>
      <c r="F167" s="150">
        <f t="shared" si="11"/>
        <v>0.13019121807195017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745777</v>
      </c>
      <c r="D168" s="146">
        <v>794355</v>
      </c>
      <c r="E168" s="146">
        <f t="shared" si="10"/>
        <v>48578</v>
      </c>
      <c r="F168" s="150">
        <f t="shared" si="11"/>
        <v>6.5137433844165218E-2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4333409</v>
      </c>
      <c r="D169" s="146">
        <v>4108242</v>
      </c>
      <c r="E169" s="146">
        <f t="shared" si="10"/>
        <v>-225167</v>
      </c>
      <c r="F169" s="150">
        <f t="shared" si="11"/>
        <v>-5.1960708070712916E-2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2235189</v>
      </c>
      <c r="D170" s="146">
        <v>1741236</v>
      </c>
      <c r="E170" s="146">
        <f t="shared" si="10"/>
        <v>-493953</v>
      </c>
      <c r="F170" s="150">
        <f t="shared" si="11"/>
        <v>-0.22098936599992217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39515207</v>
      </c>
      <c r="D171" s="147">
        <f>SUM(D158:D170)</f>
        <v>39581251</v>
      </c>
      <c r="E171" s="147">
        <f t="shared" si="10"/>
        <v>66044</v>
      </c>
      <c r="F171" s="148">
        <f t="shared" si="11"/>
        <v>1.6713565488850912E-3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26385976</v>
      </c>
      <c r="D174" s="146">
        <v>25007897</v>
      </c>
      <c r="E174" s="146">
        <f>D174-C174</f>
        <v>-1378079</v>
      </c>
      <c r="F174" s="150">
        <f>IF(C174=0,0,E174/C174)</f>
        <v>-5.2227706111761793E-2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283532000</v>
      </c>
      <c r="D176" s="147">
        <f>+D174+D171+D155+D118+D109</f>
        <v>287530757</v>
      </c>
      <c r="E176" s="147">
        <f>D176-C176</f>
        <v>3998757</v>
      </c>
      <c r="F176" s="148">
        <f>IF(C176=0,0,E176/C176)</f>
        <v>1.4103371048065121E-2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FILING&amp;RGREENWICH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263093000</v>
      </c>
      <c r="D11" s="164">
        <v>269158231</v>
      </c>
      <c r="E11" s="51">
        <v>279086000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21552000</v>
      </c>
      <c r="D12" s="49">
        <v>24947769</v>
      </c>
      <c r="E12" s="49">
        <v>21807197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284645000</v>
      </c>
      <c r="D13" s="51">
        <f>+D11+D12</f>
        <v>294106000</v>
      </c>
      <c r="E13" s="51">
        <f>+E11+E12</f>
        <v>300893197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278268000</v>
      </c>
      <c r="D14" s="49">
        <v>283532000</v>
      </c>
      <c r="E14" s="49">
        <v>287530757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6377000</v>
      </c>
      <c r="D15" s="51">
        <f>+D13-D14</f>
        <v>10574000</v>
      </c>
      <c r="E15" s="51">
        <f>+E13-E14</f>
        <v>13362440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-15899000</v>
      </c>
      <c r="D16" s="49">
        <v>-1092000</v>
      </c>
      <c r="E16" s="49">
        <v>-369000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-9522000</v>
      </c>
      <c r="D17" s="51">
        <f>D15+D16</f>
        <v>9482000</v>
      </c>
      <c r="E17" s="51">
        <f>E15+E16</f>
        <v>12993440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2.3728725264748125E-2</v>
      </c>
      <c r="D20" s="169">
        <f>IF(+D27=0,0,+D24/+D27)</f>
        <v>3.6087012907233103E-2</v>
      </c>
      <c r="E20" s="169">
        <f>IF(+E27=0,0,+E24/+E27)</f>
        <v>4.4463774076734325E-2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-5.9159950287632185E-2</v>
      </c>
      <c r="D21" s="169">
        <f>IF(D27=0,0,+D26/D27)</f>
        <v>-3.7267843857290094E-3</v>
      </c>
      <c r="E21" s="169">
        <f>IF(E27=0,0,+E26/E27)</f>
        <v>-1.2278545411103785E-3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-3.5431225022884059E-2</v>
      </c>
      <c r="D22" s="169">
        <f>IF(D27=0,0,+D28/D27)</f>
        <v>3.2360228521504095E-2</v>
      </c>
      <c r="E22" s="169">
        <f>IF(E27=0,0,+E28/E27)</f>
        <v>4.3235919535623946E-2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6377000</v>
      </c>
      <c r="D24" s="51">
        <f>+D15</f>
        <v>10574000</v>
      </c>
      <c r="E24" s="51">
        <f>+E15</f>
        <v>13362440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284645000</v>
      </c>
      <c r="D25" s="51">
        <f>+D13</f>
        <v>294106000</v>
      </c>
      <c r="E25" s="51">
        <f>+E13</f>
        <v>300893197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-15899000</v>
      </c>
      <c r="D26" s="51">
        <f>+D16</f>
        <v>-1092000</v>
      </c>
      <c r="E26" s="51">
        <f>+E16</f>
        <v>-369000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268746000</v>
      </c>
      <c r="D27" s="51">
        <f>+D25+D26</f>
        <v>293014000</v>
      </c>
      <c r="E27" s="51">
        <f>+E25+E26</f>
        <v>300524197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-9522000</v>
      </c>
      <c r="D28" s="51">
        <f>+D17</f>
        <v>9482000</v>
      </c>
      <c r="E28" s="51">
        <f>+E17</f>
        <v>12993440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304976000</v>
      </c>
      <c r="D31" s="51">
        <v>280445000</v>
      </c>
      <c r="E31" s="51">
        <v>282678000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352160000</v>
      </c>
      <c r="D32" s="51">
        <v>328100000</v>
      </c>
      <c r="E32" s="51">
        <v>331518000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-24326000</v>
      </c>
      <c r="D33" s="51">
        <f>+D32-C32</f>
        <v>-24060000</v>
      </c>
      <c r="E33" s="51">
        <f>+E32-D32</f>
        <v>3418000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0.93530000000000002</v>
      </c>
      <c r="D34" s="171">
        <f>IF(C32=0,0,+D33/C32)</f>
        <v>-6.832121762835075E-2</v>
      </c>
      <c r="E34" s="171">
        <f>IF(D32=0,0,+E33/D32)</f>
        <v>1.0417555623285583E-2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0.33787834619092838</v>
      </c>
      <c r="D38" s="172">
        <f>IF((D40+D41)=0,0,+D39/(D40+D41))</f>
        <v>0.3316827104231575</v>
      </c>
      <c r="E38" s="172">
        <f>IF((E40+E41)=0,0,+E39/(E40+E41))</f>
        <v>0.31130005798504534</v>
      </c>
      <c r="F38" s="5"/>
    </row>
    <row r="39" spans="1:6" ht="24" customHeight="1" x14ac:dyDescent="0.2">
      <c r="A39" s="21">
        <v>2</v>
      </c>
      <c r="B39" s="48" t="s">
        <v>324</v>
      </c>
      <c r="C39" s="51">
        <v>268866398</v>
      </c>
      <c r="D39" s="51">
        <v>283532000</v>
      </c>
      <c r="E39" s="23">
        <v>287530757</v>
      </c>
      <c r="F39" s="5"/>
    </row>
    <row r="40" spans="1:6" ht="24" customHeight="1" x14ac:dyDescent="0.2">
      <c r="A40" s="21">
        <v>3</v>
      </c>
      <c r="B40" s="48" t="s">
        <v>325</v>
      </c>
      <c r="C40" s="51">
        <v>773049769</v>
      </c>
      <c r="D40" s="51">
        <v>829881442</v>
      </c>
      <c r="E40" s="23">
        <v>900732964</v>
      </c>
      <c r="F40" s="5"/>
    </row>
    <row r="41" spans="1:6" ht="24" customHeight="1" x14ac:dyDescent="0.2">
      <c r="A41" s="21">
        <v>4</v>
      </c>
      <c r="B41" s="48" t="s">
        <v>326</v>
      </c>
      <c r="C41" s="51">
        <v>22699355</v>
      </c>
      <c r="D41" s="51">
        <v>24947559</v>
      </c>
      <c r="E41" s="23">
        <v>22912084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1.2222702232195617</v>
      </c>
      <c r="D43" s="173">
        <f>IF(D38=0,0,IF((D46-D47)=0,0,((+D44-D45)/(D46-D47)/D38)))</f>
        <v>1.206034382274306</v>
      </c>
      <c r="E43" s="173">
        <f>IF(E38=0,0,IF((E46-E47)=0,0,((+E44-E45)/(E46-E47)/E38)))</f>
        <v>1.2203751888119512</v>
      </c>
      <c r="F43" s="5"/>
    </row>
    <row r="44" spans="1:6" ht="24" customHeight="1" x14ac:dyDescent="0.2">
      <c r="A44" s="21">
        <v>6</v>
      </c>
      <c r="B44" s="48" t="s">
        <v>328</v>
      </c>
      <c r="C44" s="51">
        <v>176569569</v>
      </c>
      <c r="D44" s="51">
        <v>183789577</v>
      </c>
      <c r="E44" s="23">
        <v>186927133</v>
      </c>
      <c r="F44" s="5"/>
    </row>
    <row r="45" spans="1:6" ht="24" customHeight="1" x14ac:dyDescent="0.2">
      <c r="A45" s="21">
        <v>7</v>
      </c>
      <c r="B45" s="48" t="s">
        <v>329</v>
      </c>
      <c r="C45" s="51">
        <v>4605949</v>
      </c>
      <c r="D45" s="51">
        <v>4423064</v>
      </c>
      <c r="E45" s="23">
        <v>3589710</v>
      </c>
      <c r="F45" s="5"/>
    </row>
    <row r="46" spans="1:6" ht="24" customHeight="1" x14ac:dyDescent="0.2">
      <c r="A46" s="21">
        <v>8</v>
      </c>
      <c r="B46" s="48" t="s">
        <v>330</v>
      </c>
      <c r="C46" s="51">
        <v>449380334</v>
      </c>
      <c r="D46" s="51">
        <v>481796590</v>
      </c>
      <c r="E46" s="23">
        <v>516722413</v>
      </c>
      <c r="F46" s="5"/>
    </row>
    <row r="47" spans="1:6" ht="24" customHeight="1" x14ac:dyDescent="0.2">
      <c r="A47" s="21">
        <v>9</v>
      </c>
      <c r="B47" s="48" t="s">
        <v>331</v>
      </c>
      <c r="C47" s="51">
        <v>32981996</v>
      </c>
      <c r="D47" s="51">
        <v>33403571</v>
      </c>
      <c r="E47" s="174">
        <v>34132154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0.7359145252553162</v>
      </c>
      <c r="D49" s="175">
        <f>IF(D38=0,0,IF(D51=0,0,(D50/D51)/D38))</f>
        <v>0.71605657739302275</v>
      </c>
      <c r="E49" s="175">
        <f>IF(E38=0,0,IF(E51=0,0,(E50/E51)/E38))</f>
        <v>0.70617624670571044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74117766</v>
      </c>
      <c r="D50" s="176">
        <v>75089754</v>
      </c>
      <c r="E50" s="176">
        <v>74905519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298081200</v>
      </c>
      <c r="D51" s="176">
        <v>316162611</v>
      </c>
      <c r="E51" s="176">
        <v>340738738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0.79292460412408472</v>
      </c>
      <c r="D53" s="175">
        <f>IF(D38=0,0,IF(D55=0,0,(D54/D55)/D38))</f>
        <v>0.79744630098080271</v>
      </c>
      <c r="E53" s="175">
        <f>IF(E38=0,0,IF(E55=0,0,(E54/E55)/E38))</f>
        <v>0.5820866471448487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3112292</v>
      </c>
      <c r="D54" s="176">
        <v>4495846</v>
      </c>
      <c r="E54" s="176">
        <v>4340316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11616842</v>
      </c>
      <c r="D55" s="176">
        <v>16997582</v>
      </c>
      <c r="E55" s="176">
        <v>23952702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9588769.1954869088</v>
      </c>
      <c r="D57" s="53">
        <f>+D60*D38</f>
        <v>9612333.1111972891</v>
      </c>
      <c r="E57" s="53">
        <f>+E60*E38</f>
        <v>9507864.5882050004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18262127</v>
      </c>
      <c r="D58" s="51">
        <v>21129180</v>
      </c>
      <c r="E58" s="52">
        <v>20038812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10117227</v>
      </c>
      <c r="D59" s="51">
        <v>7851327</v>
      </c>
      <c r="E59" s="52">
        <v>10503632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28379354</v>
      </c>
      <c r="D60" s="51">
        <v>28980507</v>
      </c>
      <c r="E60" s="52">
        <v>30542444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3.5663694931067247E-2</v>
      </c>
      <c r="D62" s="178">
        <f>IF(D63=0,0,+D57/D63)</f>
        <v>3.3902110206951205E-2</v>
      </c>
      <c r="E62" s="178">
        <f>IF(E63=0,0,+E57/E63)</f>
        <v>3.3067295782221312E-2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268866398</v>
      </c>
      <c r="D63" s="176">
        <v>283532000</v>
      </c>
      <c r="E63" s="176">
        <v>287530757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2.3836035110882907</v>
      </c>
      <c r="D67" s="179">
        <f>IF(D69=0,0,D68/D69)</f>
        <v>2.3109162883277792</v>
      </c>
      <c r="E67" s="179">
        <f>IF(E69=0,0,E68/E69)</f>
        <v>2.6894478002886619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97487000</v>
      </c>
      <c r="D68" s="180">
        <v>103328000</v>
      </c>
      <c r="E68" s="180">
        <v>100623000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40899000</v>
      </c>
      <c r="D69" s="180">
        <v>44713000</v>
      </c>
      <c r="E69" s="180">
        <v>37414000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77.604406155917786</v>
      </c>
      <c r="D71" s="181">
        <f>IF((D77/365)=0,0,+D74/(D77/365))</f>
        <v>83.213271736788187</v>
      </c>
      <c r="E71" s="181">
        <f>IF((E77/365)=0,0,+E74/(E77/365))</f>
        <v>75.77507802930792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29053000</v>
      </c>
      <c r="D72" s="182">
        <v>32032000</v>
      </c>
      <c r="E72" s="182">
        <v>32013000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26526000</v>
      </c>
      <c r="D73" s="184">
        <v>28273000</v>
      </c>
      <c r="E73" s="184">
        <v>23470000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55579000</v>
      </c>
      <c r="D74" s="180">
        <f>+D72+D73</f>
        <v>60305000</v>
      </c>
      <c r="E74" s="180">
        <f>+E72+E73</f>
        <v>55483000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278268000</v>
      </c>
      <c r="D75" s="180">
        <f>+D14</f>
        <v>283532000</v>
      </c>
      <c r="E75" s="180">
        <f>+E14</f>
        <v>287530757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16861000</v>
      </c>
      <c r="D76" s="180">
        <v>19015000</v>
      </c>
      <c r="E76" s="180">
        <v>20275407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261407000</v>
      </c>
      <c r="D77" s="180">
        <f>+D75-D76</f>
        <v>264517000</v>
      </c>
      <c r="E77" s="180">
        <f>+E75-E76</f>
        <v>267255350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46.38994576062457</v>
      </c>
      <c r="D79" s="179">
        <f>IF((D84/365)=0,0,+D83/(D84/365))</f>
        <v>43.253516553242619</v>
      </c>
      <c r="E79" s="179">
        <f>IF((E84/365)=0,0,+E83/(E84/365))</f>
        <v>42.183090516901601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33602000</v>
      </c>
      <c r="D80" s="189">
        <v>32088000</v>
      </c>
      <c r="E80" s="189">
        <v>32518000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164000</v>
      </c>
      <c r="D82" s="190">
        <v>192000</v>
      </c>
      <c r="E82" s="190">
        <v>264000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33438000</v>
      </c>
      <c r="D83" s="191">
        <f>+D80+D81-D82</f>
        <v>31896000</v>
      </c>
      <c r="E83" s="191">
        <f>+E80+E81-E82</f>
        <v>32254000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263093000</v>
      </c>
      <c r="D84" s="191">
        <f>+D11</f>
        <v>269158231</v>
      </c>
      <c r="E84" s="191">
        <f>+E11</f>
        <v>279086000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57.10686783444973</v>
      </c>
      <c r="D86" s="179">
        <f>IF((D90/365)=0,0,+D87/(D90/365))</f>
        <v>61.698284042235471</v>
      </c>
      <c r="E86" s="179">
        <f>IF((E90/365)=0,0,+E87/(E90/365))</f>
        <v>51.097611329389665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40899000</v>
      </c>
      <c r="D87" s="51">
        <f>+D69</f>
        <v>44713000</v>
      </c>
      <c r="E87" s="51">
        <f>+E69</f>
        <v>37414000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278268000</v>
      </c>
      <c r="D88" s="51">
        <f t="shared" si="0"/>
        <v>283532000</v>
      </c>
      <c r="E88" s="51">
        <f t="shared" si="0"/>
        <v>287530757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16861000</v>
      </c>
      <c r="D89" s="52">
        <f t="shared" si="0"/>
        <v>19015000</v>
      </c>
      <c r="E89" s="52">
        <f t="shared" si="0"/>
        <v>20275407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261407000</v>
      </c>
      <c r="D90" s="51">
        <f>+D88-D89</f>
        <v>264517000</v>
      </c>
      <c r="E90" s="51">
        <f>+E88-E89</f>
        <v>267255350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75.950076886081348</v>
      </c>
      <c r="D94" s="192">
        <f>IF(D96=0,0,(D95/D96)*100)</f>
        <v>69.464881172921196</v>
      </c>
      <c r="E94" s="192">
        <f>IF(E96=0,0,(E95/E96)*100)</f>
        <v>70.267829891138462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352160000</v>
      </c>
      <c r="D95" s="51">
        <f>+D32</f>
        <v>328100000</v>
      </c>
      <c r="E95" s="51">
        <f>+E32</f>
        <v>331518000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463673000</v>
      </c>
      <c r="D96" s="51">
        <v>472325000</v>
      </c>
      <c r="E96" s="51">
        <v>471792000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8.1224959603337972</v>
      </c>
      <c r="D98" s="192">
        <f>IF(D104=0,0,(D101/D104)*100)</f>
        <v>30.982408836895779</v>
      </c>
      <c r="E98" s="192">
        <f>IF(E104=0,0,(E101/E104)*100)</f>
        <v>40.365506739950739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-9522000</v>
      </c>
      <c r="D99" s="51">
        <f>+D28</f>
        <v>9482000</v>
      </c>
      <c r="E99" s="51">
        <f>+E28</f>
        <v>12993440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16861000</v>
      </c>
      <c r="D100" s="52">
        <f>+D76</f>
        <v>19015000</v>
      </c>
      <c r="E100" s="52">
        <f>+E76</f>
        <v>20275407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7339000</v>
      </c>
      <c r="D101" s="51">
        <f>+D99+D100</f>
        <v>28497000</v>
      </c>
      <c r="E101" s="51">
        <f>+E99+E100</f>
        <v>33268847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40899000</v>
      </c>
      <c r="D102" s="180">
        <f>+D69</f>
        <v>44713000</v>
      </c>
      <c r="E102" s="180">
        <f>+E69</f>
        <v>37414000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49455000</v>
      </c>
      <c r="D103" s="194">
        <v>47265000</v>
      </c>
      <c r="E103" s="194">
        <v>45005000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90354000</v>
      </c>
      <c r="D104" s="180">
        <f>+D102+D103</f>
        <v>91978000</v>
      </c>
      <c r="E104" s="180">
        <f>+E102+E103</f>
        <v>82419000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12.314032095414763</v>
      </c>
      <c r="D106" s="197">
        <f>IF(D109=0,0,(D107/D109)*100)</f>
        <v>12.591744035805149</v>
      </c>
      <c r="E106" s="197">
        <f>IF(E109=0,0,(E107/E109)*100)</f>
        <v>11.952789072646294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49455000</v>
      </c>
      <c r="D107" s="180">
        <f>+D103</f>
        <v>47265000</v>
      </c>
      <c r="E107" s="180">
        <f>+E103</f>
        <v>45005000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352160000</v>
      </c>
      <c r="D108" s="180">
        <f>+D32</f>
        <v>328100000</v>
      </c>
      <c r="E108" s="180">
        <f>+E32</f>
        <v>331518000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401615000</v>
      </c>
      <c r="D109" s="180">
        <f>+D107+D108</f>
        <v>375365000</v>
      </c>
      <c r="E109" s="180">
        <f>+E107+E108</f>
        <v>376523000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4.3283446712018137</v>
      </c>
      <c r="D111" s="197">
        <f>IF((+D113+D115)=0,0,((+D112+D113+D114)/(+D113+D115)))</f>
        <v>10.476293103448276</v>
      </c>
      <c r="E111" s="197">
        <f>IF((+E113+E115)=0,0,((+E112+E113+E114)/(+E113+E115)))</f>
        <v>12.777590446003732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-9522000</v>
      </c>
      <c r="D112" s="180">
        <f>+D17</f>
        <v>9482000</v>
      </c>
      <c r="E112" s="180">
        <f>+E17</f>
        <v>12993440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2205000</v>
      </c>
      <c r="D113" s="180">
        <v>669000</v>
      </c>
      <c r="E113" s="180">
        <v>448812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16861000</v>
      </c>
      <c r="D114" s="180">
        <v>19015000</v>
      </c>
      <c r="E114" s="180">
        <v>20275407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2115000</v>
      </c>
      <c r="E115" s="180">
        <v>2190000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8.0514204376964589</v>
      </c>
      <c r="D119" s="197">
        <f>IF(+D121=0,0,(+D120)/(+D121))</f>
        <v>8.0895608729950048</v>
      </c>
      <c r="E119" s="197">
        <f>IF(+E121=0,0,(+E120)/(+E121))</f>
        <v>8.5583485451118193</v>
      </c>
    </row>
    <row r="120" spans="1:8" ht="24" customHeight="1" x14ac:dyDescent="0.25">
      <c r="A120" s="17">
        <v>21</v>
      </c>
      <c r="B120" s="48" t="s">
        <v>369</v>
      </c>
      <c r="C120" s="180">
        <v>135755000</v>
      </c>
      <c r="D120" s="180">
        <v>153823000</v>
      </c>
      <c r="E120" s="180">
        <v>173524000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16861000</v>
      </c>
      <c r="D121" s="180">
        <v>19015000</v>
      </c>
      <c r="E121" s="180">
        <v>20275407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51700</v>
      </c>
      <c r="D124" s="198">
        <v>50149</v>
      </c>
      <c r="E124" s="198">
        <v>53059</v>
      </c>
    </row>
    <row r="125" spans="1:8" ht="24" customHeight="1" x14ac:dyDescent="0.2">
      <c r="A125" s="44">
        <v>2</v>
      </c>
      <c r="B125" s="48" t="s">
        <v>373</v>
      </c>
      <c r="C125" s="198">
        <v>12731</v>
      </c>
      <c r="D125" s="198">
        <v>12931</v>
      </c>
      <c r="E125" s="198">
        <v>13627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4.0609535778807633</v>
      </c>
      <c r="D126" s="199">
        <f>IF(D125=0,0,D124/D125)</f>
        <v>3.8781996751991339</v>
      </c>
      <c r="E126" s="199">
        <f>IF(E125=0,0,E124/E125)</f>
        <v>3.8936669846628016</v>
      </c>
    </row>
    <row r="127" spans="1:8" ht="24" customHeight="1" x14ac:dyDescent="0.2">
      <c r="A127" s="44">
        <v>4</v>
      </c>
      <c r="B127" s="48" t="s">
        <v>375</v>
      </c>
      <c r="C127" s="198">
        <v>206</v>
      </c>
      <c r="D127" s="198">
        <v>206</v>
      </c>
      <c r="E127" s="198">
        <v>206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206</v>
      </c>
      <c r="E128" s="198">
        <v>206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206</v>
      </c>
      <c r="D129" s="198">
        <v>206</v>
      </c>
      <c r="E129" s="198">
        <v>206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0.6875</v>
      </c>
      <c r="D130" s="171">
        <v>0.66690000000000005</v>
      </c>
      <c r="E130" s="171">
        <v>0.7056</v>
      </c>
    </row>
    <row r="131" spans="1:8" ht="24" customHeight="1" x14ac:dyDescent="0.2">
      <c r="A131" s="44">
        <v>7</v>
      </c>
      <c r="B131" s="48" t="s">
        <v>379</v>
      </c>
      <c r="C131" s="171">
        <v>0.6875</v>
      </c>
      <c r="D131" s="171">
        <v>0.66690000000000005</v>
      </c>
      <c r="E131" s="171">
        <v>0.7056</v>
      </c>
    </row>
    <row r="132" spans="1:8" ht="24" customHeight="1" x14ac:dyDescent="0.2">
      <c r="A132" s="44">
        <v>8</v>
      </c>
      <c r="B132" s="48" t="s">
        <v>380</v>
      </c>
      <c r="C132" s="199">
        <v>1595.9</v>
      </c>
      <c r="D132" s="199">
        <v>1440.1</v>
      </c>
      <c r="E132" s="199">
        <v>1461.7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0.53864363550440442</v>
      </c>
      <c r="D135" s="203">
        <f>IF(D149=0,0,D143/D149)</f>
        <v>0.54030973137485827</v>
      </c>
      <c r="E135" s="203">
        <f>IF(E149=0,0,E143/E149)</f>
        <v>0.53577506129774555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0.38559121540853858</v>
      </c>
      <c r="D136" s="203">
        <f>IF(D149=0,0,D144/D149)</f>
        <v>0.38097322701668512</v>
      </c>
      <c r="E136" s="203">
        <f>IF(E149=0,0,E144/E149)</f>
        <v>0.37829051630001187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1.5027288624673271E-2</v>
      </c>
      <c r="D137" s="203">
        <f>IF(D149=0,0,D145/D149)</f>
        <v>2.0481940117899396E-2</v>
      </c>
      <c r="E137" s="203">
        <f>IF(E149=0,0,E145/E149)</f>
        <v>2.6592456318718673E-2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1.771238612193415E-2</v>
      </c>
      <c r="D138" s="203">
        <f>IF(D149=0,0,D146/D149)</f>
        <v>1.7207830272218571E-2</v>
      </c>
      <c r="E138" s="203">
        <f>IF(E149=0,0,E146/E149)</f>
        <v>2.0857789989797686E-2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4.2664776994455061E-2</v>
      </c>
      <c r="D139" s="203">
        <f>IF(D149=0,0,D147/D149)</f>
        <v>4.0251015758947406E-2</v>
      </c>
      <c r="E139" s="203">
        <f>IF(E149=0,0,E147/E149)</f>
        <v>3.7893754713300358E-2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3.6069734599455006E-4</v>
      </c>
      <c r="D140" s="203">
        <f>IF(D149=0,0,D148/D149)</f>
        <v>7.7625545939127047E-4</v>
      </c>
      <c r="E140" s="203">
        <f>IF(E149=0,0,E148/E149)</f>
        <v>5.9042138042590838E-4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416398338</v>
      </c>
      <c r="D143" s="205">
        <f>+D46-D147</f>
        <v>448393019</v>
      </c>
      <c r="E143" s="205">
        <f>+E46-E147</f>
        <v>482590259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298081200</v>
      </c>
      <c r="D144" s="205">
        <f>+D51</f>
        <v>316162611</v>
      </c>
      <c r="E144" s="205">
        <f>+E51</f>
        <v>340738738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11616842</v>
      </c>
      <c r="D145" s="205">
        <f>+D55</f>
        <v>16997582</v>
      </c>
      <c r="E145" s="205">
        <f>+E55</f>
        <v>23952702</v>
      </c>
    </row>
    <row r="146" spans="1:7" ht="20.100000000000001" customHeight="1" x14ac:dyDescent="0.2">
      <c r="A146" s="202">
        <v>11</v>
      </c>
      <c r="B146" s="201" t="s">
        <v>392</v>
      </c>
      <c r="C146" s="204">
        <v>13692556</v>
      </c>
      <c r="D146" s="205">
        <v>14280459</v>
      </c>
      <c r="E146" s="205">
        <v>18787299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32981996</v>
      </c>
      <c r="D147" s="205">
        <f>+D47</f>
        <v>33403571</v>
      </c>
      <c r="E147" s="205">
        <f>+E47</f>
        <v>34132154</v>
      </c>
    </row>
    <row r="148" spans="1:7" ht="20.100000000000001" customHeight="1" x14ac:dyDescent="0.2">
      <c r="A148" s="202">
        <v>13</v>
      </c>
      <c r="B148" s="201" t="s">
        <v>394</v>
      </c>
      <c r="C148" s="206">
        <v>278837</v>
      </c>
      <c r="D148" s="205">
        <v>644200</v>
      </c>
      <c r="E148" s="205">
        <v>531812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773049769</v>
      </c>
      <c r="D149" s="205">
        <f>SUM(D143:D148)</f>
        <v>829881442</v>
      </c>
      <c r="E149" s="205">
        <f>SUM(E143:E148)</f>
        <v>900732964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0.67025628983660368</v>
      </c>
      <c r="D152" s="203">
        <f>IF(D166=0,0,D160/D166)</f>
        <v>0.67449627907873655</v>
      </c>
      <c r="E152" s="203">
        <f>IF(E166=0,0,E160/E166)</f>
        <v>0.67801919768779995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0.28888609608321553</v>
      </c>
      <c r="D153" s="203">
        <f>IF(D166=0,0,D161/D166)</f>
        <v>0.28237020847886846</v>
      </c>
      <c r="E153" s="203">
        <f>IF(E166=0,0,E161/E166)</f>
        <v>0.2770158926842135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1.2130666293301704E-2</v>
      </c>
      <c r="D154" s="203">
        <f>IF(D166=0,0,D162/D166)</f>
        <v>1.6906340807946806E-2</v>
      </c>
      <c r="E154" s="203">
        <f>IF(E166=0,0,E162/E166)</f>
        <v>1.6051374148700243E-2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1.0314405867218039E-2</v>
      </c>
      <c r="D155" s="203">
        <f>IF(D166=0,0,D163/D166)</f>
        <v>8.7435512660379959E-3</v>
      </c>
      <c r="E155" s="203">
        <f>IF(E166=0,0,E163/E166)</f>
        <v>1.5499494858612519E-2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1.7952438358279588E-2</v>
      </c>
      <c r="D156" s="203">
        <f>IF(D166=0,0,D164/D166)</f>
        <v>1.663264876051369E-2</v>
      </c>
      <c r="E156" s="203">
        <f>IF(E166=0,0,E164/E166)</f>
        <v>1.3275480010057045E-2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4.6010356138148124E-4</v>
      </c>
      <c r="D157" s="203">
        <f>IF(D166=0,0,D165/D166)</f>
        <v>8.5097160789651834E-4</v>
      </c>
      <c r="E157" s="203">
        <f>IF(E166=0,0,E165/E166)</f>
        <v>1.3856061061668138E-4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0.99999999999999989</v>
      </c>
      <c r="D158" s="203">
        <f>SUM(D152:D157)</f>
        <v>1</v>
      </c>
      <c r="E158" s="203">
        <f>SUM(E152:E157)</f>
        <v>1.0000000000000002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171963620</v>
      </c>
      <c r="D160" s="208">
        <f>+D44-D164</f>
        <v>179366513</v>
      </c>
      <c r="E160" s="208">
        <f>+E44-E164</f>
        <v>183337423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74117766</v>
      </c>
      <c r="D161" s="208">
        <f>+D50</f>
        <v>75089754</v>
      </c>
      <c r="E161" s="208">
        <f>+E50</f>
        <v>74905519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3112292</v>
      </c>
      <c r="D162" s="208">
        <f>+D54</f>
        <v>4495846</v>
      </c>
      <c r="E162" s="208">
        <f>+E54</f>
        <v>4340316</v>
      </c>
    </row>
    <row r="163" spans="1:6" ht="20.100000000000001" customHeight="1" x14ac:dyDescent="0.2">
      <c r="A163" s="202">
        <v>11</v>
      </c>
      <c r="B163" s="201" t="s">
        <v>408</v>
      </c>
      <c r="C163" s="207">
        <v>2646305</v>
      </c>
      <c r="D163" s="208">
        <v>2325143</v>
      </c>
      <c r="E163" s="208">
        <v>4191087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4605949</v>
      </c>
      <c r="D164" s="208">
        <f>+D45</f>
        <v>4423064</v>
      </c>
      <c r="E164" s="208">
        <f>+E45</f>
        <v>3589710</v>
      </c>
    </row>
    <row r="165" spans="1:6" ht="20.100000000000001" customHeight="1" x14ac:dyDescent="0.2">
      <c r="A165" s="202">
        <v>13</v>
      </c>
      <c r="B165" s="201" t="s">
        <v>410</v>
      </c>
      <c r="C165" s="209">
        <v>118046</v>
      </c>
      <c r="D165" s="208">
        <v>226296</v>
      </c>
      <c r="E165" s="208">
        <v>37467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256563978</v>
      </c>
      <c r="D166" s="208">
        <f>SUM(D160:D165)</f>
        <v>265926616</v>
      </c>
      <c r="E166" s="208">
        <f>SUM(E160:E165)</f>
        <v>270401522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7567</v>
      </c>
      <c r="D169" s="198">
        <v>7298</v>
      </c>
      <c r="E169" s="198">
        <v>7582</v>
      </c>
    </row>
    <row r="170" spans="1:6" ht="20.100000000000001" customHeight="1" x14ac:dyDescent="0.2">
      <c r="A170" s="202">
        <v>2</v>
      </c>
      <c r="B170" s="201" t="s">
        <v>414</v>
      </c>
      <c r="C170" s="198">
        <v>4740</v>
      </c>
      <c r="D170" s="198">
        <v>5054</v>
      </c>
      <c r="E170" s="198">
        <v>5269</v>
      </c>
    </row>
    <row r="171" spans="1:6" ht="20.100000000000001" customHeight="1" x14ac:dyDescent="0.2">
      <c r="A171" s="202">
        <v>3</v>
      </c>
      <c r="B171" s="201" t="s">
        <v>415</v>
      </c>
      <c r="C171" s="198">
        <v>422</v>
      </c>
      <c r="D171" s="198">
        <v>573</v>
      </c>
      <c r="E171" s="198">
        <v>770</v>
      </c>
    </row>
    <row r="172" spans="1:6" ht="20.100000000000001" customHeight="1" x14ac:dyDescent="0.2">
      <c r="A172" s="202">
        <v>4</v>
      </c>
      <c r="B172" s="201" t="s">
        <v>416</v>
      </c>
      <c r="C172" s="198">
        <v>161</v>
      </c>
      <c r="D172" s="198">
        <v>327</v>
      </c>
      <c r="E172" s="198">
        <v>517</v>
      </c>
    </row>
    <row r="173" spans="1:6" ht="20.100000000000001" customHeight="1" x14ac:dyDescent="0.2">
      <c r="A173" s="202">
        <v>5</v>
      </c>
      <c r="B173" s="201" t="s">
        <v>417</v>
      </c>
      <c r="C173" s="198">
        <v>261</v>
      </c>
      <c r="D173" s="198">
        <v>246</v>
      </c>
      <c r="E173" s="198">
        <v>253</v>
      </c>
    </row>
    <row r="174" spans="1:6" ht="20.100000000000001" customHeight="1" x14ac:dyDescent="0.2">
      <c r="A174" s="202">
        <v>6</v>
      </c>
      <c r="B174" s="201" t="s">
        <v>418</v>
      </c>
      <c r="C174" s="198">
        <v>2</v>
      </c>
      <c r="D174" s="198">
        <v>6</v>
      </c>
      <c r="E174" s="198">
        <v>6</v>
      </c>
    </row>
    <row r="175" spans="1:6" ht="20.100000000000001" customHeight="1" x14ac:dyDescent="0.2">
      <c r="A175" s="202">
        <v>7</v>
      </c>
      <c r="B175" s="201" t="s">
        <v>419</v>
      </c>
      <c r="C175" s="198">
        <v>448</v>
      </c>
      <c r="D175" s="198">
        <v>296</v>
      </c>
      <c r="E175" s="198">
        <v>333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12731</v>
      </c>
      <c r="D176" s="198">
        <f>+D169+D170+D171+D174</f>
        <v>12931</v>
      </c>
      <c r="E176" s="198">
        <f>+E169+E170+E171+E174</f>
        <v>13627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0.85660000000000003</v>
      </c>
      <c r="D179" s="210">
        <v>0.84550000000000003</v>
      </c>
      <c r="E179" s="210">
        <v>0.87150000000000005</v>
      </c>
    </row>
    <row r="180" spans="1:6" ht="20.100000000000001" customHeight="1" x14ac:dyDescent="0.2">
      <c r="A180" s="202">
        <v>2</v>
      </c>
      <c r="B180" s="201" t="s">
        <v>414</v>
      </c>
      <c r="C180" s="210">
        <v>1.4570000000000001</v>
      </c>
      <c r="D180" s="210">
        <v>1.4065000000000001</v>
      </c>
      <c r="E180" s="210">
        <v>1.4205000000000001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1.1536740000000001</v>
      </c>
      <c r="D181" s="210">
        <v>1.057653</v>
      </c>
      <c r="E181" s="210">
        <v>0.92362100000000003</v>
      </c>
    </row>
    <row r="182" spans="1:6" ht="20.100000000000001" customHeight="1" x14ac:dyDescent="0.2">
      <c r="A182" s="202">
        <v>4</v>
      </c>
      <c r="B182" s="201" t="s">
        <v>416</v>
      </c>
      <c r="C182" s="210">
        <v>1.1618999999999999</v>
      </c>
      <c r="D182" s="210">
        <v>1.1254</v>
      </c>
      <c r="E182" s="210">
        <v>0.87909999999999999</v>
      </c>
    </row>
    <row r="183" spans="1:6" ht="20.100000000000001" customHeight="1" x14ac:dyDescent="0.2">
      <c r="A183" s="202">
        <v>5</v>
      </c>
      <c r="B183" s="201" t="s">
        <v>417</v>
      </c>
      <c r="C183" s="210">
        <v>1.1486000000000001</v>
      </c>
      <c r="D183" s="210">
        <v>0.96760000000000002</v>
      </c>
      <c r="E183" s="210">
        <v>1.0145999999999999</v>
      </c>
    </row>
    <row r="184" spans="1:6" ht="20.100000000000001" customHeight="1" x14ac:dyDescent="0.2">
      <c r="A184" s="202">
        <v>6</v>
      </c>
      <c r="B184" s="201" t="s">
        <v>418</v>
      </c>
      <c r="C184" s="210">
        <v>0.68859999999999999</v>
      </c>
      <c r="D184" s="210">
        <v>1.4673</v>
      </c>
      <c r="E184" s="210">
        <v>0.99019999999999997</v>
      </c>
    </row>
    <row r="185" spans="1:6" ht="20.100000000000001" customHeight="1" x14ac:dyDescent="0.2">
      <c r="A185" s="202">
        <v>7</v>
      </c>
      <c r="B185" s="201" t="s">
        <v>419</v>
      </c>
      <c r="C185" s="210">
        <v>0.91100000000000003</v>
      </c>
      <c r="D185" s="210">
        <v>0.91779999999999995</v>
      </c>
      <c r="E185" s="210">
        <v>0.99360000000000004</v>
      </c>
    </row>
    <row r="186" spans="1:6" ht="20.100000000000001" customHeight="1" x14ac:dyDescent="0.2">
      <c r="A186" s="202">
        <v>8</v>
      </c>
      <c r="B186" s="201" t="s">
        <v>423</v>
      </c>
      <c r="C186" s="210">
        <v>1.089961</v>
      </c>
      <c r="D186" s="210">
        <v>1.074452</v>
      </c>
      <c r="E186" s="210">
        <v>1.086773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7569</v>
      </c>
      <c r="D189" s="198">
        <v>7824</v>
      </c>
      <c r="E189" s="198">
        <v>7764</v>
      </c>
    </row>
    <row r="190" spans="1:6" ht="20.100000000000001" customHeight="1" x14ac:dyDescent="0.2">
      <c r="A190" s="202">
        <v>2</v>
      </c>
      <c r="B190" s="201" t="s">
        <v>427</v>
      </c>
      <c r="C190" s="198">
        <v>33101</v>
      </c>
      <c r="D190" s="198">
        <v>35461</v>
      </c>
      <c r="E190" s="198">
        <v>34887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40670</v>
      </c>
      <c r="D191" s="198">
        <f>+D190+D189</f>
        <v>43285</v>
      </c>
      <c r="E191" s="198">
        <f>+E190+E189</f>
        <v>42651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FILING&amp;RGREENWICH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A6" sqref="A6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379330</v>
      </c>
      <c r="D14" s="237">
        <v>300901</v>
      </c>
      <c r="E14" s="237">
        <f t="shared" ref="E14:E24" si="0">D14-C14</f>
        <v>-78429</v>
      </c>
      <c r="F14" s="238">
        <f t="shared" ref="F14:F24" si="1">IF(C14=0,0,E14/C14)</f>
        <v>-0.20675664988268791</v>
      </c>
    </row>
    <row r="15" spans="1:7" ht="20.25" customHeight="1" x14ac:dyDescent="0.3">
      <c r="A15" s="235">
        <v>2</v>
      </c>
      <c r="B15" s="236" t="s">
        <v>435</v>
      </c>
      <c r="C15" s="237">
        <v>141784</v>
      </c>
      <c r="D15" s="237">
        <v>42474</v>
      </c>
      <c r="E15" s="237">
        <f t="shared" si="0"/>
        <v>-99310</v>
      </c>
      <c r="F15" s="238">
        <f t="shared" si="1"/>
        <v>-0.70043164249844836</v>
      </c>
    </row>
    <row r="16" spans="1:7" ht="20.25" customHeight="1" x14ac:dyDescent="0.3">
      <c r="A16" s="235">
        <v>3</v>
      </c>
      <c r="B16" s="236" t="s">
        <v>436</v>
      </c>
      <c r="C16" s="237">
        <v>228983</v>
      </c>
      <c r="D16" s="237">
        <v>383944</v>
      </c>
      <c r="E16" s="237">
        <f t="shared" si="0"/>
        <v>154961</v>
      </c>
      <c r="F16" s="238">
        <f t="shared" si="1"/>
        <v>0.67673582755051687</v>
      </c>
    </row>
    <row r="17" spans="1:6" ht="20.25" customHeight="1" x14ac:dyDescent="0.3">
      <c r="A17" s="235">
        <v>4</v>
      </c>
      <c r="B17" s="236" t="s">
        <v>437</v>
      </c>
      <c r="C17" s="237">
        <v>71105</v>
      </c>
      <c r="D17" s="237">
        <v>45304</v>
      </c>
      <c r="E17" s="237">
        <f t="shared" si="0"/>
        <v>-25801</v>
      </c>
      <c r="F17" s="238">
        <f t="shared" si="1"/>
        <v>-0.36285774558751144</v>
      </c>
    </row>
    <row r="18" spans="1:6" ht="20.25" customHeight="1" x14ac:dyDescent="0.3">
      <c r="A18" s="235">
        <v>5</v>
      </c>
      <c r="B18" s="236" t="s">
        <v>373</v>
      </c>
      <c r="C18" s="239">
        <v>9</v>
      </c>
      <c r="D18" s="239">
        <v>11</v>
      </c>
      <c r="E18" s="239">
        <f t="shared" si="0"/>
        <v>2</v>
      </c>
      <c r="F18" s="238">
        <f t="shared" si="1"/>
        <v>0.22222222222222221</v>
      </c>
    </row>
    <row r="19" spans="1:6" ht="20.25" customHeight="1" x14ac:dyDescent="0.3">
      <c r="A19" s="235">
        <v>6</v>
      </c>
      <c r="B19" s="236" t="s">
        <v>372</v>
      </c>
      <c r="C19" s="239">
        <v>48</v>
      </c>
      <c r="D19" s="239">
        <v>57</v>
      </c>
      <c r="E19" s="239">
        <f t="shared" si="0"/>
        <v>9</v>
      </c>
      <c r="F19" s="238">
        <f t="shared" si="1"/>
        <v>0.1875</v>
      </c>
    </row>
    <row r="20" spans="1:6" ht="20.25" customHeight="1" x14ac:dyDescent="0.3">
      <c r="A20" s="235">
        <v>7</v>
      </c>
      <c r="B20" s="236" t="s">
        <v>438</v>
      </c>
      <c r="C20" s="239">
        <v>224</v>
      </c>
      <c r="D20" s="239">
        <v>233</v>
      </c>
      <c r="E20" s="239">
        <f t="shared" si="0"/>
        <v>9</v>
      </c>
      <c r="F20" s="238">
        <f t="shared" si="1"/>
        <v>4.0178571428571432E-2</v>
      </c>
    </row>
    <row r="21" spans="1:6" ht="20.25" customHeight="1" x14ac:dyDescent="0.3">
      <c r="A21" s="235">
        <v>8</v>
      </c>
      <c r="B21" s="236" t="s">
        <v>439</v>
      </c>
      <c r="C21" s="239">
        <v>12</v>
      </c>
      <c r="D21" s="239">
        <v>8</v>
      </c>
      <c r="E21" s="239">
        <f t="shared" si="0"/>
        <v>-4</v>
      </c>
      <c r="F21" s="238">
        <f t="shared" si="1"/>
        <v>-0.33333333333333331</v>
      </c>
    </row>
    <row r="22" spans="1:6" ht="20.25" customHeight="1" x14ac:dyDescent="0.3">
      <c r="A22" s="235">
        <v>9</v>
      </c>
      <c r="B22" s="236" t="s">
        <v>440</v>
      </c>
      <c r="C22" s="239">
        <v>9</v>
      </c>
      <c r="D22" s="239">
        <v>16</v>
      </c>
      <c r="E22" s="239">
        <f t="shared" si="0"/>
        <v>7</v>
      </c>
      <c r="F22" s="238">
        <f t="shared" si="1"/>
        <v>0.77777777777777779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608313</v>
      </c>
      <c r="D23" s="243">
        <f>+D14+D16</f>
        <v>684845</v>
      </c>
      <c r="E23" s="243">
        <f t="shared" si="0"/>
        <v>76532</v>
      </c>
      <c r="F23" s="244">
        <f t="shared" si="1"/>
        <v>0.12581023256119794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212889</v>
      </c>
      <c r="D24" s="243">
        <f>+D15+D17</f>
        <v>87778</v>
      </c>
      <c r="E24" s="243">
        <f t="shared" si="0"/>
        <v>-125111</v>
      </c>
      <c r="F24" s="244">
        <f t="shared" si="1"/>
        <v>-0.58768184358985198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0</v>
      </c>
      <c r="D40" s="237">
        <v>211022</v>
      </c>
      <c r="E40" s="237">
        <f t="shared" ref="E40:E50" si="4">D40-C40</f>
        <v>211022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435</v>
      </c>
      <c r="C41" s="237">
        <v>0</v>
      </c>
      <c r="D41" s="237">
        <v>73422</v>
      </c>
      <c r="E41" s="237">
        <f t="shared" si="4"/>
        <v>73422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436</v>
      </c>
      <c r="C42" s="237">
        <v>0</v>
      </c>
      <c r="D42" s="237">
        <v>125245</v>
      </c>
      <c r="E42" s="237">
        <f t="shared" si="4"/>
        <v>125245</v>
      </c>
      <c r="F42" s="238">
        <f t="shared" si="5"/>
        <v>0</v>
      </c>
    </row>
    <row r="43" spans="1:6" ht="20.25" customHeight="1" x14ac:dyDescent="0.3">
      <c r="A43" s="235">
        <v>4</v>
      </c>
      <c r="B43" s="236" t="s">
        <v>437</v>
      </c>
      <c r="C43" s="237">
        <v>0</v>
      </c>
      <c r="D43" s="237">
        <v>38502</v>
      </c>
      <c r="E43" s="237">
        <f t="shared" si="4"/>
        <v>38502</v>
      </c>
      <c r="F43" s="238">
        <f t="shared" si="5"/>
        <v>0</v>
      </c>
    </row>
    <row r="44" spans="1:6" ht="20.25" customHeight="1" x14ac:dyDescent="0.3">
      <c r="A44" s="235">
        <v>5</v>
      </c>
      <c r="B44" s="236" t="s">
        <v>373</v>
      </c>
      <c r="C44" s="239">
        <v>0</v>
      </c>
      <c r="D44" s="239">
        <v>4</v>
      </c>
      <c r="E44" s="239">
        <f t="shared" si="4"/>
        <v>4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372</v>
      </c>
      <c r="C45" s="239">
        <v>0</v>
      </c>
      <c r="D45" s="239">
        <v>32</v>
      </c>
      <c r="E45" s="239">
        <f t="shared" si="4"/>
        <v>32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438</v>
      </c>
      <c r="C46" s="239">
        <v>0</v>
      </c>
      <c r="D46" s="239">
        <v>132</v>
      </c>
      <c r="E46" s="239">
        <f t="shared" si="4"/>
        <v>132</v>
      </c>
      <c r="F46" s="238">
        <f t="shared" si="5"/>
        <v>0</v>
      </c>
    </row>
    <row r="47" spans="1:6" ht="20.25" customHeight="1" x14ac:dyDescent="0.3">
      <c r="A47" s="235">
        <v>8</v>
      </c>
      <c r="B47" s="236" t="s">
        <v>439</v>
      </c>
      <c r="C47" s="239">
        <v>0</v>
      </c>
      <c r="D47" s="239">
        <v>5</v>
      </c>
      <c r="E47" s="239">
        <f t="shared" si="4"/>
        <v>5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3</v>
      </c>
      <c r="E48" s="239">
        <f t="shared" si="4"/>
        <v>3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0</v>
      </c>
      <c r="D49" s="243">
        <f>+D40+D42</f>
        <v>336267</v>
      </c>
      <c r="E49" s="243">
        <f t="shared" si="4"/>
        <v>336267</v>
      </c>
      <c r="F49" s="244">
        <f t="shared" si="5"/>
        <v>0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0</v>
      </c>
      <c r="D50" s="243">
        <f>+D41+D43</f>
        <v>111924</v>
      </c>
      <c r="E50" s="243">
        <f t="shared" si="4"/>
        <v>111924</v>
      </c>
      <c r="F50" s="244">
        <f t="shared" si="5"/>
        <v>0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3189399</v>
      </c>
      <c r="D53" s="237">
        <v>3694474</v>
      </c>
      <c r="E53" s="237">
        <f t="shared" ref="E53:E63" si="6">D53-C53</f>
        <v>505075</v>
      </c>
      <c r="F53" s="238">
        <f t="shared" ref="F53:F63" si="7">IF(C53=0,0,E53/C53)</f>
        <v>0.15836055633051871</v>
      </c>
    </row>
    <row r="54" spans="1:6" ht="20.25" customHeight="1" x14ac:dyDescent="0.3">
      <c r="A54" s="235">
        <v>2</v>
      </c>
      <c r="B54" s="236" t="s">
        <v>435</v>
      </c>
      <c r="C54" s="237">
        <v>645593</v>
      </c>
      <c r="D54" s="237">
        <v>961277</v>
      </c>
      <c r="E54" s="237">
        <f t="shared" si="6"/>
        <v>315684</v>
      </c>
      <c r="F54" s="238">
        <f t="shared" si="7"/>
        <v>0.488982997027539</v>
      </c>
    </row>
    <row r="55" spans="1:6" ht="20.25" customHeight="1" x14ac:dyDescent="0.3">
      <c r="A55" s="235">
        <v>3</v>
      </c>
      <c r="B55" s="236" t="s">
        <v>436</v>
      </c>
      <c r="C55" s="237">
        <v>3686736</v>
      </c>
      <c r="D55" s="237">
        <v>3659986</v>
      </c>
      <c r="E55" s="237">
        <f t="shared" si="6"/>
        <v>-26750</v>
      </c>
      <c r="F55" s="238">
        <f t="shared" si="7"/>
        <v>-7.2557405792006806E-3</v>
      </c>
    </row>
    <row r="56" spans="1:6" ht="20.25" customHeight="1" x14ac:dyDescent="0.3">
      <c r="A56" s="235">
        <v>4</v>
      </c>
      <c r="B56" s="236" t="s">
        <v>437</v>
      </c>
      <c r="C56" s="237">
        <v>585793</v>
      </c>
      <c r="D56" s="237">
        <v>579465</v>
      </c>
      <c r="E56" s="237">
        <f t="shared" si="6"/>
        <v>-6328</v>
      </c>
      <c r="F56" s="238">
        <f t="shared" si="7"/>
        <v>-1.080245069504074E-2</v>
      </c>
    </row>
    <row r="57" spans="1:6" ht="20.25" customHeight="1" x14ac:dyDescent="0.3">
      <c r="A57" s="235">
        <v>5</v>
      </c>
      <c r="B57" s="236" t="s">
        <v>373</v>
      </c>
      <c r="C57" s="239">
        <v>76</v>
      </c>
      <c r="D57" s="239">
        <v>92</v>
      </c>
      <c r="E57" s="239">
        <f t="shared" si="6"/>
        <v>16</v>
      </c>
      <c r="F57" s="238">
        <f t="shared" si="7"/>
        <v>0.21052631578947367</v>
      </c>
    </row>
    <row r="58" spans="1:6" ht="20.25" customHeight="1" x14ac:dyDescent="0.3">
      <c r="A58" s="235">
        <v>6</v>
      </c>
      <c r="B58" s="236" t="s">
        <v>372</v>
      </c>
      <c r="C58" s="239">
        <v>453</v>
      </c>
      <c r="D58" s="239">
        <v>471</v>
      </c>
      <c r="E58" s="239">
        <f t="shared" si="6"/>
        <v>18</v>
      </c>
      <c r="F58" s="238">
        <f t="shared" si="7"/>
        <v>3.9735099337748346E-2</v>
      </c>
    </row>
    <row r="59" spans="1:6" ht="20.25" customHeight="1" x14ac:dyDescent="0.3">
      <c r="A59" s="235">
        <v>7</v>
      </c>
      <c r="B59" s="236" t="s">
        <v>438</v>
      </c>
      <c r="C59" s="239">
        <v>3992</v>
      </c>
      <c r="D59" s="239">
        <v>3941</v>
      </c>
      <c r="E59" s="239">
        <f t="shared" si="6"/>
        <v>-51</v>
      </c>
      <c r="F59" s="238">
        <f t="shared" si="7"/>
        <v>-1.2775551102204409E-2</v>
      </c>
    </row>
    <row r="60" spans="1:6" ht="20.25" customHeight="1" x14ac:dyDescent="0.3">
      <c r="A60" s="235">
        <v>8</v>
      </c>
      <c r="B60" s="236" t="s">
        <v>439</v>
      </c>
      <c r="C60" s="239">
        <v>121</v>
      </c>
      <c r="D60" s="239">
        <v>121</v>
      </c>
      <c r="E60" s="239">
        <f t="shared" si="6"/>
        <v>0</v>
      </c>
      <c r="F60" s="238">
        <f t="shared" si="7"/>
        <v>0</v>
      </c>
    </row>
    <row r="61" spans="1:6" ht="20.25" customHeight="1" x14ac:dyDescent="0.3">
      <c r="A61" s="235">
        <v>9</v>
      </c>
      <c r="B61" s="236" t="s">
        <v>440</v>
      </c>
      <c r="C61" s="239">
        <v>77</v>
      </c>
      <c r="D61" s="239">
        <v>92</v>
      </c>
      <c r="E61" s="239">
        <f t="shared" si="6"/>
        <v>15</v>
      </c>
      <c r="F61" s="238">
        <f t="shared" si="7"/>
        <v>0.19480519480519481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6876135</v>
      </c>
      <c r="D62" s="243">
        <f>+D53+D55</f>
        <v>7354460</v>
      </c>
      <c r="E62" s="243">
        <f t="shared" si="6"/>
        <v>478325</v>
      </c>
      <c r="F62" s="244">
        <f t="shared" si="7"/>
        <v>6.9563061225528591E-2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1231386</v>
      </c>
      <c r="D63" s="243">
        <f>+D54+D56</f>
        <v>1540742</v>
      </c>
      <c r="E63" s="243">
        <f t="shared" si="6"/>
        <v>309356</v>
      </c>
      <c r="F63" s="244">
        <f t="shared" si="7"/>
        <v>0.25122585444369189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9089710</v>
      </c>
      <c r="D66" s="237">
        <v>11658656</v>
      </c>
      <c r="E66" s="237">
        <f t="shared" ref="E66:E76" si="8">D66-C66</f>
        <v>2568946</v>
      </c>
      <c r="F66" s="238">
        <f t="shared" ref="F66:F76" si="9">IF(C66=0,0,E66/C66)</f>
        <v>0.28262133775444981</v>
      </c>
    </row>
    <row r="67" spans="1:6" ht="20.25" customHeight="1" x14ac:dyDescent="0.3">
      <c r="A67" s="235">
        <v>2</v>
      </c>
      <c r="B67" s="236" t="s">
        <v>435</v>
      </c>
      <c r="C67" s="237">
        <v>1873962</v>
      </c>
      <c r="D67" s="237">
        <v>2108133</v>
      </c>
      <c r="E67" s="237">
        <f t="shared" si="8"/>
        <v>234171</v>
      </c>
      <c r="F67" s="238">
        <f t="shared" si="9"/>
        <v>0.12496037806529695</v>
      </c>
    </row>
    <row r="68" spans="1:6" ht="20.25" customHeight="1" x14ac:dyDescent="0.3">
      <c r="A68" s="235">
        <v>3</v>
      </c>
      <c r="B68" s="236" t="s">
        <v>436</v>
      </c>
      <c r="C68" s="237">
        <v>2949016</v>
      </c>
      <c r="D68" s="237">
        <v>3993341</v>
      </c>
      <c r="E68" s="237">
        <f t="shared" si="8"/>
        <v>1044325</v>
      </c>
      <c r="F68" s="238">
        <f t="shared" si="9"/>
        <v>0.35412659680381525</v>
      </c>
    </row>
    <row r="69" spans="1:6" ht="20.25" customHeight="1" x14ac:dyDescent="0.3">
      <c r="A69" s="235">
        <v>4</v>
      </c>
      <c r="B69" s="236" t="s">
        <v>437</v>
      </c>
      <c r="C69" s="237">
        <v>655672</v>
      </c>
      <c r="D69" s="237">
        <v>818875</v>
      </c>
      <c r="E69" s="237">
        <f t="shared" si="8"/>
        <v>163203</v>
      </c>
      <c r="F69" s="238">
        <f t="shared" si="9"/>
        <v>0.2489095157334765</v>
      </c>
    </row>
    <row r="70" spans="1:6" ht="20.25" customHeight="1" x14ac:dyDescent="0.3">
      <c r="A70" s="235">
        <v>5</v>
      </c>
      <c r="B70" s="236" t="s">
        <v>373</v>
      </c>
      <c r="C70" s="239">
        <v>246</v>
      </c>
      <c r="D70" s="239">
        <v>314</v>
      </c>
      <c r="E70" s="239">
        <f t="shared" si="8"/>
        <v>68</v>
      </c>
      <c r="F70" s="238">
        <f t="shared" si="9"/>
        <v>0.27642276422764228</v>
      </c>
    </row>
    <row r="71" spans="1:6" ht="20.25" customHeight="1" x14ac:dyDescent="0.3">
      <c r="A71" s="235">
        <v>6</v>
      </c>
      <c r="B71" s="236" t="s">
        <v>372</v>
      </c>
      <c r="C71" s="239">
        <v>1266</v>
      </c>
      <c r="D71" s="239">
        <v>1526</v>
      </c>
      <c r="E71" s="239">
        <f t="shared" si="8"/>
        <v>260</v>
      </c>
      <c r="F71" s="238">
        <f t="shared" si="9"/>
        <v>0.20537124802527645</v>
      </c>
    </row>
    <row r="72" spans="1:6" ht="20.25" customHeight="1" x14ac:dyDescent="0.3">
      <c r="A72" s="235">
        <v>7</v>
      </c>
      <c r="B72" s="236" t="s">
        <v>438</v>
      </c>
      <c r="C72" s="239">
        <v>1236</v>
      </c>
      <c r="D72" s="239">
        <v>1447</v>
      </c>
      <c r="E72" s="239">
        <f t="shared" si="8"/>
        <v>211</v>
      </c>
      <c r="F72" s="238">
        <f t="shared" si="9"/>
        <v>0.17071197411003236</v>
      </c>
    </row>
    <row r="73" spans="1:6" ht="20.25" customHeight="1" x14ac:dyDescent="0.3">
      <c r="A73" s="235">
        <v>8</v>
      </c>
      <c r="B73" s="236" t="s">
        <v>439</v>
      </c>
      <c r="C73" s="239">
        <v>237</v>
      </c>
      <c r="D73" s="239">
        <v>263</v>
      </c>
      <c r="E73" s="239">
        <f t="shared" si="8"/>
        <v>26</v>
      </c>
      <c r="F73" s="238">
        <f t="shared" si="9"/>
        <v>0.10970464135021098</v>
      </c>
    </row>
    <row r="74" spans="1:6" ht="20.25" customHeight="1" x14ac:dyDescent="0.3">
      <c r="A74" s="235">
        <v>9</v>
      </c>
      <c r="B74" s="236" t="s">
        <v>440</v>
      </c>
      <c r="C74" s="239">
        <v>254</v>
      </c>
      <c r="D74" s="239">
        <v>313</v>
      </c>
      <c r="E74" s="239">
        <f t="shared" si="8"/>
        <v>59</v>
      </c>
      <c r="F74" s="238">
        <f t="shared" si="9"/>
        <v>0.23228346456692914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12038726</v>
      </c>
      <c r="D75" s="243">
        <f>+D66+D68</f>
        <v>15651997</v>
      </c>
      <c r="E75" s="243">
        <f t="shared" si="8"/>
        <v>3613271</v>
      </c>
      <c r="F75" s="244">
        <f t="shared" si="9"/>
        <v>0.30013732350084221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2529634</v>
      </c>
      <c r="D76" s="243">
        <f>+D67+D69</f>
        <v>2927008</v>
      </c>
      <c r="E76" s="243">
        <f t="shared" si="8"/>
        <v>397374</v>
      </c>
      <c r="F76" s="244">
        <f t="shared" si="9"/>
        <v>0.15708754705226133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739026</v>
      </c>
      <c r="D79" s="237">
        <v>1376067</v>
      </c>
      <c r="E79" s="237">
        <f t="shared" ref="E79:E89" si="10">D79-C79</f>
        <v>637041</v>
      </c>
      <c r="F79" s="238">
        <f t="shared" ref="F79:F89" si="11">IF(C79=0,0,E79/C79)</f>
        <v>0.8620007956418313</v>
      </c>
    </row>
    <row r="80" spans="1:6" ht="20.25" customHeight="1" x14ac:dyDescent="0.3">
      <c r="A80" s="235">
        <v>2</v>
      </c>
      <c r="B80" s="236" t="s">
        <v>435</v>
      </c>
      <c r="C80" s="237">
        <v>164228</v>
      </c>
      <c r="D80" s="237">
        <v>0</v>
      </c>
      <c r="E80" s="237">
        <f t="shared" si="10"/>
        <v>-164228</v>
      </c>
      <c r="F80" s="238">
        <f t="shared" si="11"/>
        <v>-1</v>
      </c>
    </row>
    <row r="81" spans="1:6" ht="20.25" customHeight="1" x14ac:dyDescent="0.3">
      <c r="A81" s="235">
        <v>3</v>
      </c>
      <c r="B81" s="236" t="s">
        <v>436</v>
      </c>
      <c r="C81" s="237">
        <v>185056</v>
      </c>
      <c r="D81" s="237">
        <v>543738</v>
      </c>
      <c r="E81" s="237">
        <f t="shared" si="10"/>
        <v>358682</v>
      </c>
      <c r="F81" s="238">
        <f t="shared" si="11"/>
        <v>1.9382349126750822</v>
      </c>
    </row>
    <row r="82" spans="1:6" ht="20.25" customHeight="1" x14ac:dyDescent="0.3">
      <c r="A82" s="235">
        <v>4</v>
      </c>
      <c r="B82" s="236" t="s">
        <v>437</v>
      </c>
      <c r="C82" s="237">
        <v>98123</v>
      </c>
      <c r="D82" s="237">
        <v>259122</v>
      </c>
      <c r="E82" s="237">
        <f t="shared" si="10"/>
        <v>160999</v>
      </c>
      <c r="F82" s="238">
        <f t="shared" si="11"/>
        <v>1.6407875829316267</v>
      </c>
    </row>
    <row r="83" spans="1:6" ht="20.25" customHeight="1" x14ac:dyDescent="0.3">
      <c r="A83" s="235">
        <v>5</v>
      </c>
      <c r="B83" s="236" t="s">
        <v>373</v>
      </c>
      <c r="C83" s="239">
        <v>20</v>
      </c>
      <c r="D83" s="239">
        <v>32</v>
      </c>
      <c r="E83" s="239">
        <f t="shared" si="10"/>
        <v>12</v>
      </c>
      <c r="F83" s="238">
        <f t="shared" si="11"/>
        <v>0.6</v>
      </c>
    </row>
    <row r="84" spans="1:6" ht="20.25" customHeight="1" x14ac:dyDescent="0.3">
      <c r="A84" s="235">
        <v>6</v>
      </c>
      <c r="B84" s="236" t="s">
        <v>372</v>
      </c>
      <c r="C84" s="239">
        <v>106</v>
      </c>
      <c r="D84" s="239">
        <v>160</v>
      </c>
      <c r="E84" s="239">
        <f t="shared" si="10"/>
        <v>54</v>
      </c>
      <c r="F84" s="238">
        <f t="shared" si="11"/>
        <v>0.50943396226415094</v>
      </c>
    </row>
    <row r="85" spans="1:6" ht="20.25" customHeight="1" x14ac:dyDescent="0.3">
      <c r="A85" s="235">
        <v>7</v>
      </c>
      <c r="B85" s="236" t="s">
        <v>438</v>
      </c>
      <c r="C85" s="239">
        <v>96</v>
      </c>
      <c r="D85" s="239">
        <v>193</v>
      </c>
      <c r="E85" s="239">
        <f t="shared" si="10"/>
        <v>97</v>
      </c>
      <c r="F85" s="238">
        <f t="shared" si="11"/>
        <v>1.0104166666666667</v>
      </c>
    </row>
    <row r="86" spans="1:6" ht="20.25" customHeight="1" x14ac:dyDescent="0.3">
      <c r="A86" s="235">
        <v>8</v>
      </c>
      <c r="B86" s="236" t="s">
        <v>439</v>
      </c>
      <c r="C86" s="239">
        <v>20</v>
      </c>
      <c r="D86" s="239">
        <v>39</v>
      </c>
      <c r="E86" s="239">
        <f t="shared" si="10"/>
        <v>19</v>
      </c>
      <c r="F86" s="238">
        <f t="shared" si="11"/>
        <v>0.95</v>
      </c>
    </row>
    <row r="87" spans="1:6" ht="20.25" customHeight="1" x14ac:dyDescent="0.3">
      <c r="A87" s="235">
        <v>9</v>
      </c>
      <c r="B87" s="236" t="s">
        <v>440</v>
      </c>
      <c r="C87" s="239">
        <v>22</v>
      </c>
      <c r="D87" s="239">
        <v>28</v>
      </c>
      <c r="E87" s="239">
        <f t="shared" si="10"/>
        <v>6</v>
      </c>
      <c r="F87" s="238">
        <f t="shared" si="11"/>
        <v>0.27272727272727271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924082</v>
      </c>
      <c r="D88" s="243">
        <f>+D79+D81</f>
        <v>1919805</v>
      </c>
      <c r="E88" s="243">
        <f t="shared" si="10"/>
        <v>995723</v>
      </c>
      <c r="F88" s="244">
        <f t="shared" si="11"/>
        <v>1.0775266697111294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262351</v>
      </c>
      <c r="D89" s="243">
        <f>+D80+D82</f>
        <v>259122</v>
      </c>
      <c r="E89" s="243">
        <f t="shared" si="10"/>
        <v>-3229</v>
      </c>
      <c r="F89" s="244">
        <f t="shared" si="11"/>
        <v>-1.2307938601339427E-2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2841686</v>
      </c>
      <c r="D118" s="237">
        <v>3103004</v>
      </c>
      <c r="E118" s="237">
        <f t="shared" ref="E118:E128" si="16">D118-C118</f>
        <v>261318</v>
      </c>
      <c r="F118" s="238">
        <f t="shared" ref="F118:F128" si="17">IF(C118=0,0,E118/C118)</f>
        <v>9.1958787846370071E-2</v>
      </c>
    </row>
    <row r="119" spans="1:6" ht="20.25" customHeight="1" x14ac:dyDescent="0.3">
      <c r="A119" s="235">
        <v>2</v>
      </c>
      <c r="B119" s="236" t="s">
        <v>435</v>
      </c>
      <c r="C119" s="237">
        <v>576900</v>
      </c>
      <c r="D119" s="237">
        <v>717174</v>
      </c>
      <c r="E119" s="237">
        <f t="shared" si="16"/>
        <v>140274</v>
      </c>
      <c r="F119" s="238">
        <f t="shared" si="17"/>
        <v>0.24315132605304213</v>
      </c>
    </row>
    <row r="120" spans="1:6" ht="20.25" customHeight="1" x14ac:dyDescent="0.3">
      <c r="A120" s="235">
        <v>3</v>
      </c>
      <c r="B120" s="236" t="s">
        <v>436</v>
      </c>
      <c r="C120" s="237">
        <v>1451799</v>
      </c>
      <c r="D120" s="237">
        <v>1222574</v>
      </c>
      <c r="E120" s="237">
        <f t="shared" si="16"/>
        <v>-229225</v>
      </c>
      <c r="F120" s="238">
        <f t="shared" si="17"/>
        <v>-0.15789031401729853</v>
      </c>
    </row>
    <row r="121" spans="1:6" ht="20.25" customHeight="1" x14ac:dyDescent="0.3">
      <c r="A121" s="235">
        <v>4</v>
      </c>
      <c r="B121" s="236" t="s">
        <v>437</v>
      </c>
      <c r="C121" s="237">
        <v>327734</v>
      </c>
      <c r="D121" s="237">
        <v>253955</v>
      </c>
      <c r="E121" s="237">
        <f t="shared" si="16"/>
        <v>-73779</v>
      </c>
      <c r="F121" s="238">
        <f t="shared" si="17"/>
        <v>-0.2251185412560186</v>
      </c>
    </row>
    <row r="122" spans="1:6" ht="20.25" customHeight="1" x14ac:dyDescent="0.3">
      <c r="A122" s="235">
        <v>5</v>
      </c>
      <c r="B122" s="236" t="s">
        <v>373</v>
      </c>
      <c r="C122" s="239">
        <v>79</v>
      </c>
      <c r="D122" s="239">
        <v>98</v>
      </c>
      <c r="E122" s="239">
        <f t="shared" si="16"/>
        <v>19</v>
      </c>
      <c r="F122" s="238">
        <f t="shared" si="17"/>
        <v>0.24050632911392406</v>
      </c>
    </row>
    <row r="123" spans="1:6" ht="20.25" customHeight="1" x14ac:dyDescent="0.3">
      <c r="A123" s="235">
        <v>6</v>
      </c>
      <c r="B123" s="236" t="s">
        <v>372</v>
      </c>
      <c r="C123" s="239">
        <v>410</v>
      </c>
      <c r="D123" s="239">
        <v>418</v>
      </c>
      <c r="E123" s="239">
        <f t="shared" si="16"/>
        <v>8</v>
      </c>
      <c r="F123" s="238">
        <f t="shared" si="17"/>
        <v>1.9512195121951219E-2</v>
      </c>
    </row>
    <row r="124" spans="1:6" ht="20.25" customHeight="1" x14ac:dyDescent="0.3">
      <c r="A124" s="235">
        <v>7</v>
      </c>
      <c r="B124" s="236" t="s">
        <v>438</v>
      </c>
      <c r="C124" s="239">
        <v>708</v>
      </c>
      <c r="D124" s="239">
        <v>654</v>
      </c>
      <c r="E124" s="239">
        <f t="shared" si="16"/>
        <v>-54</v>
      </c>
      <c r="F124" s="238">
        <f t="shared" si="17"/>
        <v>-7.6271186440677971E-2</v>
      </c>
    </row>
    <row r="125" spans="1:6" ht="20.25" customHeight="1" x14ac:dyDescent="0.3">
      <c r="A125" s="235">
        <v>8</v>
      </c>
      <c r="B125" s="236" t="s">
        <v>439</v>
      </c>
      <c r="C125" s="239">
        <v>75</v>
      </c>
      <c r="D125" s="239">
        <v>94</v>
      </c>
      <c r="E125" s="239">
        <f t="shared" si="16"/>
        <v>19</v>
      </c>
      <c r="F125" s="238">
        <f t="shared" si="17"/>
        <v>0.25333333333333335</v>
      </c>
    </row>
    <row r="126" spans="1:6" ht="20.25" customHeight="1" x14ac:dyDescent="0.3">
      <c r="A126" s="235">
        <v>9</v>
      </c>
      <c r="B126" s="236" t="s">
        <v>440</v>
      </c>
      <c r="C126" s="239">
        <v>83</v>
      </c>
      <c r="D126" s="239">
        <v>102</v>
      </c>
      <c r="E126" s="239">
        <f t="shared" si="16"/>
        <v>19</v>
      </c>
      <c r="F126" s="238">
        <f t="shared" si="17"/>
        <v>0.2289156626506024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4293485</v>
      </c>
      <c r="D127" s="243">
        <f>+D118+D120</f>
        <v>4325578</v>
      </c>
      <c r="E127" s="243">
        <f t="shared" si="16"/>
        <v>32093</v>
      </c>
      <c r="F127" s="244">
        <f t="shared" si="17"/>
        <v>7.4748135838369062E-3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904634</v>
      </c>
      <c r="D128" s="243">
        <f>+D119+D121</f>
        <v>971129</v>
      </c>
      <c r="E128" s="243">
        <f t="shared" si="16"/>
        <v>66495</v>
      </c>
      <c r="F128" s="244">
        <f t="shared" si="17"/>
        <v>7.3504864950908327E-2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16239151</v>
      </c>
      <c r="D198" s="243">
        <f t="shared" si="28"/>
        <v>20344124</v>
      </c>
      <c r="E198" s="243">
        <f t="shared" ref="E198:E208" si="29">D198-C198</f>
        <v>4104973</v>
      </c>
      <c r="F198" s="251">
        <f t="shared" ref="F198:F208" si="30">IF(C198=0,0,E198/C198)</f>
        <v>0.25278248844413109</v>
      </c>
    </row>
    <row r="199" spans="1:9" ht="20.25" customHeight="1" x14ac:dyDescent="0.3">
      <c r="A199" s="249"/>
      <c r="B199" s="250" t="s">
        <v>461</v>
      </c>
      <c r="C199" s="243">
        <f t="shared" si="28"/>
        <v>3402467</v>
      </c>
      <c r="D199" s="243">
        <f t="shared" si="28"/>
        <v>3902480</v>
      </c>
      <c r="E199" s="243">
        <f t="shared" si="29"/>
        <v>500013</v>
      </c>
      <c r="F199" s="251">
        <f t="shared" si="30"/>
        <v>0.14695601750141882</v>
      </c>
    </row>
    <row r="200" spans="1:9" ht="20.25" customHeight="1" x14ac:dyDescent="0.3">
      <c r="A200" s="249"/>
      <c r="B200" s="250" t="s">
        <v>462</v>
      </c>
      <c r="C200" s="243">
        <f t="shared" si="28"/>
        <v>8501590</v>
      </c>
      <c r="D200" s="243">
        <f t="shared" si="28"/>
        <v>9928828</v>
      </c>
      <c r="E200" s="243">
        <f t="shared" si="29"/>
        <v>1427238</v>
      </c>
      <c r="F200" s="251">
        <f t="shared" si="30"/>
        <v>0.16787894970234979</v>
      </c>
    </row>
    <row r="201" spans="1:9" ht="20.25" customHeight="1" x14ac:dyDescent="0.3">
      <c r="A201" s="249"/>
      <c r="B201" s="250" t="s">
        <v>463</v>
      </c>
      <c r="C201" s="243">
        <f t="shared" si="28"/>
        <v>1738427</v>
      </c>
      <c r="D201" s="243">
        <f t="shared" si="28"/>
        <v>1995223</v>
      </c>
      <c r="E201" s="243">
        <f t="shared" si="29"/>
        <v>256796</v>
      </c>
      <c r="F201" s="251">
        <f t="shared" si="30"/>
        <v>0.14771744801478578</v>
      </c>
    </row>
    <row r="202" spans="1:9" ht="20.25" customHeight="1" x14ac:dyDescent="0.3">
      <c r="A202" s="249"/>
      <c r="B202" s="250" t="s">
        <v>464</v>
      </c>
      <c r="C202" s="252">
        <f t="shared" si="28"/>
        <v>430</v>
      </c>
      <c r="D202" s="252">
        <f t="shared" si="28"/>
        <v>551</v>
      </c>
      <c r="E202" s="252">
        <f t="shared" si="29"/>
        <v>121</v>
      </c>
      <c r="F202" s="251">
        <f t="shared" si="30"/>
        <v>0.28139534883720929</v>
      </c>
    </row>
    <row r="203" spans="1:9" ht="20.25" customHeight="1" x14ac:dyDescent="0.3">
      <c r="A203" s="249"/>
      <c r="B203" s="250" t="s">
        <v>465</v>
      </c>
      <c r="C203" s="252">
        <f t="shared" si="28"/>
        <v>2283</v>
      </c>
      <c r="D203" s="252">
        <f t="shared" si="28"/>
        <v>2664</v>
      </c>
      <c r="E203" s="252">
        <f t="shared" si="29"/>
        <v>381</v>
      </c>
      <c r="F203" s="251">
        <f t="shared" si="30"/>
        <v>0.16688567674113008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6256</v>
      </c>
      <c r="D204" s="252">
        <f t="shared" si="28"/>
        <v>6600</v>
      </c>
      <c r="E204" s="252">
        <f t="shared" si="29"/>
        <v>344</v>
      </c>
      <c r="F204" s="251">
        <f t="shared" si="30"/>
        <v>5.4987212276214836E-2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465</v>
      </c>
      <c r="D205" s="252">
        <f t="shared" si="28"/>
        <v>530</v>
      </c>
      <c r="E205" s="252">
        <f t="shared" si="29"/>
        <v>65</v>
      </c>
      <c r="F205" s="251">
        <f t="shared" si="30"/>
        <v>0.13978494623655913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445</v>
      </c>
      <c r="D206" s="252">
        <f t="shared" si="28"/>
        <v>554</v>
      </c>
      <c r="E206" s="252">
        <f t="shared" si="29"/>
        <v>109</v>
      </c>
      <c r="F206" s="251">
        <f t="shared" si="30"/>
        <v>0.24494382022471911</v>
      </c>
    </row>
    <row r="207" spans="1:9" ht="20.25" customHeight="1" x14ac:dyDescent="0.3">
      <c r="A207" s="249"/>
      <c r="B207" s="242" t="s">
        <v>469</v>
      </c>
      <c r="C207" s="243">
        <f>+C198+C200</f>
        <v>24740741</v>
      </c>
      <c r="D207" s="243">
        <f>+D198+D200</f>
        <v>30272952</v>
      </c>
      <c r="E207" s="243">
        <f t="shared" si="29"/>
        <v>5532211</v>
      </c>
      <c r="F207" s="251">
        <f t="shared" si="30"/>
        <v>0.22360732849513279</v>
      </c>
    </row>
    <row r="208" spans="1:9" ht="20.25" customHeight="1" x14ac:dyDescent="0.3">
      <c r="A208" s="249"/>
      <c r="B208" s="242" t="s">
        <v>470</v>
      </c>
      <c r="C208" s="243">
        <f>+C199+C201</f>
        <v>5140894</v>
      </c>
      <c r="D208" s="243">
        <f>+D199+D201</f>
        <v>5897703</v>
      </c>
      <c r="E208" s="243">
        <f t="shared" si="29"/>
        <v>756809</v>
      </c>
      <c r="F208" s="251">
        <f t="shared" si="30"/>
        <v>0.14721350022000065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FILING&amp;RGREENWICH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15015</v>
      </c>
      <c r="D14" s="237">
        <v>0</v>
      </c>
      <c r="E14" s="237">
        <f t="shared" ref="E14:E24" si="0">D14-C14</f>
        <v>-15015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13824</v>
      </c>
      <c r="D15" s="237">
        <v>0</v>
      </c>
      <c r="E15" s="237">
        <f t="shared" si="0"/>
        <v>-13824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74814</v>
      </c>
      <c r="D16" s="237">
        <v>0</v>
      </c>
      <c r="E16" s="237">
        <f t="shared" si="0"/>
        <v>-74814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14123</v>
      </c>
      <c r="D17" s="237">
        <v>0</v>
      </c>
      <c r="E17" s="237">
        <f t="shared" si="0"/>
        <v>-14123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1</v>
      </c>
      <c r="D18" s="239">
        <v>0</v>
      </c>
      <c r="E18" s="239">
        <f t="shared" si="0"/>
        <v>-1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2</v>
      </c>
      <c r="D19" s="239">
        <v>0</v>
      </c>
      <c r="E19" s="239">
        <f t="shared" si="0"/>
        <v>-2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26</v>
      </c>
      <c r="D20" s="239">
        <v>0</v>
      </c>
      <c r="E20" s="239">
        <f t="shared" si="0"/>
        <v>-26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26</v>
      </c>
      <c r="D21" s="239">
        <v>0</v>
      </c>
      <c r="E21" s="239">
        <f t="shared" si="0"/>
        <v>-26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1</v>
      </c>
      <c r="D22" s="239">
        <v>0</v>
      </c>
      <c r="E22" s="239">
        <f t="shared" si="0"/>
        <v>-1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89829</v>
      </c>
      <c r="D23" s="243">
        <f>+D14+D16</f>
        <v>0</v>
      </c>
      <c r="E23" s="243">
        <f t="shared" si="0"/>
        <v>-89829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27947</v>
      </c>
      <c r="D24" s="243">
        <f>+D15+D17</f>
        <v>0</v>
      </c>
      <c r="E24" s="243">
        <f t="shared" si="0"/>
        <v>-27947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1341496</v>
      </c>
      <c r="D26" s="237">
        <v>2018743</v>
      </c>
      <c r="E26" s="237">
        <f t="shared" ref="E26:E36" si="2">D26-C26</f>
        <v>677247</v>
      </c>
      <c r="F26" s="238">
        <f t="shared" ref="F26:F36" si="3">IF(C26=0,0,E26/C26)</f>
        <v>0.5048445914113795</v>
      </c>
    </row>
    <row r="27" spans="1:6" ht="20.25" customHeight="1" x14ac:dyDescent="0.3">
      <c r="A27" s="235">
        <v>2</v>
      </c>
      <c r="B27" s="236" t="s">
        <v>435</v>
      </c>
      <c r="C27" s="237">
        <v>316928</v>
      </c>
      <c r="D27" s="237">
        <v>509525</v>
      </c>
      <c r="E27" s="237">
        <f t="shared" si="2"/>
        <v>192597</v>
      </c>
      <c r="F27" s="238">
        <f t="shared" si="3"/>
        <v>0.60769954058966069</v>
      </c>
    </row>
    <row r="28" spans="1:6" ht="20.25" customHeight="1" x14ac:dyDescent="0.3">
      <c r="A28" s="235">
        <v>3</v>
      </c>
      <c r="B28" s="236" t="s">
        <v>436</v>
      </c>
      <c r="C28" s="237">
        <v>5697915</v>
      </c>
      <c r="D28" s="237">
        <v>6304986</v>
      </c>
      <c r="E28" s="237">
        <f t="shared" si="2"/>
        <v>607071</v>
      </c>
      <c r="F28" s="238">
        <f t="shared" si="3"/>
        <v>0.10654265639273314</v>
      </c>
    </row>
    <row r="29" spans="1:6" ht="20.25" customHeight="1" x14ac:dyDescent="0.3">
      <c r="A29" s="235">
        <v>4</v>
      </c>
      <c r="B29" s="236" t="s">
        <v>437</v>
      </c>
      <c r="C29" s="237">
        <v>1320139</v>
      </c>
      <c r="D29" s="237">
        <v>1376626</v>
      </c>
      <c r="E29" s="237">
        <f t="shared" si="2"/>
        <v>56487</v>
      </c>
      <c r="F29" s="238">
        <f t="shared" si="3"/>
        <v>4.2788676040932054E-2</v>
      </c>
    </row>
    <row r="30" spans="1:6" ht="20.25" customHeight="1" x14ac:dyDescent="0.3">
      <c r="A30" s="235">
        <v>5</v>
      </c>
      <c r="B30" s="236" t="s">
        <v>373</v>
      </c>
      <c r="C30" s="239">
        <v>83</v>
      </c>
      <c r="D30" s="239">
        <v>92</v>
      </c>
      <c r="E30" s="239">
        <f t="shared" si="2"/>
        <v>9</v>
      </c>
      <c r="F30" s="238">
        <f t="shared" si="3"/>
        <v>0.10843373493975904</v>
      </c>
    </row>
    <row r="31" spans="1:6" ht="20.25" customHeight="1" x14ac:dyDescent="0.3">
      <c r="A31" s="235">
        <v>6</v>
      </c>
      <c r="B31" s="236" t="s">
        <v>372</v>
      </c>
      <c r="C31" s="239">
        <v>228</v>
      </c>
      <c r="D31" s="239">
        <v>331</v>
      </c>
      <c r="E31" s="239">
        <f t="shared" si="2"/>
        <v>103</v>
      </c>
      <c r="F31" s="238">
        <f t="shared" si="3"/>
        <v>0.4517543859649123</v>
      </c>
    </row>
    <row r="32" spans="1:6" ht="20.25" customHeight="1" x14ac:dyDescent="0.3">
      <c r="A32" s="235">
        <v>7</v>
      </c>
      <c r="B32" s="236" t="s">
        <v>438</v>
      </c>
      <c r="C32" s="239">
        <v>7259</v>
      </c>
      <c r="D32" s="239">
        <v>8432</v>
      </c>
      <c r="E32" s="239">
        <f t="shared" si="2"/>
        <v>1173</v>
      </c>
      <c r="F32" s="238">
        <f t="shared" si="3"/>
        <v>0.16159250585480095</v>
      </c>
    </row>
    <row r="33" spans="1:6" ht="20.25" customHeight="1" x14ac:dyDescent="0.3">
      <c r="A33" s="235">
        <v>8</v>
      </c>
      <c r="B33" s="236" t="s">
        <v>439</v>
      </c>
      <c r="C33" s="239">
        <v>1342</v>
      </c>
      <c r="D33" s="239">
        <v>1284</v>
      </c>
      <c r="E33" s="239">
        <f t="shared" si="2"/>
        <v>-58</v>
      </c>
      <c r="F33" s="238">
        <f t="shared" si="3"/>
        <v>-4.3219076005961254E-2</v>
      </c>
    </row>
    <row r="34" spans="1:6" ht="20.25" customHeight="1" x14ac:dyDescent="0.3">
      <c r="A34" s="235">
        <v>9</v>
      </c>
      <c r="B34" s="236" t="s">
        <v>440</v>
      </c>
      <c r="C34" s="239">
        <v>51</v>
      </c>
      <c r="D34" s="239">
        <v>34</v>
      </c>
      <c r="E34" s="239">
        <f t="shared" si="2"/>
        <v>-17</v>
      </c>
      <c r="F34" s="238">
        <f t="shared" si="3"/>
        <v>-0.33333333333333331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7039411</v>
      </c>
      <c r="D35" s="243">
        <f>+D26+D28</f>
        <v>8323729</v>
      </c>
      <c r="E35" s="243">
        <f t="shared" si="2"/>
        <v>1284318</v>
      </c>
      <c r="F35" s="244">
        <f t="shared" si="3"/>
        <v>0.18244679846083714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1637067</v>
      </c>
      <c r="D36" s="243">
        <f>+D27+D29</f>
        <v>1886151</v>
      </c>
      <c r="E36" s="243">
        <f t="shared" si="2"/>
        <v>249084</v>
      </c>
      <c r="F36" s="244">
        <f t="shared" si="3"/>
        <v>0.15215259974087805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83621</v>
      </c>
      <c r="D50" s="237">
        <v>164740</v>
      </c>
      <c r="E50" s="237">
        <f t="shared" ref="E50:E60" si="6">D50-C50</f>
        <v>81119</v>
      </c>
      <c r="F50" s="238">
        <f t="shared" ref="F50:F60" si="7">IF(C50=0,0,E50/C50)</f>
        <v>0.97007928630367968</v>
      </c>
    </row>
    <row r="51" spans="1:6" ht="20.25" customHeight="1" x14ac:dyDescent="0.3">
      <c r="A51" s="235">
        <v>2</v>
      </c>
      <c r="B51" s="236" t="s">
        <v>435</v>
      </c>
      <c r="C51" s="237">
        <v>2793</v>
      </c>
      <c r="D51" s="237">
        <v>47520</v>
      </c>
      <c r="E51" s="237">
        <f t="shared" si="6"/>
        <v>44727</v>
      </c>
      <c r="F51" s="238">
        <f t="shared" si="7"/>
        <v>16.013963480128893</v>
      </c>
    </row>
    <row r="52" spans="1:6" ht="20.25" customHeight="1" x14ac:dyDescent="0.3">
      <c r="A52" s="235">
        <v>3</v>
      </c>
      <c r="B52" s="236" t="s">
        <v>436</v>
      </c>
      <c r="C52" s="237">
        <v>325616</v>
      </c>
      <c r="D52" s="237">
        <v>417894</v>
      </c>
      <c r="E52" s="237">
        <f t="shared" si="6"/>
        <v>92278</v>
      </c>
      <c r="F52" s="238">
        <f t="shared" si="7"/>
        <v>0.2833951648567638</v>
      </c>
    </row>
    <row r="53" spans="1:6" ht="20.25" customHeight="1" x14ac:dyDescent="0.3">
      <c r="A53" s="235">
        <v>4</v>
      </c>
      <c r="B53" s="236" t="s">
        <v>437</v>
      </c>
      <c r="C53" s="237">
        <v>23548</v>
      </c>
      <c r="D53" s="237">
        <v>38548</v>
      </c>
      <c r="E53" s="237">
        <f t="shared" si="6"/>
        <v>15000</v>
      </c>
      <c r="F53" s="238">
        <f t="shared" si="7"/>
        <v>0.63699677254968579</v>
      </c>
    </row>
    <row r="54" spans="1:6" ht="20.25" customHeight="1" x14ac:dyDescent="0.3">
      <c r="A54" s="235">
        <v>5</v>
      </c>
      <c r="B54" s="236" t="s">
        <v>373</v>
      </c>
      <c r="C54" s="239">
        <v>13</v>
      </c>
      <c r="D54" s="239">
        <v>22</v>
      </c>
      <c r="E54" s="239">
        <f t="shared" si="6"/>
        <v>9</v>
      </c>
      <c r="F54" s="238">
        <f t="shared" si="7"/>
        <v>0.69230769230769229</v>
      </c>
    </row>
    <row r="55" spans="1:6" ht="20.25" customHeight="1" x14ac:dyDescent="0.3">
      <c r="A55" s="235">
        <v>6</v>
      </c>
      <c r="B55" s="236" t="s">
        <v>372</v>
      </c>
      <c r="C55" s="239">
        <v>45</v>
      </c>
      <c r="D55" s="239">
        <v>75</v>
      </c>
      <c r="E55" s="239">
        <f t="shared" si="6"/>
        <v>30</v>
      </c>
      <c r="F55" s="238">
        <f t="shared" si="7"/>
        <v>0.66666666666666663</v>
      </c>
    </row>
    <row r="56" spans="1:6" ht="20.25" customHeight="1" x14ac:dyDescent="0.3">
      <c r="A56" s="235">
        <v>7</v>
      </c>
      <c r="B56" s="236" t="s">
        <v>438</v>
      </c>
      <c r="C56" s="239">
        <v>1125</v>
      </c>
      <c r="D56" s="239">
        <v>1577</v>
      </c>
      <c r="E56" s="239">
        <f t="shared" si="6"/>
        <v>452</v>
      </c>
      <c r="F56" s="238">
        <f t="shared" si="7"/>
        <v>0.40177777777777779</v>
      </c>
    </row>
    <row r="57" spans="1:6" ht="20.25" customHeight="1" x14ac:dyDescent="0.3">
      <c r="A57" s="235">
        <v>8</v>
      </c>
      <c r="B57" s="236" t="s">
        <v>439</v>
      </c>
      <c r="C57" s="239">
        <v>1</v>
      </c>
      <c r="D57" s="239">
        <v>0</v>
      </c>
      <c r="E57" s="239">
        <f t="shared" si="6"/>
        <v>-1</v>
      </c>
      <c r="F57" s="238">
        <f t="shared" si="7"/>
        <v>-1</v>
      </c>
    </row>
    <row r="58" spans="1:6" ht="20.25" customHeight="1" x14ac:dyDescent="0.3">
      <c r="A58" s="235">
        <v>9</v>
      </c>
      <c r="B58" s="236" t="s">
        <v>440</v>
      </c>
      <c r="C58" s="239">
        <v>2</v>
      </c>
      <c r="D58" s="239">
        <v>4</v>
      </c>
      <c r="E58" s="239">
        <f t="shared" si="6"/>
        <v>2</v>
      </c>
      <c r="F58" s="238">
        <f t="shared" si="7"/>
        <v>1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409237</v>
      </c>
      <c r="D59" s="243">
        <f>+D50+D52</f>
        <v>582634</v>
      </c>
      <c r="E59" s="243">
        <f t="shared" si="6"/>
        <v>173397</v>
      </c>
      <c r="F59" s="244">
        <f t="shared" si="7"/>
        <v>0.42370802249063499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26341</v>
      </c>
      <c r="D60" s="243">
        <f>+D51+D53</f>
        <v>86068</v>
      </c>
      <c r="E60" s="243">
        <f t="shared" si="6"/>
        <v>59727</v>
      </c>
      <c r="F60" s="244">
        <f t="shared" si="7"/>
        <v>2.2674537792794505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116609</v>
      </c>
      <c r="D86" s="237">
        <v>677612</v>
      </c>
      <c r="E86" s="237">
        <f t="shared" ref="E86:E96" si="12">D86-C86</f>
        <v>561003</v>
      </c>
      <c r="F86" s="238">
        <f t="shared" ref="F86:F96" si="13">IF(C86=0,0,E86/C86)</f>
        <v>4.8109751391402034</v>
      </c>
    </row>
    <row r="87" spans="1:6" ht="20.25" customHeight="1" x14ac:dyDescent="0.3">
      <c r="A87" s="235">
        <v>2</v>
      </c>
      <c r="B87" s="236" t="s">
        <v>435</v>
      </c>
      <c r="C87" s="237">
        <v>29786</v>
      </c>
      <c r="D87" s="237">
        <v>188683</v>
      </c>
      <c r="E87" s="237">
        <f t="shared" si="12"/>
        <v>158897</v>
      </c>
      <c r="F87" s="238">
        <f t="shared" si="13"/>
        <v>5.3346202914120724</v>
      </c>
    </row>
    <row r="88" spans="1:6" ht="20.25" customHeight="1" x14ac:dyDescent="0.3">
      <c r="A88" s="235">
        <v>3</v>
      </c>
      <c r="B88" s="236" t="s">
        <v>436</v>
      </c>
      <c r="C88" s="237">
        <v>430904</v>
      </c>
      <c r="D88" s="237">
        <v>1256307</v>
      </c>
      <c r="E88" s="237">
        <f t="shared" si="12"/>
        <v>825403</v>
      </c>
      <c r="F88" s="238">
        <f t="shared" si="13"/>
        <v>1.9155148246477174</v>
      </c>
    </row>
    <row r="89" spans="1:6" ht="20.25" customHeight="1" x14ac:dyDescent="0.3">
      <c r="A89" s="235">
        <v>4</v>
      </c>
      <c r="B89" s="236" t="s">
        <v>437</v>
      </c>
      <c r="C89" s="237">
        <v>87291</v>
      </c>
      <c r="D89" s="237">
        <v>323061</v>
      </c>
      <c r="E89" s="237">
        <f t="shared" si="12"/>
        <v>235770</v>
      </c>
      <c r="F89" s="238">
        <f t="shared" si="13"/>
        <v>2.7009657352991718</v>
      </c>
    </row>
    <row r="90" spans="1:6" ht="20.25" customHeight="1" x14ac:dyDescent="0.3">
      <c r="A90" s="235">
        <v>5</v>
      </c>
      <c r="B90" s="236" t="s">
        <v>373</v>
      </c>
      <c r="C90" s="239">
        <v>7</v>
      </c>
      <c r="D90" s="239">
        <v>33</v>
      </c>
      <c r="E90" s="239">
        <f t="shared" si="12"/>
        <v>26</v>
      </c>
      <c r="F90" s="238">
        <f t="shared" si="13"/>
        <v>3.7142857142857144</v>
      </c>
    </row>
    <row r="91" spans="1:6" ht="20.25" customHeight="1" x14ac:dyDescent="0.3">
      <c r="A91" s="235">
        <v>6</v>
      </c>
      <c r="B91" s="236" t="s">
        <v>372</v>
      </c>
      <c r="C91" s="239">
        <v>26</v>
      </c>
      <c r="D91" s="239">
        <v>133</v>
      </c>
      <c r="E91" s="239">
        <f t="shared" si="12"/>
        <v>107</v>
      </c>
      <c r="F91" s="238">
        <f t="shared" si="13"/>
        <v>4.115384615384615</v>
      </c>
    </row>
    <row r="92" spans="1:6" ht="20.25" customHeight="1" x14ac:dyDescent="0.3">
      <c r="A92" s="235">
        <v>7</v>
      </c>
      <c r="B92" s="236" t="s">
        <v>438</v>
      </c>
      <c r="C92" s="239">
        <v>422</v>
      </c>
      <c r="D92" s="239">
        <v>1243</v>
      </c>
      <c r="E92" s="239">
        <f t="shared" si="12"/>
        <v>821</v>
      </c>
      <c r="F92" s="238">
        <f t="shared" si="13"/>
        <v>1.9454976303317535</v>
      </c>
    </row>
    <row r="93" spans="1:6" ht="20.25" customHeight="1" x14ac:dyDescent="0.3">
      <c r="A93" s="235">
        <v>8</v>
      </c>
      <c r="B93" s="236" t="s">
        <v>439</v>
      </c>
      <c r="C93" s="239">
        <v>84</v>
      </c>
      <c r="D93" s="239">
        <v>210</v>
      </c>
      <c r="E93" s="239">
        <f t="shared" si="12"/>
        <v>126</v>
      </c>
      <c r="F93" s="238">
        <f t="shared" si="13"/>
        <v>1.5</v>
      </c>
    </row>
    <row r="94" spans="1:6" ht="20.25" customHeight="1" x14ac:dyDescent="0.3">
      <c r="A94" s="235">
        <v>9</v>
      </c>
      <c r="B94" s="236" t="s">
        <v>440</v>
      </c>
      <c r="C94" s="239">
        <v>2</v>
      </c>
      <c r="D94" s="239">
        <v>13</v>
      </c>
      <c r="E94" s="239">
        <f t="shared" si="12"/>
        <v>11</v>
      </c>
      <c r="F94" s="238">
        <f t="shared" si="13"/>
        <v>5.5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547513</v>
      </c>
      <c r="D95" s="243">
        <f>+D86+D88</f>
        <v>1933919</v>
      </c>
      <c r="E95" s="243">
        <f t="shared" si="12"/>
        <v>1386406</v>
      </c>
      <c r="F95" s="244">
        <f t="shared" si="13"/>
        <v>2.5321882768080393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117077</v>
      </c>
      <c r="D96" s="243">
        <f>+D87+D89</f>
        <v>511744</v>
      </c>
      <c r="E96" s="243">
        <f t="shared" si="12"/>
        <v>394667</v>
      </c>
      <c r="F96" s="244">
        <f t="shared" si="13"/>
        <v>3.3710036984206977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408207</v>
      </c>
      <c r="D98" s="237">
        <v>746331</v>
      </c>
      <c r="E98" s="237">
        <f t="shared" ref="E98:E108" si="14">D98-C98</f>
        <v>338124</v>
      </c>
      <c r="F98" s="238">
        <f t="shared" ref="F98:F108" si="15">IF(C98=0,0,E98/C98)</f>
        <v>0.82831504604281647</v>
      </c>
    </row>
    <row r="99" spans="1:7" ht="20.25" customHeight="1" x14ac:dyDescent="0.3">
      <c r="A99" s="235">
        <v>2</v>
      </c>
      <c r="B99" s="236" t="s">
        <v>435</v>
      </c>
      <c r="C99" s="237">
        <v>57739</v>
      </c>
      <c r="D99" s="237">
        <v>170122</v>
      </c>
      <c r="E99" s="237">
        <f t="shared" si="14"/>
        <v>112383</v>
      </c>
      <c r="F99" s="238">
        <f t="shared" si="15"/>
        <v>1.9463967162576421</v>
      </c>
    </row>
    <row r="100" spans="1:7" ht="20.25" customHeight="1" x14ac:dyDescent="0.3">
      <c r="A100" s="235">
        <v>3</v>
      </c>
      <c r="B100" s="236" t="s">
        <v>436</v>
      </c>
      <c r="C100" s="237">
        <v>787718</v>
      </c>
      <c r="D100" s="237">
        <v>1805087</v>
      </c>
      <c r="E100" s="237">
        <f t="shared" si="14"/>
        <v>1017369</v>
      </c>
      <c r="F100" s="238">
        <f t="shared" si="15"/>
        <v>1.2915396118915652</v>
      </c>
    </row>
    <row r="101" spans="1:7" ht="20.25" customHeight="1" x14ac:dyDescent="0.3">
      <c r="A101" s="235">
        <v>4</v>
      </c>
      <c r="B101" s="236" t="s">
        <v>437</v>
      </c>
      <c r="C101" s="237">
        <v>191130</v>
      </c>
      <c r="D101" s="237">
        <v>420623</v>
      </c>
      <c r="E101" s="237">
        <f t="shared" si="14"/>
        <v>229493</v>
      </c>
      <c r="F101" s="238">
        <f t="shared" si="15"/>
        <v>1.2007167896196307</v>
      </c>
    </row>
    <row r="102" spans="1:7" ht="20.25" customHeight="1" x14ac:dyDescent="0.3">
      <c r="A102" s="235">
        <v>5</v>
      </c>
      <c r="B102" s="236" t="s">
        <v>373</v>
      </c>
      <c r="C102" s="239">
        <v>11</v>
      </c>
      <c r="D102" s="239">
        <v>29</v>
      </c>
      <c r="E102" s="239">
        <f t="shared" si="14"/>
        <v>18</v>
      </c>
      <c r="F102" s="238">
        <f t="shared" si="15"/>
        <v>1.6363636363636365</v>
      </c>
    </row>
    <row r="103" spans="1:7" ht="20.25" customHeight="1" x14ac:dyDescent="0.3">
      <c r="A103" s="235">
        <v>6</v>
      </c>
      <c r="B103" s="236" t="s">
        <v>372</v>
      </c>
      <c r="C103" s="239">
        <v>37</v>
      </c>
      <c r="D103" s="239">
        <v>107</v>
      </c>
      <c r="E103" s="239">
        <f t="shared" si="14"/>
        <v>70</v>
      </c>
      <c r="F103" s="238">
        <f t="shared" si="15"/>
        <v>1.8918918918918919</v>
      </c>
    </row>
    <row r="104" spans="1:7" ht="20.25" customHeight="1" x14ac:dyDescent="0.3">
      <c r="A104" s="235">
        <v>7</v>
      </c>
      <c r="B104" s="236" t="s">
        <v>438</v>
      </c>
      <c r="C104" s="239">
        <v>508</v>
      </c>
      <c r="D104" s="239">
        <v>1341</v>
      </c>
      <c r="E104" s="239">
        <f t="shared" si="14"/>
        <v>833</v>
      </c>
      <c r="F104" s="238">
        <f t="shared" si="15"/>
        <v>1.639763779527559</v>
      </c>
    </row>
    <row r="105" spans="1:7" ht="20.25" customHeight="1" x14ac:dyDescent="0.3">
      <c r="A105" s="235">
        <v>8</v>
      </c>
      <c r="B105" s="236" t="s">
        <v>439</v>
      </c>
      <c r="C105" s="239">
        <v>85</v>
      </c>
      <c r="D105" s="239">
        <v>354</v>
      </c>
      <c r="E105" s="239">
        <f t="shared" si="14"/>
        <v>269</v>
      </c>
      <c r="F105" s="238">
        <f t="shared" si="15"/>
        <v>3.164705882352941</v>
      </c>
    </row>
    <row r="106" spans="1:7" ht="20.25" customHeight="1" x14ac:dyDescent="0.3">
      <c r="A106" s="235">
        <v>9</v>
      </c>
      <c r="B106" s="236" t="s">
        <v>440</v>
      </c>
      <c r="C106" s="239">
        <v>7</v>
      </c>
      <c r="D106" s="239">
        <v>17</v>
      </c>
      <c r="E106" s="239">
        <f t="shared" si="14"/>
        <v>10</v>
      </c>
      <c r="F106" s="238">
        <f t="shared" si="15"/>
        <v>1.4285714285714286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1195925</v>
      </c>
      <c r="D107" s="243">
        <f>+D98+D100</f>
        <v>2551418</v>
      </c>
      <c r="E107" s="243">
        <f t="shared" si="14"/>
        <v>1355493</v>
      </c>
      <c r="F107" s="244">
        <f t="shared" si="15"/>
        <v>1.133426427242511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248869</v>
      </c>
      <c r="D108" s="243">
        <f>+D99+D101</f>
        <v>590745</v>
      </c>
      <c r="E108" s="243">
        <f t="shared" si="14"/>
        <v>341876</v>
      </c>
      <c r="F108" s="244">
        <f t="shared" si="15"/>
        <v>1.373718703414246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1964948</v>
      </c>
      <c r="D112" s="243">
        <f t="shared" si="16"/>
        <v>3607426</v>
      </c>
      <c r="E112" s="243">
        <f t="shared" ref="E112:E122" si="17">D112-C112</f>
        <v>1642478</v>
      </c>
      <c r="F112" s="244">
        <f t="shared" ref="F112:F122" si="18">IF(C112=0,0,E112/C112)</f>
        <v>0.8358887868788385</v>
      </c>
    </row>
    <row r="113" spans="1:6" ht="20.25" customHeight="1" x14ac:dyDescent="0.3">
      <c r="A113" s="249"/>
      <c r="B113" s="250" t="s">
        <v>461</v>
      </c>
      <c r="C113" s="243">
        <f t="shared" si="16"/>
        <v>421070</v>
      </c>
      <c r="D113" s="243">
        <f t="shared" si="16"/>
        <v>915850</v>
      </c>
      <c r="E113" s="243">
        <f t="shared" si="17"/>
        <v>494780</v>
      </c>
      <c r="F113" s="244">
        <f t="shared" si="18"/>
        <v>1.175054029021303</v>
      </c>
    </row>
    <row r="114" spans="1:6" ht="20.25" customHeight="1" x14ac:dyDescent="0.3">
      <c r="A114" s="249"/>
      <c r="B114" s="250" t="s">
        <v>462</v>
      </c>
      <c r="C114" s="243">
        <f t="shared" si="16"/>
        <v>7316967</v>
      </c>
      <c r="D114" s="243">
        <f t="shared" si="16"/>
        <v>9784274</v>
      </c>
      <c r="E114" s="243">
        <f t="shared" si="17"/>
        <v>2467307</v>
      </c>
      <c r="F114" s="244">
        <f t="shared" si="18"/>
        <v>0.33720351615635275</v>
      </c>
    </row>
    <row r="115" spans="1:6" ht="20.25" customHeight="1" x14ac:dyDescent="0.3">
      <c r="A115" s="249"/>
      <c r="B115" s="250" t="s">
        <v>463</v>
      </c>
      <c r="C115" s="243">
        <f t="shared" si="16"/>
        <v>1636231</v>
      </c>
      <c r="D115" s="243">
        <f t="shared" si="16"/>
        <v>2158858</v>
      </c>
      <c r="E115" s="243">
        <f t="shared" si="17"/>
        <v>522627</v>
      </c>
      <c r="F115" s="244">
        <f t="shared" si="18"/>
        <v>0.31940905654519441</v>
      </c>
    </row>
    <row r="116" spans="1:6" ht="20.25" customHeight="1" x14ac:dyDescent="0.3">
      <c r="A116" s="249"/>
      <c r="B116" s="250" t="s">
        <v>464</v>
      </c>
      <c r="C116" s="252">
        <f t="shared" si="16"/>
        <v>115</v>
      </c>
      <c r="D116" s="252">
        <f t="shared" si="16"/>
        <v>176</v>
      </c>
      <c r="E116" s="252">
        <f t="shared" si="17"/>
        <v>61</v>
      </c>
      <c r="F116" s="244">
        <f t="shared" si="18"/>
        <v>0.5304347826086957</v>
      </c>
    </row>
    <row r="117" spans="1:6" ht="20.25" customHeight="1" x14ac:dyDescent="0.3">
      <c r="A117" s="249"/>
      <c r="B117" s="250" t="s">
        <v>465</v>
      </c>
      <c r="C117" s="252">
        <f t="shared" si="16"/>
        <v>338</v>
      </c>
      <c r="D117" s="252">
        <f t="shared" si="16"/>
        <v>646</v>
      </c>
      <c r="E117" s="252">
        <f t="shared" si="17"/>
        <v>308</v>
      </c>
      <c r="F117" s="244">
        <f t="shared" si="18"/>
        <v>0.91124260355029585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9340</v>
      </c>
      <c r="D118" s="252">
        <f t="shared" si="16"/>
        <v>12593</v>
      </c>
      <c r="E118" s="252">
        <f t="shared" si="17"/>
        <v>3253</v>
      </c>
      <c r="F118" s="244">
        <f t="shared" si="18"/>
        <v>0.34828693790149895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1538</v>
      </c>
      <c r="D119" s="252">
        <f t="shared" si="16"/>
        <v>1848</v>
      </c>
      <c r="E119" s="252">
        <f t="shared" si="17"/>
        <v>310</v>
      </c>
      <c r="F119" s="244">
        <f t="shared" si="18"/>
        <v>0.20156046814044212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63</v>
      </c>
      <c r="D120" s="252">
        <f t="shared" si="16"/>
        <v>68</v>
      </c>
      <c r="E120" s="252">
        <f t="shared" si="17"/>
        <v>5</v>
      </c>
      <c r="F120" s="244">
        <f t="shared" si="18"/>
        <v>7.9365079365079361E-2</v>
      </c>
    </row>
    <row r="121" spans="1:6" ht="39.950000000000003" customHeight="1" x14ac:dyDescent="0.3">
      <c r="A121" s="249"/>
      <c r="B121" s="242" t="s">
        <v>441</v>
      </c>
      <c r="C121" s="243">
        <f>+C112+C114</f>
        <v>9281915</v>
      </c>
      <c r="D121" s="243">
        <f>+D112+D114</f>
        <v>13391700</v>
      </c>
      <c r="E121" s="243">
        <f t="shared" si="17"/>
        <v>4109785</v>
      </c>
      <c r="F121" s="244">
        <f t="shared" si="18"/>
        <v>0.44277339320603559</v>
      </c>
    </row>
    <row r="122" spans="1:6" ht="39.950000000000003" customHeight="1" x14ac:dyDescent="0.3">
      <c r="A122" s="249"/>
      <c r="B122" s="242" t="s">
        <v>470</v>
      </c>
      <c r="C122" s="243">
        <f>+C113+C115</f>
        <v>2057301</v>
      </c>
      <c r="D122" s="243">
        <f>+D113+D115</f>
        <v>3074708</v>
      </c>
      <c r="E122" s="243">
        <f t="shared" si="17"/>
        <v>1017407</v>
      </c>
      <c r="F122" s="244">
        <f t="shared" si="18"/>
        <v>0.49453482985717695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FILING&amp;RGREENWICH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activeCell="B33" sqref="B33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34142000</v>
      </c>
      <c r="D13" s="23">
        <v>34318000</v>
      </c>
      <c r="E13" s="23">
        <f t="shared" ref="E13:E22" si="0">D13-C13</f>
        <v>176000</v>
      </c>
      <c r="F13" s="24">
        <f t="shared" ref="F13:F22" si="1">IF(C13=0,0,E13/C13)</f>
        <v>5.1549411282291605E-3</v>
      </c>
    </row>
    <row r="14" spans="1:8" ht="24" customHeight="1" x14ac:dyDescent="0.2">
      <c r="A14" s="21">
        <v>2</v>
      </c>
      <c r="B14" s="22" t="s">
        <v>17</v>
      </c>
      <c r="C14" s="23">
        <v>28273000</v>
      </c>
      <c r="D14" s="23">
        <v>23470000</v>
      </c>
      <c r="E14" s="23">
        <f t="shared" si="0"/>
        <v>-4803000</v>
      </c>
      <c r="F14" s="24">
        <f t="shared" si="1"/>
        <v>-0.16987939023096241</v>
      </c>
    </row>
    <row r="15" spans="1:8" ht="35.1" customHeight="1" x14ac:dyDescent="0.2">
      <c r="A15" s="21">
        <v>3</v>
      </c>
      <c r="B15" s="22" t="s">
        <v>18</v>
      </c>
      <c r="C15" s="23">
        <v>33583000</v>
      </c>
      <c r="D15" s="23">
        <v>33404000</v>
      </c>
      <c r="E15" s="23">
        <f t="shared" si="0"/>
        <v>-179000</v>
      </c>
      <c r="F15" s="24">
        <f t="shared" si="1"/>
        <v>-5.3300777178929819E-3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995000</v>
      </c>
      <c r="D19" s="23">
        <v>1275000</v>
      </c>
      <c r="E19" s="23">
        <f t="shared" si="0"/>
        <v>280000</v>
      </c>
      <c r="F19" s="24">
        <f t="shared" si="1"/>
        <v>0.28140703517587939</v>
      </c>
    </row>
    <row r="20" spans="1:11" ht="24" customHeight="1" x14ac:dyDescent="0.2">
      <c r="A20" s="21">
        <v>8</v>
      </c>
      <c r="B20" s="22" t="s">
        <v>23</v>
      </c>
      <c r="C20" s="23">
        <v>2345000</v>
      </c>
      <c r="D20" s="23">
        <v>2349000</v>
      </c>
      <c r="E20" s="23">
        <f t="shared" si="0"/>
        <v>4000</v>
      </c>
      <c r="F20" s="24">
        <f t="shared" si="1"/>
        <v>1.7057569296375266E-3</v>
      </c>
    </row>
    <row r="21" spans="1:11" ht="24" customHeight="1" x14ac:dyDescent="0.2">
      <c r="A21" s="21">
        <v>9</v>
      </c>
      <c r="B21" s="22" t="s">
        <v>24</v>
      </c>
      <c r="C21" s="23">
        <v>1520000</v>
      </c>
      <c r="D21" s="23">
        <v>635000</v>
      </c>
      <c r="E21" s="23">
        <f t="shared" si="0"/>
        <v>-885000</v>
      </c>
      <c r="F21" s="24">
        <f t="shared" si="1"/>
        <v>-0.58223684210526316</v>
      </c>
    </row>
    <row r="22" spans="1:11" ht="24" customHeight="1" x14ac:dyDescent="0.25">
      <c r="A22" s="25"/>
      <c r="B22" s="26" t="s">
        <v>25</v>
      </c>
      <c r="C22" s="27">
        <f>SUM(C13:C21)</f>
        <v>100858000</v>
      </c>
      <c r="D22" s="27">
        <f>SUM(D13:D21)</f>
        <v>95451000</v>
      </c>
      <c r="E22" s="27">
        <f t="shared" si="0"/>
        <v>-5407000</v>
      </c>
      <c r="F22" s="28">
        <f t="shared" si="1"/>
        <v>-5.3610025977116345E-2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802000</v>
      </c>
      <c r="D25" s="23">
        <v>800000</v>
      </c>
      <c r="E25" s="23">
        <f>D25-C25</f>
        <v>-2000</v>
      </c>
      <c r="F25" s="24">
        <f>IF(C25=0,0,E25/C25)</f>
        <v>-2.4937655860349127E-3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58700000</v>
      </c>
      <c r="D26" s="23">
        <v>60606000</v>
      </c>
      <c r="E26" s="23">
        <f>D26-C26</f>
        <v>1906000</v>
      </c>
      <c r="F26" s="24">
        <f>IF(C26=0,0,E26/C26)</f>
        <v>3.2470187393526403E-2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10000</v>
      </c>
      <c r="D27" s="23">
        <v>9000</v>
      </c>
      <c r="E27" s="23">
        <f>D27-C27</f>
        <v>-1000</v>
      </c>
      <c r="F27" s="24">
        <f>IF(C27=0,0,E27/C27)</f>
        <v>-0.1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59512000</v>
      </c>
      <c r="D29" s="27">
        <f>SUM(D25:D28)</f>
        <v>61415000</v>
      </c>
      <c r="E29" s="27">
        <f>D29-C29</f>
        <v>1903000</v>
      </c>
      <c r="F29" s="28">
        <f>IF(C29=0,0,E29/C29)</f>
        <v>3.1976744186046513E-2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44655000</v>
      </c>
      <c r="D32" s="23">
        <v>49683000</v>
      </c>
      <c r="E32" s="23">
        <f>D32-C32</f>
        <v>5028000</v>
      </c>
      <c r="F32" s="24">
        <f>IF(C32=0,0,E32/C32)</f>
        <v>0.11259657373194491</v>
      </c>
    </row>
    <row r="33" spans="1:8" ht="24" customHeight="1" x14ac:dyDescent="0.2">
      <c r="A33" s="21">
        <v>7</v>
      </c>
      <c r="B33" s="22" t="s">
        <v>35</v>
      </c>
      <c r="C33" s="23">
        <v>15900000</v>
      </c>
      <c r="D33" s="23">
        <v>16936000</v>
      </c>
      <c r="E33" s="23">
        <f>D33-C33</f>
        <v>1036000</v>
      </c>
      <c r="F33" s="24">
        <f>IF(C33=0,0,E33/C33)</f>
        <v>6.5157232704402518E-2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448224000</v>
      </c>
      <c r="D36" s="23">
        <v>467487000</v>
      </c>
      <c r="E36" s="23">
        <f>D36-C36</f>
        <v>19263000</v>
      </c>
      <c r="F36" s="24">
        <f>IF(C36=0,0,E36/C36)</f>
        <v>4.2976279717284217E-2</v>
      </c>
    </row>
    <row r="37" spans="1:8" ht="24" customHeight="1" x14ac:dyDescent="0.2">
      <c r="A37" s="21">
        <v>2</v>
      </c>
      <c r="B37" s="22" t="s">
        <v>39</v>
      </c>
      <c r="C37" s="23">
        <v>167165000</v>
      </c>
      <c r="D37" s="23">
        <v>188154000</v>
      </c>
      <c r="E37" s="23">
        <f>D37-C37</f>
        <v>20989000</v>
      </c>
      <c r="F37" s="23">
        <f>IF(C37=0,0,E37/C37)</f>
        <v>0.12555857984625968</v>
      </c>
    </row>
    <row r="38" spans="1:8" ht="24" customHeight="1" x14ac:dyDescent="0.25">
      <c r="A38" s="25"/>
      <c r="B38" s="26" t="s">
        <v>40</v>
      </c>
      <c r="C38" s="27">
        <f>C36-C37</f>
        <v>281059000</v>
      </c>
      <c r="D38" s="27">
        <f>D36-D37</f>
        <v>279333000</v>
      </c>
      <c r="E38" s="27">
        <f>D38-C38</f>
        <v>-1726000</v>
      </c>
      <c r="F38" s="28">
        <f>IF(C38=0,0,E38/C38)</f>
        <v>-6.1410593505278254E-3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1331000</v>
      </c>
      <c r="D40" s="23">
        <v>524000</v>
      </c>
      <c r="E40" s="23">
        <f>D40-C40</f>
        <v>-807000</v>
      </c>
      <c r="F40" s="24">
        <f>IF(C40=0,0,E40/C40)</f>
        <v>-0.60631104432757321</v>
      </c>
    </row>
    <row r="41" spans="1:8" ht="24" customHeight="1" x14ac:dyDescent="0.25">
      <c r="A41" s="25"/>
      <c r="B41" s="26" t="s">
        <v>42</v>
      </c>
      <c r="C41" s="27">
        <f>+C38+C40</f>
        <v>282390000</v>
      </c>
      <c r="D41" s="27">
        <f>+D38+D40</f>
        <v>279857000</v>
      </c>
      <c r="E41" s="27">
        <f>D41-C41</f>
        <v>-2533000</v>
      </c>
      <c r="F41" s="28">
        <f>IF(C41=0,0,E41/C41)</f>
        <v>-8.9698643719678464E-3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503315000</v>
      </c>
      <c r="D43" s="27">
        <f>D22+D29+D31+D32+D33+D41</f>
        <v>503342000</v>
      </c>
      <c r="E43" s="27">
        <f>D43-C43</f>
        <v>27000</v>
      </c>
      <c r="F43" s="28">
        <f>IF(C43=0,0,E43/C43)</f>
        <v>5.3644338038802736E-5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19161436</v>
      </c>
      <c r="D49" s="23">
        <v>15911145</v>
      </c>
      <c r="E49" s="23">
        <f t="shared" ref="E49:E56" si="2">D49-C49</f>
        <v>-3250291</v>
      </c>
      <c r="F49" s="24">
        <f t="shared" ref="F49:F56" si="3">IF(C49=0,0,E49/C49)</f>
        <v>-0.16962669186171642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17583564</v>
      </c>
      <c r="D50" s="23">
        <v>10892855</v>
      </c>
      <c r="E50" s="23">
        <f t="shared" si="2"/>
        <v>-6690709</v>
      </c>
      <c r="F50" s="24">
        <f t="shared" si="3"/>
        <v>-0.38050926421969972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192000</v>
      </c>
      <c r="D51" s="23">
        <v>264000</v>
      </c>
      <c r="E51" s="23">
        <f t="shared" si="2"/>
        <v>72000</v>
      </c>
      <c r="F51" s="24">
        <f t="shared" si="3"/>
        <v>0.375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2190000</v>
      </c>
      <c r="D53" s="23">
        <v>2260000</v>
      </c>
      <c r="E53" s="23">
        <f t="shared" si="2"/>
        <v>70000</v>
      </c>
      <c r="F53" s="24">
        <f t="shared" si="3"/>
        <v>3.1963470319634701E-2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8050000</v>
      </c>
      <c r="D55" s="23">
        <v>11413000</v>
      </c>
      <c r="E55" s="23">
        <f t="shared" si="2"/>
        <v>3363000</v>
      </c>
      <c r="F55" s="24">
        <f t="shared" si="3"/>
        <v>0.41776397515527952</v>
      </c>
    </row>
    <row r="56" spans="1:6" ht="24" customHeight="1" x14ac:dyDescent="0.25">
      <c r="A56" s="25"/>
      <c r="B56" s="26" t="s">
        <v>54</v>
      </c>
      <c r="C56" s="27">
        <f>SUM(C49:C55)</f>
        <v>47177000</v>
      </c>
      <c r="D56" s="27">
        <f>SUM(D49:D55)</f>
        <v>40741000</v>
      </c>
      <c r="E56" s="27">
        <f t="shared" si="2"/>
        <v>-6436000</v>
      </c>
      <c r="F56" s="28">
        <f t="shared" si="3"/>
        <v>-0.13642240922483415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47265000</v>
      </c>
      <c r="D59" s="23">
        <v>45005000</v>
      </c>
      <c r="E59" s="23">
        <f>D59-C59</f>
        <v>-2260000</v>
      </c>
      <c r="F59" s="24">
        <f>IF(C59=0,0,E59/C59)</f>
        <v>-4.7815508304242041E-2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47265000</v>
      </c>
      <c r="D61" s="27">
        <f>SUM(D59:D60)</f>
        <v>45005000</v>
      </c>
      <c r="E61" s="27">
        <f>D61-C61</f>
        <v>-2260000</v>
      </c>
      <c r="F61" s="28">
        <f>IF(C61=0,0,E61/C61)</f>
        <v>-4.7815508304242041E-2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27902000</v>
      </c>
      <c r="D63" s="23">
        <v>29899000</v>
      </c>
      <c r="E63" s="23">
        <f>D63-C63</f>
        <v>1997000</v>
      </c>
      <c r="F63" s="24">
        <f>IF(C63=0,0,E63/C63)</f>
        <v>7.1571930327575084E-2</v>
      </c>
    </row>
    <row r="64" spans="1:6" ht="24" customHeight="1" x14ac:dyDescent="0.2">
      <c r="A64" s="21">
        <v>4</v>
      </c>
      <c r="B64" s="22" t="s">
        <v>60</v>
      </c>
      <c r="C64" s="23">
        <v>24345000</v>
      </c>
      <c r="D64" s="23">
        <v>27956000</v>
      </c>
      <c r="E64" s="23">
        <f>D64-C64</f>
        <v>3611000</v>
      </c>
      <c r="F64" s="24">
        <f>IF(C64=0,0,E64/C64)</f>
        <v>0.14832614499897309</v>
      </c>
    </row>
    <row r="65" spans="1:6" ht="24" customHeight="1" x14ac:dyDescent="0.25">
      <c r="A65" s="25"/>
      <c r="B65" s="26" t="s">
        <v>61</v>
      </c>
      <c r="C65" s="27">
        <f>SUM(C61:C64)</f>
        <v>99512000</v>
      </c>
      <c r="D65" s="27">
        <f>SUM(D61:D64)</f>
        <v>102860000</v>
      </c>
      <c r="E65" s="27">
        <f>D65-C65</f>
        <v>3348000</v>
      </c>
      <c r="F65" s="28">
        <f>IF(C65=0,0,E65/C65)</f>
        <v>3.3644183616046305E-2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308971000</v>
      </c>
      <c r="D70" s="23">
        <v>310901000</v>
      </c>
      <c r="E70" s="23">
        <f>D70-C70</f>
        <v>1930000</v>
      </c>
      <c r="F70" s="24">
        <f>IF(C70=0,0,E70/C70)</f>
        <v>6.2465409374989882E-3</v>
      </c>
    </row>
    <row r="71" spans="1:6" ht="24" customHeight="1" x14ac:dyDescent="0.2">
      <c r="A71" s="21">
        <v>2</v>
      </c>
      <c r="B71" s="22" t="s">
        <v>65</v>
      </c>
      <c r="C71" s="23">
        <v>25902000</v>
      </c>
      <c r="D71" s="23">
        <v>27295000</v>
      </c>
      <c r="E71" s="23">
        <f>D71-C71</f>
        <v>1393000</v>
      </c>
      <c r="F71" s="24">
        <f>IF(C71=0,0,E71/C71)</f>
        <v>5.377963091653154E-2</v>
      </c>
    </row>
    <row r="72" spans="1:6" ht="24" customHeight="1" x14ac:dyDescent="0.2">
      <c r="A72" s="21">
        <v>3</v>
      </c>
      <c r="B72" s="22" t="s">
        <v>66</v>
      </c>
      <c r="C72" s="23">
        <v>21753000</v>
      </c>
      <c r="D72" s="23">
        <v>21545000</v>
      </c>
      <c r="E72" s="23">
        <f>D72-C72</f>
        <v>-208000</v>
      </c>
      <c r="F72" s="24">
        <f>IF(C72=0,0,E72/C72)</f>
        <v>-9.561899508113824E-3</v>
      </c>
    </row>
    <row r="73" spans="1:6" ht="24" customHeight="1" x14ac:dyDescent="0.25">
      <c r="A73" s="21"/>
      <c r="B73" s="26" t="s">
        <v>67</v>
      </c>
      <c r="C73" s="27">
        <f>SUM(C70:C72)</f>
        <v>356626000</v>
      </c>
      <c r="D73" s="27">
        <f>SUM(D70:D72)</f>
        <v>359741000</v>
      </c>
      <c r="E73" s="27">
        <f>D73-C73</f>
        <v>3115000</v>
      </c>
      <c r="F73" s="28">
        <f>IF(C73=0,0,E73/C73)</f>
        <v>8.7346407721254193E-3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503315000</v>
      </c>
      <c r="D75" s="27">
        <f>D56+D65+D67+D73</f>
        <v>503342000</v>
      </c>
      <c r="E75" s="27">
        <f>D75-C75</f>
        <v>27000</v>
      </c>
      <c r="F75" s="28">
        <f>IF(C75=0,0,E75/C75)</f>
        <v>5.3644338038802736E-5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FILING&amp;RGREENWICH HEALTH CARE SERVICES,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854689000</v>
      </c>
      <c r="D12" s="51">
        <v>922624000</v>
      </c>
      <c r="E12" s="51">
        <f t="shared" ref="E12:E19" si="0">D12-C12</f>
        <v>67935000</v>
      </c>
      <c r="F12" s="70">
        <f t="shared" ref="F12:F19" si="1">IF(C12=0,0,E12/C12)</f>
        <v>7.9485052457677591E-2</v>
      </c>
    </row>
    <row r="13" spans="1:8" ht="23.1" customHeight="1" x14ac:dyDescent="0.2">
      <c r="A13" s="25">
        <v>2</v>
      </c>
      <c r="B13" s="48" t="s">
        <v>72</v>
      </c>
      <c r="C13" s="51">
        <v>531351544</v>
      </c>
      <c r="D13" s="51">
        <v>593002019</v>
      </c>
      <c r="E13" s="51">
        <f t="shared" si="0"/>
        <v>61650475</v>
      </c>
      <c r="F13" s="70">
        <f t="shared" si="1"/>
        <v>0.1160257755833302</v>
      </c>
    </row>
    <row r="14" spans="1:8" ht="23.1" customHeight="1" x14ac:dyDescent="0.2">
      <c r="A14" s="25">
        <v>3</v>
      </c>
      <c r="B14" s="48" t="s">
        <v>73</v>
      </c>
      <c r="C14" s="51">
        <v>25185225</v>
      </c>
      <c r="D14" s="51">
        <v>22988513</v>
      </c>
      <c r="E14" s="51">
        <f t="shared" si="0"/>
        <v>-2196712</v>
      </c>
      <c r="F14" s="70">
        <f t="shared" si="1"/>
        <v>-8.722225034717776E-2</v>
      </c>
    </row>
    <row r="15" spans="1:8" ht="23.1" customHeight="1" x14ac:dyDescent="0.2">
      <c r="A15" s="25">
        <v>4</v>
      </c>
      <c r="B15" s="48" t="s">
        <v>74</v>
      </c>
      <c r="C15" s="51">
        <v>17008000</v>
      </c>
      <c r="D15" s="51">
        <v>18217468</v>
      </c>
      <c r="E15" s="51">
        <f t="shared" si="0"/>
        <v>1209468</v>
      </c>
      <c r="F15" s="70">
        <f t="shared" si="1"/>
        <v>7.111171213546566E-2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281144231</v>
      </c>
      <c r="D16" s="27">
        <f>D12-D13-D14-D15</f>
        <v>288416000</v>
      </c>
      <c r="E16" s="27">
        <f t="shared" si="0"/>
        <v>7271769</v>
      </c>
      <c r="F16" s="28">
        <f t="shared" si="1"/>
        <v>2.5864905618497289E-2</v>
      </c>
    </row>
    <row r="17" spans="1:7" ht="23.1" customHeight="1" x14ac:dyDescent="0.2">
      <c r="A17" s="25">
        <v>5</v>
      </c>
      <c r="B17" s="48" t="s">
        <v>76</v>
      </c>
      <c r="C17" s="51">
        <v>11164769</v>
      </c>
      <c r="D17" s="51">
        <v>9324000</v>
      </c>
      <c r="E17" s="51">
        <f t="shared" si="0"/>
        <v>-1840769</v>
      </c>
      <c r="F17" s="70">
        <f t="shared" si="1"/>
        <v>-0.16487300364208163</v>
      </c>
      <c r="G17" s="64"/>
    </row>
    <row r="18" spans="1:7" ht="33" customHeight="1" x14ac:dyDescent="0.2">
      <c r="A18" s="25">
        <v>6</v>
      </c>
      <c r="B18" s="45" t="s">
        <v>77</v>
      </c>
      <c r="C18" s="51">
        <v>6439000</v>
      </c>
      <c r="D18" s="51">
        <v>5445000</v>
      </c>
      <c r="E18" s="51">
        <f t="shared" si="0"/>
        <v>-994000</v>
      </c>
      <c r="F18" s="70">
        <f t="shared" si="1"/>
        <v>-0.15437179686286689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298748000</v>
      </c>
      <c r="D19" s="27">
        <f>SUM(D16:D18)</f>
        <v>303185000</v>
      </c>
      <c r="E19" s="27">
        <f t="shared" si="0"/>
        <v>4437000</v>
      </c>
      <c r="F19" s="28">
        <f t="shared" si="1"/>
        <v>1.4851982272684671E-2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123539676</v>
      </c>
      <c r="D22" s="51">
        <v>118341342</v>
      </c>
      <c r="E22" s="51">
        <f t="shared" ref="E22:E31" si="2">D22-C22</f>
        <v>-5198334</v>
      </c>
      <c r="F22" s="70">
        <f t="shared" ref="F22:F31" si="3">IF(C22=0,0,E22/C22)</f>
        <v>-4.207825508624452E-2</v>
      </c>
    </row>
    <row r="23" spans="1:7" ht="23.1" customHeight="1" x14ac:dyDescent="0.2">
      <c r="A23" s="25">
        <v>2</v>
      </c>
      <c r="B23" s="48" t="s">
        <v>81</v>
      </c>
      <c r="C23" s="51">
        <v>34145324</v>
      </c>
      <c r="D23" s="51">
        <v>33384400</v>
      </c>
      <c r="E23" s="51">
        <f t="shared" si="2"/>
        <v>-760924</v>
      </c>
      <c r="F23" s="70">
        <f t="shared" si="3"/>
        <v>-2.2284866882504906E-2</v>
      </c>
    </row>
    <row r="24" spans="1:7" ht="23.1" customHeight="1" x14ac:dyDescent="0.2">
      <c r="A24" s="25">
        <v>3</v>
      </c>
      <c r="B24" s="48" t="s">
        <v>82</v>
      </c>
      <c r="C24" s="51">
        <v>3751612</v>
      </c>
      <c r="D24" s="51">
        <v>3944170</v>
      </c>
      <c r="E24" s="51">
        <f t="shared" si="2"/>
        <v>192558</v>
      </c>
      <c r="F24" s="70">
        <f t="shared" si="3"/>
        <v>5.1326736346935666E-2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32944899</v>
      </c>
      <c r="D25" s="51">
        <v>38270558</v>
      </c>
      <c r="E25" s="51">
        <f t="shared" si="2"/>
        <v>5325659</v>
      </c>
      <c r="F25" s="70">
        <f t="shared" si="3"/>
        <v>0.16165352335728819</v>
      </c>
    </row>
    <row r="26" spans="1:7" ht="23.1" customHeight="1" x14ac:dyDescent="0.2">
      <c r="A26" s="25">
        <v>5</v>
      </c>
      <c r="B26" s="48" t="s">
        <v>84</v>
      </c>
      <c r="C26" s="51">
        <v>20411000</v>
      </c>
      <c r="D26" s="51">
        <v>21723000</v>
      </c>
      <c r="E26" s="51">
        <f t="shared" si="2"/>
        <v>1312000</v>
      </c>
      <c r="F26" s="70">
        <f t="shared" si="3"/>
        <v>6.4279065209935815E-2</v>
      </c>
    </row>
    <row r="27" spans="1:7" ht="23.1" customHeight="1" x14ac:dyDescent="0.2">
      <c r="A27" s="25">
        <v>6</v>
      </c>
      <c r="B27" s="48" t="s">
        <v>85</v>
      </c>
      <c r="C27" s="51">
        <v>8087000</v>
      </c>
      <c r="D27" s="51">
        <v>10787000</v>
      </c>
      <c r="E27" s="51">
        <f t="shared" si="2"/>
        <v>2700000</v>
      </c>
      <c r="F27" s="70">
        <f t="shared" si="3"/>
        <v>0.33386917274638306</v>
      </c>
    </row>
    <row r="28" spans="1:7" ht="23.1" customHeight="1" x14ac:dyDescent="0.2">
      <c r="A28" s="25">
        <v>7</v>
      </c>
      <c r="B28" s="48" t="s">
        <v>86</v>
      </c>
      <c r="C28" s="51">
        <v>669000</v>
      </c>
      <c r="D28" s="51">
        <v>449000</v>
      </c>
      <c r="E28" s="51">
        <f t="shared" si="2"/>
        <v>-220000</v>
      </c>
      <c r="F28" s="70">
        <f t="shared" si="3"/>
        <v>-0.32884902840059793</v>
      </c>
    </row>
    <row r="29" spans="1:7" ht="23.1" customHeight="1" x14ac:dyDescent="0.2">
      <c r="A29" s="25">
        <v>8</v>
      </c>
      <c r="B29" s="48" t="s">
        <v>87</v>
      </c>
      <c r="C29" s="51">
        <v>2858541</v>
      </c>
      <c r="D29" s="51">
        <v>2913343</v>
      </c>
      <c r="E29" s="51">
        <f t="shared" si="2"/>
        <v>54802</v>
      </c>
      <c r="F29" s="70">
        <f t="shared" si="3"/>
        <v>1.9171318515284544E-2</v>
      </c>
    </row>
    <row r="30" spans="1:7" ht="23.1" customHeight="1" x14ac:dyDescent="0.2">
      <c r="A30" s="25">
        <v>9</v>
      </c>
      <c r="B30" s="48" t="s">
        <v>88</v>
      </c>
      <c r="C30" s="51">
        <v>64424948</v>
      </c>
      <c r="D30" s="51">
        <v>64888187</v>
      </c>
      <c r="E30" s="51">
        <f t="shared" si="2"/>
        <v>463239</v>
      </c>
      <c r="F30" s="70">
        <f t="shared" si="3"/>
        <v>7.1903666883828916E-3</v>
      </c>
    </row>
    <row r="31" spans="1:7" ht="23.1" customHeight="1" x14ac:dyDescent="0.25">
      <c r="A31" s="29"/>
      <c r="B31" s="71" t="s">
        <v>89</v>
      </c>
      <c r="C31" s="27">
        <f>SUM(C22:C30)</f>
        <v>290832000</v>
      </c>
      <c r="D31" s="27">
        <f>SUM(D22:D30)</f>
        <v>294701000</v>
      </c>
      <c r="E31" s="27">
        <f t="shared" si="2"/>
        <v>3869000</v>
      </c>
      <c r="F31" s="28">
        <f t="shared" si="3"/>
        <v>1.3303212851405623E-2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7916000</v>
      </c>
      <c r="D33" s="27">
        <f>+D19-D31</f>
        <v>8484000</v>
      </c>
      <c r="E33" s="27">
        <f>D33-C33</f>
        <v>568000</v>
      </c>
      <c r="F33" s="28">
        <f>IF(C33=0,0,E33/C33)</f>
        <v>7.1753410813542196E-2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1487000</v>
      </c>
      <c r="D36" s="51">
        <v>1052000</v>
      </c>
      <c r="E36" s="51">
        <f>D36-C36</f>
        <v>-435000</v>
      </c>
      <c r="F36" s="70">
        <f>IF(C36=0,0,E36/C36)</f>
        <v>-0.29253530598520511</v>
      </c>
    </row>
    <row r="37" spans="1:6" ht="23.1" customHeight="1" x14ac:dyDescent="0.2">
      <c r="A37" s="44">
        <v>2</v>
      </c>
      <c r="B37" s="48" t="s">
        <v>93</v>
      </c>
      <c r="C37" s="51">
        <v>2571000</v>
      </c>
      <c r="D37" s="51">
        <v>1605000</v>
      </c>
      <c r="E37" s="51">
        <f>D37-C37</f>
        <v>-966000</v>
      </c>
      <c r="F37" s="70">
        <f>IF(C37=0,0,E37/C37)</f>
        <v>-0.37572928821470247</v>
      </c>
    </row>
    <row r="38" spans="1:6" ht="23.1" customHeight="1" x14ac:dyDescent="0.2">
      <c r="A38" s="44">
        <v>3</v>
      </c>
      <c r="B38" s="48" t="s">
        <v>94</v>
      </c>
      <c r="C38" s="51">
        <v>-7274000</v>
      </c>
      <c r="D38" s="51">
        <v>-4261000</v>
      </c>
      <c r="E38" s="51">
        <f>D38-C38</f>
        <v>3013000</v>
      </c>
      <c r="F38" s="70">
        <f>IF(C38=0,0,E38/C38)</f>
        <v>-0.41421501237283476</v>
      </c>
    </row>
    <row r="39" spans="1:6" ht="23.1" customHeight="1" x14ac:dyDescent="0.25">
      <c r="A39" s="20"/>
      <c r="B39" s="71" t="s">
        <v>95</v>
      </c>
      <c r="C39" s="27">
        <f>SUM(C36:C38)</f>
        <v>-3216000</v>
      </c>
      <c r="D39" s="27">
        <f>SUM(D36:D38)</f>
        <v>-1604000</v>
      </c>
      <c r="E39" s="27">
        <f>D39-C39</f>
        <v>1612000</v>
      </c>
      <c r="F39" s="28">
        <f>IF(C39=0,0,E39/C39)</f>
        <v>-0.50124378109452739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4700000</v>
      </c>
      <c r="D41" s="27">
        <f>D33+D39</f>
        <v>6880000</v>
      </c>
      <c r="E41" s="27">
        <f>D41-C41</f>
        <v>2180000</v>
      </c>
      <c r="F41" s="28">
        <f>IF(C41=0,0,E41/C41)</f>
        <v>0.46382978723404256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6098000</v>
      </c>
      <c r="D44" s="51">
        <v>4661000</v>
      </c>
      <c r="E44" s="51">
        <f>D44-C44</f>
        <v>-1437000</v>
      </c>
      <c r="F44" s="70">
        <f>IF(C44=0,0,E44/C44)</f>
        <v>-0.23565103312561494</v>
      </c>
    </row>
    <row r="45" spans="1:6" ht="23.1" customHeight="1" x14ac:dyDescent="0.2">
      <c r="A45" s="44"/>
      <c r="B45" s="48" t="s">
        <v>99</v>
      </c>
      <c r="C45" s="51">
        <v>-3971000</v>
      </c>
      <c r="D45" s="51">
        <v>-3435000</v>
      </c>
      <c r="E45" s="51">
        <f>D45-C45</f>
        <v>536000</v>
      </c>
      <c r="F45" s="70">
        <f>IF(C45=0,0,E45/C45)</f>
        <v>-0.13497859481238983</v>
      </c>
    </row>
    <row r="46" spans="1:6" ht="23.1" customHeight="1" x14ac:dyDescent="0.25">
      <c r="A46" s="20"/>
      <c r="B46" s="74" t="s">
        <v>100</v>
      </c>
      <c r="C46" s="27">
        <f>SUM(C44:C45)</f>
        <v>2127000</v>
      </c>
      <c r="D46" s="27">
        <f>SUM(D44:D45)</f>
        <v>1226000</v>
      </c>
      <c r="E46" s="27">
        <f>D46-C46</f>
        <v>-901000</v>
      </c>
      <c r="F46" s="28">
        <f>IF(C46=0,0,E46/C46)</f>
        <v>-0.42360131640808651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6827000</v>
      </c>
      <c r="D48" s="27">
        <f>D41+D46</f>
        <v>8106000</v>
      </c>
      <c r="E48" s="27">
        <f>D48-C48</f>
        <v>1279000</v>
      </c>
      <c r="F48" s="28">
        <f>IF(C48=0,0,E48/C48)</f>
        <v>0.18734436795078366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FILING&amp;R&amp;8GREENWICH HEALTH CARE SERVICES,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2011-07-18T20:13:08Z</cp:lastPrinted>
  <dcterms:created xsi:type="dcterms:W3CDTF">2006-08-03T13:49:12Z</dcterms:created>
  <dcterms:modified xsi:type="dcterms:W3CDTF">2011-08-05T18:41:49Z</dcterms:modified>
</cp:coreProperties>
</file>