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Report_400!$A$10:$I$47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 fullCalcOnLoad="1"/>
</workbook>
</file>

<file path=xl/calcChain.xml><?xml version="1.0" encoding="utf-8"?>
<calcChain xmlns="http://schemas.openxmlformats.org/spreadsheetml/2006/main">
  <c r="D311" i="14" l="1"/>
  <c r="D307" i="14"/>
  <c r="E307" i="14"/>
  <c r="F307" i="14"/>
  <c r="D299" i="14"/>
  <c r="D298" i="14"/>
  <c r="E298" i="14"/>
  <c r="D297" i="14"/>
  <c r="D296" i="14"/>
  <c r="E296" i="14"/>
  <c r="F296" i="14"/>
  <c r="D295" i="14"/>
  <c r="D294" i="14"/>
  <c r="E294" i="14"/>
  <c r="F294" i="14"/>
  <c r="D250" i="14"/>
  <c r="D306" i="14"/>
  <c r="D238" i="14"/>
  <c r="D237" i="14"/>
  <c r="D230" i="14"/>
  <c r="D229" i="14"/>
  <c r="D226" i="14"/>
  <c r="D227" i="14"/>
  <c r="D223" i="14"/>
  <c r="D204" i="14"/>
  <c r="D269" i="14"/>
  <c r="E269" i="14"/>
  <c r="F269" i="14"/>
  <c r="D203" i="14"/>
  <c r="D283" i="14"/>
  <c r="D284" i="14"/>
  <c r="E284" i="14"/>
  <c r="D198" i="14"/>
  <c r="D290" i="14"/>
  <c r="D191" i="14"/>
  <c r="D264" i="14"/>
  <c r="D189" i="14"/>
  <c r="D278" i="14"/>
  <c r="D279" i="14"/>
  <c r="E279" i="14"/>
  <c r="F279" i="14"/>
  <c r="D188" i="14"/>
  <c r="D206" i="14"/>
  <c r="E206" i="14"/>
  <c r="F206" i="14"/>
  <c r="D180" i="14"/>
  <c r="D179" i="14"/>
  <c r="D171" i="14"/>
  <c r="D172" i="14"/>
  <c r="D173" i="14"/>
  <c r="D174" i="14"/>
  <c r="D170" i="14"/>
  <c r="D165" i="14"/>
  <c r="D164" i="14"/>
  <c r="D158" i="14"/>
  <c r="D159" i="14"/>
  <c r="D160" i="14"/>
  <c r="E160" i="14"/>
  <c r="D155" i="14"/>
  <c r="D145" i="14"/>
  <c r="D144" i="14"/>
  <c r="D136" i="14"/>
  <c r="D137" i="14"/>
  <c r="D135" i="14"/>
  <c r="D130" i="14"/>
  <c r="D129" i="14"/>
  <c r="D123" i="14"/>
  <c r="D120" i="14"/>
  <c r="E120" i="14"/>
  <c r="D110" i="14"/>
  <c r="D109" i="14"/>
  <c r="D101" i="14"/>
  <c r="D102" i="14"/>
  <c r="D103" i="14"/>
  <c r="D100" i="14"/>
  <c r="D95" i="14"/>
  <c r="D94" i="14"/>
  <c r="D88" i="14"/>
  <c r="D85" i="14"/>
  <c r="D76" i="14"/>
  <c r="D67" i="14"/>
  <c r="D66" i="14"/>
  <c r="E66" i="14"/>
  <c r="D59" i="14"/>
  <c r="D60" i="14"/>
  <c r="D61" i="14"/>
  <c r="D58" i="14"/>
  <c r="D53" i="14"/>
  <c r="D52" i="14"/>
  <c r="D47" i="14"/>
  <c r="D48" i="14"/>
  <c r="D44" i="14"/>
  <c r="D36" i="14"/>
  <c r="D35" i="14"/>
  <c r="D30" i="14"/>
  <c r="D31" i="14"/>
  <c r="D32" i="14"/>
  <c r="D29" i="14"/>
  <c r="D24" i="14"/>
  <c r="D23" i="14"/>
  <c r="D21" i="14"/>
  <c r="D20" i="14"/>
  <c r="D17" i="14"/>
  <c r="E97" i="19"/>
  <c r="D97" i="19"/>
  <c r="D98" i="19"/>
  <c r="C97" i="19"/>
  <c r="E96" i="19"/>
  <c r="E98" i="19"/>
  <c r="D96" i="19"/>
  <c r="C96" i="19"/>
  <c r="C98" i="19"/>
  <c r="E92" i="19"/>
  <c r="D92" i="19"/>
  <c r="D93" i="19"/>
  <c r="C92" i="19"/>
  <c r="E91" i="19"/>
  <c r="E93" i="19"/>
  <c r="D91" i="19"/>
  <c r="C91" i="19"/>
  <c r="C93" i="19"/>
  <c r="E87" i="19"/>
  <c r="D87" i="19"/>
  <c r="C87" i="19"/>
  <c r="E86" i="19"/>
  <c r="D86" i="19"/>
  <c r="D88" i="19"/>
  <c r="C86" i="19"/>
  <c r="C88" i="19"/>
  <c r="E83" i="19"/>
  <c r="E101" i="19"/>
  <c r="D83" i="19"/>
  <c r="C83" i="19"/>
  <c r="C102" i="19"/>
  <c r="E76" i="19"/>
  <c r="E102" i="19"/>
  <c r="D76" i="19"/>
  <c r="D102" i="19"/>
  <c r="C76" i="19"/>
  <c r="E75" i="19"/>
  <c r="D75" i="19"/>
  <c r="D101" i="19"/>
  <c r="D103" i="19"/>
  <c r="C75" i="19"/>
  <c r="C77" i="19"/>
  <c r="C109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D12" i="19"/>
  <c r="D33" i="19"/>
  <c r="C12" i="19"/>
  <c r="D21" i="18"/>
  <c r="E21" i="18"/>
  <c r="F21" i="18"/>
  <c r="C21" i="18"/>
  <c r="D19" i="18"/>
  <c r="E19" i="18"/>
  <c r="F19" i="18"/>
  <c r="C19" i="18"/>
  <c r="E17" i="18"/>
  <c r="F17" i="18"/>
  <c r="F15" i="18"/>
  <c r="E15" i="18"/>
  <c r="D45" i="17"/>
  <c r="C45" i="17"/>
  <c r="D44" i="17"/>
  <c r="C44" i="17"/>
  <c r="D43" i="17"/>
  <c r="D46" i="17"/>
  <c r="C43" i="17"/>
  <c r="D39" i="17"/>
  <c r="D41" i="17"/>
  <c r="D36" i="17"/>
  <c r="D40" i="17"/>
  <c r="C36" i="17"/>
  <c r="F36" i="17"/>
  <c r="E35" i="17"/>
  <c r="F35" i="17"/>
  <c r="E34" i="17"/>
  <c r="F34" i="17"/>
  <c r="E33" i="17"/>
  <c r="E36" i="17"/>
  <c r="E30" i="17"/>
  <c r="F30" i="17"/>
  <c r="E29" i="17"/>
  <c r="F29" i="17"/>
  <c r="E28" i="17"/>
  <c r="F28" i="17"/>
  <c r="E27" i="17"/>
  <c r="F27" i="17"/>
  <c r="D25" i="17"/>
  <c r="C25" i="17"/>
  <c r="F24" i="17"/>
  <c r="E24" i="17"/>
  <c r="E23" i="17"/>
  <c r="F22" i="17"/>
  <c r="E22" i="17"/>
  <c r="D19" i="17"/>
  <c r="D20" i="17"/>
  <c r="C19" i="17"/>
  <c r="E18" i="17"/>
  <c r="F18" i="17"/>
  <c r="D16" i="17"/>
  <c r="C16" i="17"/>
  <c r="E16" i="17"/>
  <c r="F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60" i="16"/>
  <c r="C59" i="16"/>
  <c r="C48" i="16"/>
  <c r="C64" i="16"/>
  <c r="C65" i="16"/>
  <c r="C114" i="16"/>
  <c r="C116" i="16"/>
  <c r="C119" i="16"/>
  <c r="C123" i="16"/>
  <c r="C36" i="16"/>
  <c r="C32" i="16"/>
  <c r="C22" i="16"/>
  <c r="C21" i="16"/>
  <c r="C37" i="16"/>
  <c r="E328" i="15"/>
  <c r="E325" i="15"/>
  <c r="E324" i="15"/>
  <c r="D324" i="15"/>
  <c r="D326" i="15"/>
  <c r="C324" i="15"/>
  <c r="C326" i="15"/>
  <c r="C330" i="15"/>
  <c r="E318" i="15"/>
  <c r="E315" i="15"/>
  <c r="D314" i="15"/>
  <c r="E314" i="15"/>
  <c r="C314" i="15"/>
  <c r="C316" i="15"/>
  <c r="C320" i="15"/>
  <c r="E308" i="15"/>
  <c r="E305" i="15"/>
  <c r="D301" i="15"/>
  <c r="E301" i="15"/>
  <c r="C301" i="15"/>
  <c r="D293" i="15"/>
  <c r="C293" i="15"/>
  <c r="E293" i="15"/>
  <c r="D292" i="15"/>
  <c r="E292" i="15"/>
  <c r="C292" i="15"/>
  <c r="D291" i="15"/>
  <c r="E291" i="15"/>
  <c r="C291" i="15"/>
  <c r="D290" i="15"/>
  <c r="C290" i="15"/>
  <c r="E290" i="15"/>
  <c r="D288" i="15"/>
  <c r="C288" i="15"/>
  <c r="E288" i="15"/>
  <c r="D287" i="15"/>
  <c r="E287" i="15"/>
  <c r="C287" i="15"/>
  <c r="D282" i="15"/>
  <c r="C282" i="15"/>
  <c r="E282" i="15"/>
  <c r="D281" i="15"/>
  <c r="C281" i="15"/>
  <c r="D280" i="15"/>
  <c r="C280" i="15"/>
  <c r="E280" i="15"/>
  <c r="D279" i="15"/>
  <c r="C279" i="15"/>
  <c r="E279" i="15"/>
  <c r="D278" i="15"/>
  <c r="E278" i="15"/>
  <c r="C278" i="15"/>
  <c r="D277" i="15"/>
  <c r="C277" i="15"/>
  <c r="D276" i="15"/>
  <c r="C276" i="15"/>
  <c r="E276" i="15"/>
  <c r="E270" i="15"/>
  <c r="D265" i="15"/>
  <c r="C265" i="15"/>
  <c r="C302" i="15"/>
  <c r="D262" i="15"/>
  <c r="C262" i="15"/>
  <c r="E262" i="15"/>
  <c r="D251" i="15"/>
  <c r="C251" i="15"/>
  <c r="C244" i="15"/>
  <c r="C240" i="15"/>
  <c r="D233" i="15"/>
  <c r="C233" i="15"/>
  <c r="E233" i="15"/>
  <c r="D232" i="15"/>
  <c r="E232" i="15"/>
  <c r="C232" i="15"/>
  <c r="D231" i="15"/>
  <c r="C231" i="15"/>
  <c r="D230" i="15"/>
  <c r="E230" i="15"/>
  <c r="C230" i="15"/>
  <c r="D228" i="15"/>
  <c r="E228" i="15"/>
  <c r="C228" i="15"/>
  <c r="D227" i="15"/>
  <c r="E227" i="15"/>
  <c r="C227" i="15"/>
  <c r="D221" i="15"/>
  <c r="E221" i="15"/>
  <c r="C221" i="15"/>
  <c r="C245" i="15"/>
  <c r="D220" i="15"/>
  <c r="D244" i="15"/>
  <c r="E244" i="15"/>
  <c r="C220" i="15"/>
  <c r="D219" i="15"/>
  <c r="C219" i="15"/>
  <c r="C243" i="15"/>
  <c r="D218" i="15"/>
  <c r="D242" i="15"/>
  <c r="C218" i="15"/>
  <c r="D216" i="15"/>
  <c r="E216" i="15"/>
  <c r="C216" i="15"/>
  <c r="D215" i="15"/>
  <c r="C215" i="15"/>
  <c r="C239" i="15"/>
  <c r="E209" i="15"/>
  <c r="E208" i="15"/>
  <c r="E207" i="15"/>
  <c r="E206" i="15"/>
  <c r="D205" i="15"/>
  <c r="E205" i="15"/>
  <c r="C205" i="15"/>
  <c r="C210" i="15"/>
  <c r="C211" i="15"/>
  <c r="E204" i="15"/>
  <c r="E203" i="15"/>
  <c r="E197" i="15"/>
  <c r="E196" i="15"/>
  <c r="D195" i="15"/>
  <c r="C195" i="15"/>
  <c r="C260" i="15"/>
  <c r="E194" i="15"/>
  <c r="E193" i="15"/>
  <c r="E192" i="15"/>
  <c r="E191" i="15"/>
  <c r="E190" i="15"/>
  <c r="D188" i="15"/>
  <c r="C188" i="15"/>
  <c r="C189" i="15"/>
  <c r="E186" i="15"/>
  <c r="E185" i="15"/>
  <c r="D179" i="15"/>
  <c r="C179" i="15"/>
  <c r="E179" i="15"/>
  <c r="D178" i="15"/>
  <c r="E178" i="15"/>
  <c r="C178" i="15"/>
  <c r="D177" i="15"/>
  <c r="C177" i="15"/>
  <c r="D176" i="15"/>
  <c r="C176" i="15"/>
  <c r="E176" i="15"/>
  <c r="D174" i="15"/>
  <c r="E174" i="15"/>
  <c r="C174" i="15"/>
  <c r="D173" i="15"/>
  <c r="E173" i="15"/>
  <c r="C173" i="15"/>
  <c r="D167" i="15"/>
  <c r="E167" i="15"/>
  <c r="C167" i="15"/>
  <c r="D166" i="15"/>
  <c r="C166" i="15"/>
  <c r="D165" i="15"/>
  <c r="C165" i="15"/>
  <c r="E165" i="15"/>
  <c r="D164" i="15"/>
  <c r="C164" i="15"/>
  <c r="D162" i="15"/>
  <c r="E162" i="15"/>
  <c r="C162" i="15"/>
  <c r="D161" i="15"/>
  <c r="C161" i="15"/>
  <c r="E161" i="15"/>
  <c r="D157" i="15"/>
  <c r="E155" i="15"/>
  <c r="E154" i="15"/>
  <c r="E153" i="15"/>
  <c r="E152" i="15"/>
  <c r="D151" i="15"/>
  <c r="D156" i="15"/>
  <c r="C151" i="15"/>
  <c r="C156" i="15"/>
  <c r="C157" i="15"/>
  <c r="E150" i="15"/>
  <c r="E149" i="15"/>
  <c r="D145" i="15"/>
  <c r="D169" i="15"/>
  <c r="D144" i="15"/>
  <c r="E143" i="15"/>
  <c r="E142" i="15"/>
  <c r="E141" i="15"/>
  <c r="E140" i="15"/>
  <c r="D139" i="15"/>
  <c r="C139" i="15"/>
  <c r="C144" i="15"/>
  <c r="E138" i="15"/>
  <c r="E137" i="15"/>
  <c r="D75" i="15"/>
  <c r="E75" i="15"/>
  <c r="C75" i="15"/>
  <c r="D74" i="15"/>
  <c r="C74" i="15"/>
  <c r="E74" i="15"/>
  <c r="D73" i="15"/>
  <c r="E73" i="15"/>
  <c r="C73" i="15"/>
  <c r="D72" i="15"/>
  <c r="C72" i="15"/>
  <c r="E72" i="15"/>
  <c r="D70" i="15"/>
  <c r="C70" i="15"/>
  <c r="D69" i="15"/>
  <c r="E69" i="15"/>
  <c r="C69" i="15"/>
  <c r="E64" i="15"/>
  <c r="E63" i="15"/>
  <c r="E62" i="15"/>
  <c r="E61" i="15"/>
  <c r="D60" i="15"/>
  <c r="C60" i="15"/>
  <c r="C65" i="15"/>
  <c r="C66" i="15"/>
  <c r="E59" i="15"/>
  <c r="E58" i="15"/>
  <c r="D54" i="15"/>
  <c r="D55" i="15"/>
  <c r="E55" i="15"/>
  <c r="C54" i="15"/>
  <c r="C55" i="15"/>
  <c r="E54" i="15"/>
  <c r="E53" i="15"/>
  <c r="E52" i="15"/>
  <c r="E51" i="15"/>
  <c r="E50" i="15"/>
  <c r="E49" i="15"/>
  <c r="E48" i="15"/>
  <c r="E47" i="15"/>
  <c r="D42" i="15"/>
  <c r="C42" i="15"/>
  <c r="E42" i="15"/>
  <c r="D41" i="15"/>
  <c r="E41" i="15"/>
  <c r="C41" i="15"/>
  <c r="D40" i="15"/>
  <c r="C40" i="15"/>
  <c r="E40" i="15"/>
  <c r="D39" i="15"/>
  <c r="C39" i="15"/>
  <c r="D38" i="15"/>
  <c r="C38" i="15"/>
  <c r="E38" i="15"/>
  <c r="D37" i="15"/>
  <c r="C37" i="15"/>
  <c r="E37" i="15"/>
  <c r="D36" i="15"/>
  <c r="E36" i="15"/>
  <c r="C36" i="15"/>
  <c r="D32" i="15"/>
  <c r="C32" i="15"/>
  <c r="E31" i="15"/>
  <c r="E30" i="15"/>
  <c r="E29" i="15"/>
  <c r="E28" i="15"/>
  <c r="E27" i="15"/>
  <c r="E26" i="15"/>
  <c r="E25" i="15"/>
  <c r="D21" i="15"/>
  <c r="D22" i="15"/>
  <c r="D284" i="15"/>
  <c r="C21" i="15"/>
  <c r="E20" i="15"/>
  <c r="E19" i="15"/>
  <c r="E18" i="15"/>
  <c r="E17" i="15"/>
  <c r="E16" i="15"/>
  <c r="E15" i="15"/>
  <c r="E14" i="15"/>
  <c r="F335" i="14"/>
  <c r="E335" i="14"/>
  <c r="F334" i="14"/>
  <c r="E334" i="14"/>
  <c r="F333" i="14"/>
  <c r="E333" i="14"/>
  <c r="F332" i="14"/>
  <c r="E332" i="14"/>
  <c r="F331" i="14"/>
  <c r="E331" i="14"/>
  <c r="E330" i="14"/>
  <c r="F330" i="14"/>
  <c r="F329" i="14"/>
  <c r="E329" i="14"/>
  <c r="F316" i="14"/>
  <c r="E316" i="14"/>
  <c r="F311" i="14"/>
  <c r="C311" i="14"/>
  <c r="E311" i="14"/>
  <c r="E308" i="14"/>
  <c r="F308" i="14"/>
  <c r="C307" i="14"/>
  <c r="C299" i="14"/>
  <c r="C298" i="14"/>
  <c r="F298" i="14"/>
  <c r="C297" i="14"/>
  <c r="C296" i="14"/>
  <c r="C295" i="14"/>
  <c r="C294" i="14"/>
  <c r="C261" i="14"/>
  <c r="C250" i="14"/>
  <c r="E250" i="14"/>
  <c r="F250" i="14"/>
  <c r="E249" i="14"/>
  <c r="F249" i="14"/>
  <c r="E248" i="14"/>
  <c r="F248" i="14"/>
  <c r="F245" i="14"/>
  <c r="E245" i="14"/>
  <c r="E244" i="14"/>
  <c r="F244" i="14"/>
  <c r="F243" i="14"/>
  <c r="E243" i="14"/>
  <c r="C239" i="14"/>
  <c r="C238" i="14"/>
  <c r="E238" i="14"/>
  <c r="F238" i="14"/>
  <c r="C237" i="14"/>
  <c r="E234" i="14"/>
  <c r="F234" i="14"/>
  <c r="F233" i="14"/>
  <c r="E233" i="14"/>
  <c r="C230" i="14"/>
  <c r="E230" i="14"/>
  <c r="E229" i="14"/>
  <c r="F229" i="14"/>
  <c r="C229" i="14"/>
  <c r="E228" i="14"/>
  <c r="F228" i="14"/>
  <c r="C227" i="14"/>
  <c r="E227" i="14"/>
  <c r="E226" i="14"/>
  <c r="F226" i="14"/>
  <c r="C226" i="14"/>
  <c r="F225" i="14"/>
  <c r="E225" i="14"/>
  <c r="F224" i="14"/>
  <c r="E224" i="14"/>
  <c r="C223" i="14"/>
  <c r="F222" i="14"/>
  <c r="E222" i="14"/>
  <c r="E221" i="14"/>
  <c r="F221" i="14"/>
  <c r="C204" i="14"/>
  <c r="C203" i="14"/>
  <c r="C198" i="14"/>
  <c r="C290" i="14"/>
  <c r="C191" i="14"/>
  <c r="C264" i="14"/>
  <c r="C189" i="14"/>
  <c r="E188" i="14"/>
  <c r="C188" i="14"/>
  <c r="C277" i="14"/>
  <c r="C206" i="14"/>
  <c r="C180" i="14"/>
  <c r="C179" i="14"/>
  <c r="C171" i="14"/>
  <c r="E171" i="14"/>
  <c r="C170" i="14"/>
  <c r="E170" i="14"/>
  <c r="F170" i="14"/>
  <c r="E169" i="14"/>
  <c r="F169" i="14"/>
  <c r="E168" i="14"/>
  <c r="F168" i="14"/>
  <c r="C165" i="14"/>
  <c r="E164" i="14"/>
  <c r="C164" i="14"/>
  <c r="F164" i="14"/>
  <c r="E163" i="14"/>
  <c r="F163" i="14"/>
  <c r="C158" i="14"/>
  <c r="C159" i="14"/>
  <c r="C160" i="14"/>
  <c r="F157" i="14"/>
  <c r="E157" i="14"/>
  <c r="E156" i="14"/>
  <c r="F156" i="14"/>
  <c r="C155" i="14"/>
  <c r="E154" i="14"/>
  <c r="F154" i="14"/>
  <c r="E153" i="14"/>
  <c r="F153" i="14"/>
  <c r="C145" i="14"/>
  <c r="C146" i="14"/>
  <c r="F144" i="14"/>
  <c r="C144" i="14"/>
  <c r="E144" i="14"/>
  <c r="C136" i="14"/>
  <c r="E136" i="14"/>
  <c r="C135" i="14"/>
  <c r="E135" i="14"/>
  <c r="E134" i="14"/>
  <c r="F134" i="14"/>
  <c r="E133" i="14"/>
  <c r="F133" i="14"/>
  <c r="F130" i="14"/>
  <c r="C130" i="14"/>
  <c r="E130" i="14"/>
  <c r="F129" i="14"/>
  <c r="C129" i="14"/>
  <c r="E129" i="14"/>
  <c r="E128" i="14"/>
  <c r="F128" i="14"/>
  <c r="C124" i="14"/>
  <c r="E123" i="14"/>
  <c r="C123" i="14"/>
  <c r="E122" i="14"/>
  <c r="F122" i="14"/>
  <c r="E121" i="14"/>
  <c r="F121" i="14"/>
  <c r="C120" i="14"/>
  <c r="E119" i="14"/>
  <c r="F119" i="14"/>
  <c r="E118" i="14"/>
  <c r="F118" i="14"/>
  <c r="C110" i="14"/>
  <c r="E110" i="14"/>
  <c r="F110" i="14"/>
  <c r="C109" i="14"/>
  <c r="C101" i="14"/>
  <c r="C102" i="14"/>
  <c r="E102" i="14"/>
  <c r="F102" i="14"/>
  <c r="C100" i="14"/>
  <c r="E100" i="14"/>
  <c r="F100" i="14"/>
  <c r="E99" i="14"/>
  <c r="F99" i="14"/>
  <c r="E98" i="14"/>
  <c r="F98" i="14"/>
  <c r="C95" i="14"/>
  <c r="C94" i="14"/>
  <c r="E94" i="14"/>
  <c r="E93" i="14"/>
  <c r="F93" i="14"/>
  <c r="C89" i="14"/>
  <c r="C88" i="14"/>
  <c r="E87" i="14"/>
  <c r="F87" i="14"/>
  <c r="E86" i="14"/>
  <c r="F86" i="14"/>
  <c r="C85" i="14"/>
  <c r="E85" i="14"/>
  <c r="E84" i="14"/>
  <c r="F84" i="14"/>
  <c r="E83" i="14"/>
  <c r="F83" i="14"/>
  <c r="C76" i="14"/>
  <c r="C77" i="14"/>
  <c r="E74" i="14"/>
  <c r="F74" i="14"/>
  <c r="E73" i="14"/>
  <c r="F73" i="14"/>
  <c r="C67" i="14"/>
  <c r="E67" i="14"/>
  <c r="F67" i="14"/>
  <c r="F66" i="14"/>
  <c r="C66" i="14"/>
  <c r="C68" i="14"/>
  <c r="C59" i="14"/>
  <c r="E59" i="14"/>
  <c r="C58" i="14"/>
  <c r="E58" i="14"/>
  <c r="F57" i="14"/>
  <c r="E57" i="14"/>
  <c r="E56" i="14"/>
  <c r="F56" i="14"/>
  <c r="C53" i="14"/>
  <c r="F52" i="14"/>
  <c r="C52" i="14"/>
  <c r="E52" i="14"/>
  <c r="E51" i="14"/>
  <c r="F51" i="14"/>
  <c r="C47" i="14"/>
  <c r="C48" i="14"/>
  <c r="F46" i="14"/>
  <c r="E46" i="14"/>
  <c r="E45" i="14"/>
  <c r="F45" i="14"/>
  <c r="C44" i="14"/>
  <c r="E44" i="14"/>
  <c r="F44" i="14"/>
  <c r="E43" i="14"/>
  <c r="F43" i="14"/>
  <c r="E42" i="14"/>
  <c r="F42" i="14"/>
  <c r="C36" i="14"/>
  <c r="E36" i="14"/>
  <c r="C35" i="14"/>
  <c r="E35" i="14"/>
  <c r="C30" i="14"/>
  <c r="E30" i="14"/>
  <c r="C29" i="14"/>
  <c r="E29" i="14"/>
  <c r="E28" i="14"/>
  <c r="F28" i="14"/>
  <c r="E27" i="14"/>
  <c r="F27" i="14"/>
  <c r="C24" i="14"/>
  <c r="E24" i="14"/>
  <c r="F24" i="14"/>
  <c r="C23" i="14"/>
  <c r="E22" i="14"/>
  <c r="F22" i="14"/>
  <c r="C20" i="14"/>
  <c r="C21" i="14"/>
  <c r="C91" i="14"/>
  <c r="E19" i="14"/>
  <c r="F19" i="14"/>
  <c r="E18" i="14"/>
  <c r="F18" i="14"/>
  <c r="C17" i="14"/>
  <c r="E17" i="14"/>
  <c r="E16" i="14"/>
  <c r="F16" i="14"/>
  <c r="E15" i="14"/>
  <c r="F15" i="14"/>
  <c r="D21" i="13"/>
  <c r="C21" i="13"/>
  <c r="E20" i="13"/>
  <c r="F20" i="13"/>
  <c r="F17" i="13"/>
  <c r="D17" i="13"/>
  <c r="E17" i="13"/>
  <c r="C17" i="13"/>
  <c r="F16" i="13"/>
  <c r="E16" i="13"/>
  <c r="D13" i="13"/>
  <c r="C13" i="13"/>
  <c r="E12" i="13"/>
  <c r="F12" i="13"/>
  <c r="E99" i="12"/>
  <c r="D99" i="12"/>
  <c r="C99" i="12"/>
  <c r="F99" i="12"/>
  <c r="E98" i="12"/>
  <c r="F98" i="12"/>
  <c r="F97" i="12"/>
  <c r="E97" i="12"/>
  <c r="E96" i="12"/>
  <c r="F96" i="12"/>
  <c r="D92" i="12"/>
  <c r="C92" i="12"/>
  <c r="E91" i="12"/>
  <c r="F91" i="12"/>
  <c r="F90" i="12"/>
  <c r="E90" i="12"/>
  <c r="E89" i="12"/>
  <c r="F89" i="12"/>
  <c r="E88" i="12"/>
  <c r="F88" i="12"/>
  <c r="E87" i="12"/>
  <c r="F87" i="12"/>
  <c r="D84" i="12"/>
  <c r="C84" i="12"/>
  <c r="F83" i="12"/>
  <c r="E83" i="12"/>
  <c r="F82" i="12"/>
  <c r="E82" i="12"/>
  <c r="E81" i="12"/>
  <c r="F81" i="12"/>
  <c r="F80" i="12"/>
  <c r="E80" i="12"/>
  <c r="F79" i="12"/>
  <c r="E79" i="12"/>
  <c r="D75" i="12"/>
  <c r="C75" i="12"/>
  <c r="E74" i="12"/>
  <c r="F74" i="12"/>
  <c r="E73" i="12"/>
  <c r="E75" i="12"/>
  <c r="D70" i="12"/>
  <c r="E70" i="12"/>
  <c r="C70" i="12"/>
  <c r="E69" i="12"/>
  <c r="F69" i="12"/>
  <c r="E68" i="12"/>
  <c r="F68" i="12"/>
  <c r="D65" i="12"/>
  <c r="C65" i="12"/>
  <c r="E64" i="12"/>
  <c r="F64" i="12"/>
  <c r="E63" i="12"/>
  <c r="F63" i="12"/>
  <c r="D60" i="12"/>
  <c r="C60" i="12"/>
  <c r="F60" i="12"/>
  <c r="F59" i="12"/>
  <c r="E59" i="12"/>
  <c r="F58" i="12"/>
  <c r="E58" i="12"/>
  <c r="E60" i="12"/>
  <c r="D55" i="12"/>
  <c r="E55" i="12"/>
  <c r="C55" i="12"/>
  <c r="F55" i="12"/>
  <c r="F54" i="12"/>
  <c r="E54" i="12"/>
  <c r="F53" i="12"/>
  <c r="E53" i="12"/>
  <c r="D50" i="12"/>
  <c r="C50" i="12"/>
  <c r="F50" i="12"/>
  <c r="F49" i="12"/>
  <c r="E49" i="12"/>
  <c r="F48" i="12"/>
  <c r="E48" i="12"/>
  <c r="D45" i="12"/>
  <c r="C45" i="12"/>
  <c r="F45" i="12"/>
  <c r="F44" i="12"/>
  <c r="E44" i="12"/>
  <c r="F43" i="12"/>
  <c r="E43" i="12"/>
  <c r="D37" i="12"/>
  <c r="C37" i="12"/>
  <c r="F37" i="12"/>
  <c r="F36" i="12"/>
  <c r="E36" i="12"/>
  <c r="F35" i="12"/>
  <c r="E35" i="12"/>
  <c r="F34" i="12"/>
  <c r="E34" i="12"/>
  <c r="F33" i="12"/>
  <c r="E33" i="12"/>
  <c r="D30" i="12"/>
  <c r="E30" i="12"/>
  <c r="C30" i="12"/>
  <c r="F30" i="12"/>
  <c r="F29" i="12"/>
  <c r="E29" i="12"/>
  <c r="F28" i="12"/>
  <c r="E28" i="12"/>
  <c r="F27" i="12"/>
  <c r="E27" i="12"/>
  <c r="F26" i="12"/>
  <c r="E26" i="12"/>
  <c r="D23" i="12"/>
  <c r="C23" i="12"/>
  <c r="F22" i="12"/>
  <c r="E22" i="12"/>
  <c r="E21" i="12"/>
  <c r="F21" i="12"/>
  <c r="E20" i="12"/>
  <c r="F20" i="12"/>
  <c r="E19" i="12"/>
  <c r="F19" i="12"/>
  <c r="D16" i="12"/>
  <c r="E16" i="12"/>
  <c r="C16" i="12"/>
  <c r="F15" i="12"/>
  <c r="E15" i="12"/>
  <c r="E14" i="12"/>
  <c r="F14" i="12"/>
  <c r="E13" i="12"/>
  <c r="F13" i="12"/>
  <c r="E12" i="12"/>
  <c r="F12" i="12"/>
  <c r="I37" i="11"/>
  <c r="H37" i="11"/>
  <c r="F33" i="11"/>
  <c r="F36" i="11"/>
  <c r="F38" i="11"/>
  <c r="F40" i="11"/>
  <c r="F31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3" i="11"/>
  <c r="I33" i="11"/>
  <c r="I36" i="11"/>
  <c r="I38" i="11"/>
  <c r="I40" i="11"/>
  <c r="F17" i="11"/>
  <c r="E17" i="11"/>
  <c r="D17" i="11"/>
  <c r="D33" i="11"/>
  <c r="D36" i="11"/>
  <c r="D38" i="11"/>
  <c r="D40" i="11"/>
  <c r="C17" i="11"/>
  <c r="H17" i="11"/>
  <c r="I16" i="11"/>
  <c r="H16" i="11"/>
  <c r="I15" i="11"/>
  <c r="H15" i="11"/>
  <c r="I13" i="11"/>
  <c r="H13" i="11"/>
  <c r="I11" i="11"/>
  <c r="H11" i="11"/>
  <c r="C80" i="10"/>
  <c r="C77" i="10"/>
  <c r="E79" i="10"/>
  <c r="D79" i="10"/>
  <c r="C79" i="10"/>
  <c r="E78" i="10"/>
  <c r="E80" i="10"/>
  <c r="E77" i="10"/>
  <c r="D78" i="10"/>
  <c r="D80" i="10"/>
  <c r="C78" i="10"/>
  <c r="D77" i="10"/>
  <c r="E73" i="10"/>
  <c r="E75" i="10"/>
  <c r="D73" i="10"/>
  <c r="D75" i="10"/>
  <c r="C73" i="10"/>
  <c r="C75" i="10"/>
  <c r="E71" i="10"/>
  <c r="D71" i="10"/>
  <c r="C71" i="10"/>
  <c r="E66" i="10"/>
  <c r="E65" i="10"/>
  <c r="D66" i="10"/>
  <c r="D65" i="10"/>
  <c r="C66" i="10"/>
  <c r="C65" i="10"/>
  <c r="E60" i="10"/>
  <c r="D60" i="10"/>
  <c r="C60" i="10"/>
  <c r="E58" i="10"/>
  <c r="D58" i="10"/>
  <c r="C58" i="10"/>
  <c r="E55" i="10"/>
  <c r="D55" i="10"/>
  <c r="D50" i="10"/>
  <c r="C55" i="10"/>
  <c r="E54" i="10"/>
  <c r="D54" i="10"/>
  <c r="C54" i="10"/>
  <c r="C50" i="10"/>
  <c r="C48" i="10"/>
  <c r="E46" i="10"/>
  <c r="E48" i="10"/>
  <c r="E42" i="10"/>
  <c r="D46" i="10"/>
  <c r="C46" i="10"/>
  <c r="C59" i="10"/>
  <c r="C61" i="10"/>
  <c r="C57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5" i="10"/>
  <c r="E24" i="10"/>
  <c r="D15" i="10"/>
  <c r="E13" i="10"/>
  <c r="E25" i="10"/>
  <c r="E27" i="10"/>
  <c r="E20" i="10"/>
  <c r="D13" i="10"/>
  <c r="D25" i="10"/>
  <c r="D27" i="10"/>
  <c r="D21" i="10"/>
  <c r="C13" i="10"/>
  <c r="C15" i="10"/>
  <c r="C24" i="10"/>
  <c r="D46" i="9"/>
  <c r="C46" i="9"/>
  <c r="F46" i="9"/>
  <c r="F45" i="9"/>
  <c r="E45" i="9"/>
  <c r="F44" i="9"/>
  <c r="E44" i="9"/>
  <c r="D39" i="9"/>
  <c r="C39" i="9"/>
  <c r="F39" i="9"/>
  <c r="F38" i="9"/>
  <c r="E38" i="9"/>
  <c r="F37" i="9"/>
  <c r="E37" i="9"/>
  <c r="F36" i="9"/>
  <c r="E36" i="9"/>
  <c r="F31" i="9"/>
  <c r="D31" i="9"/>
  <c r="E31" i="9"/>
  <c r="C31" i="9"/>
  <c r="F30" i="9"/>
  <c r="E30" i="9"/>
  <c r="E29" i="9"/>
  <c r="F29" i="9"/>
  <c r="F28" i="9"/>
  <c r="E28" i="9"/>
  <c r="E27" i="9"/>
  <c r="F27" i="9"/>
  <c r="E26" i="9"/>
  <c r="F26" i="9"/>
  <c r="E25" i="9"/>
  <c r="F25" i="9"/>
  <c r="F24" i="9"/>
  <c r="E24" i="9"/>
  <c r="E23" i="9"/>
  <c r="F23" i="9"/>
  <c r="F22" i="9"/>
  <c r="E22" i="9"/>
  <c r="C19" i="9"/>
  <c r="F18" i="9"/>
  <c r="E18" i="9"/>
  <c r="E17" i="9"/>
  <c r="F17" i="9"/>
  <c r="D16" i="9"/>
  <c r="E16" i="9"/>
  <c r="F16" i="9"/>
  <c r="C16" i="9"/>
  <c r="F15" i="9"/>
  <c r="E15" i="9"/>
  <c r="F14" i="9"/>
  <c r="E14" i="9"/>
  <c r="E13" i="9"/>
  <c r="F13" i="9"/>
  <c r="E12" i="9"/>
  <c r="F12" i="9"/>
  <c r="D73" i="8"/>
  <c r="E73" i="8"/>
  <c r="F73" i="8"/>
  <c r="C73" i="8"/>
  <c r="F72" i="8"/>
  <c r="E72" i="8"/>
  <c r="F71" i="8"/>
  <c r="E71" i="8"/>
  <c r="E70" i="8"/>
  <c r="F70" i="8"/>
  <c r="F67" i="8"/>
  <c r="E67" i="8"/>
  <c r="E64" i="8"/>
  <c r="F64" i="8"/>
  <c r="E63" i="8"/>
  <c r="F63" i="8"/>
  <c r="D61" i="8"/>
  <c r="C61" i="8"/>
  <c r="C65" i="8"/>
  <c r="E60" i="8"/>
  <c r="F60" i="8"/>
  <c r="F59" i="8"/>
  <c r="E59" i="8"/>
  <c r="D56" i="8"/>
  <c r="C56" i="8"/>
  <c r="C75" i="8"/>
  <c r="F55" i="8"/>
  <c r="E55" i="8"/>
  <c r="F54" i="8"/>
  <c r="E54" i="8"/>
  <c r="F53" i="8"/>
  <c r="E53" i="8"/>
  <c r="F52" i="8"/>
  <c r="E52" i="8"/>
  <c r="E51" i="8"/>
  <c r="F51" i="8"/>
  <c r="A51" i="8"/>
  <c r="A52" i="8"/>
  <c r="A53" i="8"/>
  <c r="A54" i="8"/>
  <c r="A55" i="8"/>
  <c r="E50" i="8"/>
  <c r="F50" i="8"/>
  <c r="A50" i="8"/>
  <c r="F49" i="8"/>
  <c r="E49" i="8"/>
  <c r="D41" i="8"/>
  <c r="C41" i="8"/>
  <c r="C43" i="8"/>
  <c r="E40" i="8"/>
  <c r="F40" i="8"/>
  <c r="D38" i="8"/>
  <c r="E38" i="8"/>
  <c r="C38" i="8"/>
  <c r="F38" i="8"/>
  <c r="E37" i="8"/>
  <c r="F37" i="8"/>
  <c r="E36" i="8"/>
  <c r="F36" i="8"/>
  <c r="E33" i="8"/>
  <c r="F33" i="8"/>
  <c r="F32" i="8"/>
  <c r="E32" i="8"/>
  <c r="F31" i="8"/>
  <c r="E31" i="8"/>
  <c r="D29" i="8"/>
  <c r="E29" i="8"/>
  <c r="C29" i="8"/>
  <c r="F29" i="8"/>
  <c r="F28" i="8"/>
  <c r="E28" i="8"/>
  <c r="F27" i="8"/>
  <c r="E27" i="8"/>
  <c r="F26" i="8"/>
  <c r="E26" i="8"/>
  <c r="F25" i="8"/>
  <c r="E25" i="8"/>
  <c r="D22" i="8"/>
  <c r="E22" i="8"/>
  <c r="C22" i="8"/>
  <c r="E21" i="8"/>
  <c r="F21" i="8"/>
  <c r="F20" i="8"/>
  <c r="E20" i="8"/>
  <c r="E19" i="8"/>
  <c r="F19" i="8"/>
  <c r="F18" i="8"/>
  <c r="E18" i="8"/>
  <c r="F17" i="8"/>
  <c r="E17" i="8"/>
  <c r="F16" i="8"/>
  <c r="E16" i="8"/>
  <c r="E15" i="8"/>
  <c r="F15" i="8"/>
  <c r="F14" i="8"/>
  <c r="E14" i="8"/>
  <c r="F13" i="8"/>
  <c r="E13" i="8"/>
  <c r="F120" i="7"/>
  <c r="D120" i="7"/>
  <c r="E120" i="7"/>
  <c r="C120" i="7"/>
  <c r="E119" i="7"/>
  <c r="D119" i="7"/>
  <c r="C119" i="7"/>
  <c r="F119" i="7"/>
  <c r="D118" i="7"/>
  <c r="E118" i="7"/>
  <c r="C118" i="7"/>
  <c r="E117" i="7"/>
  <c r="D117" i="7"/>
  <c r="C117" i="7"/>
  <c r="F117" i="7"/>
  <c r="D116" i="7"/>
  <c r="E116" i="7"/>
  <c r="C116" i="7"/>
  <c r="E115" i="7"/>
  <c r="D115" i="7"/>
  <c r="C115" i="7"/>
  <c r="F115" i="7"/>
  <c r="D114" i="7"/>
  <c r="E114" i="7"/>
  <c r="C114" i="7"/>
  <c r="E113" i="7"/>
  <c r="D113" i="7"/>
  <c r="D122" i="7"/>
  <c r="C113" i="7"/>
  <c r="C122" i="7"/>
  <c r="E122" i="7"/>
  <c r="F122" i="7"/>
  <c r="D112" i="7"/>
  <c r="E112" i="7"/>
  <c r="F112" i="7"/>
  <c r="C112" i="7"/>
  <c r="C121" i="7"/>
  <c r="D108" i="7"/>
  <c r="E108" i="7"/>
  <c r="C108" i="7"/>
  <c r="F108" i="7"/>
  <c r="D107" i="7"/>
  <c r="C107" i="7"/>
  <c r="F106" i="7"/>
  <c r="E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E96" i="7"/>
  <c r="C96" i="7"/>
  <c r="D95" i="7"/>
  <c r="C95" i="7"/>
  <c r="F94" i="7"/>
  <c r="E94" i="7"/>
  <c r="E93" i="7"/>
  <c r="F93" i="7"/>
  <c r="E92" i="7"/>
  <c r="F92" i="7"/>
  <c r="F91" i="7"/>
  <c r="E91" i="7"/>
  <c r="E90" i="7"/>
  <c r="F90" i="7"/>
  <c r="F89" i="7"/>
  <c r="E89" i="7"/>
  <c r="E88" i="7"/>
  <c r="F88" i="7"/>
  <c r="F87" i="7"/>
  <c r="E87" i="7"/>
  <c r="E86" i="7"/>
  <c r="F86" i="7"/>
  <c r="F84" i="7"/>
  <c r="D84" i="7"/>
  <c r="E84" i="7"/>
  <c r="C84" i="7"/>
  <c r="F83" i="7"/>
  <c r="D83" i="7"/>
  <c r="E83" i="7"/>
  <c r="C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E72" i="7"/>
  <c r="C72" i="7"/>
  <c r="F72" i="7"/>
  <c r="D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/>
  <c r="C60" i="7"/>
  <c r="F60" i="7"/>
  <c r="D59" i="7"/>
  <c r="C59" i="7"/>
  <c r="F58" i="7"/>
  <c r="E58" i="7"/>
  <c r="E57" i="7"/>
  <c r="F57" i="7"/>
  <c r="E56" i="7"/>
  <c r="F56" i="7"/>
  <c r="E55" i="7"/>
  <c r="F55" i="7"/>
  <c r="E54" i="7"/>
  <c r="F54" i="7"/>
  <c r="E53" i="7"/>
  <c r="F53" i="7"/>
  <c r="E52" i="7"/>
  <c r="F52" i="7"/>
  <c r="E51" i="7"/>
  <c r="F51" i="7"/>
  <c r="E50" i="7"/>
  <c r="F50" i="7"/>
  <c r="D48" i="7"/>
  <c r="E48" i="7"/>
  <c r="C48" i="7"/>
  <c r="F48" i="7"/>
  <c r="D47" i="7"/>
  <c r="C47" i="7"/>
  <c r="F46" i="7"/>
  <c r="E46" i="7"/>
  <c r="E45" i="7"/>
  <c r="F45" i="7"/>
  <c r="F44" i="7"/>
  <c r="E44" i="7"/>
  <c r="F43" i="7"/>
  <c r="E43" i="7"/>
  <c r="F42" i="7"/>
  <c r="E42" i="7"/>
  <c r="F41" i="7"/>
  <c r="E41" i="7"/>
  <c r="E40" i="7"/>
  <c r="F40" i="7"/>
  <c r="F39" i="7"/>
  <c r="E39" i="7"/>
  <c r="F38" i="7"/>
  <c r="E38" i="7"/>
  <c r="D36" i="7"/>
  <c r="C36" i="7"/>
  <c r="D35" i="7"/>
  <c r="C35" i="7"/>
  <c r="F34" i="7"/>
  <c r="E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E24" i="7"/>
  <c r="C24" i="7"/>
  <c r="F24" i="7"/>
  <c r="D23" i="7"/>
  <c r="E23" i="7"/>
  <c r="C23" i="7"/>
  <c r="F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F206" i="6"/>
  <c r="D205" i="6"/>
  <c r="C205" i="6"/>
  <c r="D204" i="6"/>
  <c r="C204" i="6"/>
  <c r="D203" i="6"/>
  <c r="C203" i="6"/>
  <c r="D202" i="6"/>
  <c r="C202" i="6"/>
  <c r="D201" i="6"/>
  <c r="C201" i="6"/>
  <c r="D200" i="6"/>
  <c r="C200" i="6"/>
  <c r="E199" i="6"/>
  <c r="D199" i="6"/>
  <c r="D208" i="6"/>
  <c r="C199" i="6"/>
  <c r="D198" i="6"/>
  <c r="C198" i="6"/>
  <c r="C207" i="6"/>
  <c r="D193" i="6"/>
  <c r="C193" i="6"/>
  <c r="D192" i="6"/>
  <c r="C192" i="6"/>
  <c r="F191" i="6"/>
  <c r="E191" i="6"/>
  <c r="E190" i="6"/>
  <c r="F190" i="6"/>
  <c r="E189" i="6"/>
  <c r="F189" i="6"/>
  <c r="E188" i="6"/>
  <c r="F188" i="6"/>
  <c r="E187" i="6"/>
  <c r="F187" i="6"/>
  <c r="E186" i="6"/>
  <c r="F186" i="6"/>
  <c r="E185" i="6"/>
  <c r="F185" i="6"/>
  <c r="E184" i="6"/>
  <c r="F184" i="6"/>
  <c r="E183" i="6"/>
  <c r="F183" i="6"/>
  <c r="D180" i="6"/>
  <c r="E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C167" i="6"/>
  <c r="E167" i="6"/>
  <c r="D166" i="6"/>
  <c r="C166" i="6"/>
  <c r="E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/>
  <c r="C154" i="6"/>
  <c r="F154" i="6"/>
  <c r="D153" i="6"/>
  <c r="E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/>
  <c r="C141" i="6"/>
  <c r="F141" i="6"/>
  <c r="D140" i="6"/>
  <c r="C140" i="6"/>
  <c r="F139" i="6"/>
  <c r="E139" i="6"/>
  <c r="E138" i="6"/>
  <c r="F138" i="6"/>
  <c r="E137" i="6"/>
  <c r="F137" i="6"/>
  <c r="F136" i="6"/>
  <c r="E136" i="6"/>
  <c r="F135" i="6"/>
  <c r="E135" i="6"/>
  <c r="E134" i="6"/>
  <c r="F134" i="6"/>
  <c r="E133" i="6"/>
  <c r="F133" i="6"/>
  <c r="F132" i="6"/>
  <c r="E132" i="6"/>
  <c r="F131" i="6"/>
  <c r="E131" i="6"/>
  <c r="D128" i="6"/>
  <c r="E128" i="6"/>
  <c r="C128" i="6"/>
  <c r="D127" i="6"/>
  <c r="C127" i="6"/>
  <c r="F126" i="6"/>
  <c r="E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C115" i="6"/>
  <c r="E115" i="6"/>
  <c r="D114" i="6"/>
  <c r="C114" i="6"/>
  <c r="E114" i="6"/>
  <c r="F114" i="6"/>
  <c r="F113" i="6"/>
  <c r="E113" i="6"/>
  <c r="E112" i="6"/>
  <c r="F112" i="6"/>
  <c r="E111" i="6"/>
  <c r="F111" i="6"/>
  <c r="E110" i="6"/>
  <c r="F110" i="6"/>
  <c r="E109" i="6"/>
  <c r="F109" i="6"/>
  <c r="E108" i="6"/>
  <c r="F108" i="6"/>
  <c r="E107" i="6"/>
  <c r="F107" i="6"/>
  <c r="E106" i="6"/>
  <c r="F106" i="6"/>
  <c r="E105" i="6"/>
  <c r="F105" i="6"/>
  <c r="D102" i="6"/>
  <c r="E102" i="6"/>
  <c r="C102" i="6"/>
  <c r="F102" i="6"/>
  <c r="D101" i="6"/>
  <c r="E101" i="6"/>
  <c r="C101" i="6"/>
  <c r="F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C89" i="6"/>
  <c r="E89" i="6"/>
  <c r="F89" i="6"/>
  <c r="D88" i="6"/>
  <c r="C88" i="6"/>
  <c r="E88" i="6"/>
  <c r="F88" i="6"/>
  <c r="F87" i="6"/>
  <c r="E87" i="6"/>
  <c r="E86" i="6"/>
  <c r="F86" i="6"/>
  <c r="E85" i="6"/>
  <c r="F85" i="6"/>
  <c r="E84" i="6"/>
  <c r="F84" i="6"/>
  <c r="E83" i="6"/>
  <c r="F83" i="6"/>
  <c r="E82" i="6"/>
  <c r="F82" i="6"/>
  <c r="E81" i="6"/>
  <c r="F81" i="6"/>
  <c r="E80" i="6"/>
  <c r="F80" i="6"/>
  <c r="E79" i="6"/>
  <c r="F79" i="6"/>
  <c r="D76" i="6"/>
  <c r="E76" i="6"/>
  <c r="C76" i="6"/>
  <c r="F76" i="6"/>
  <c r="D75" i="6"/>
  <c r="E75" i="6"/>
  <c r="C75" i="6"/>
  <c r="F75" i="6"/>
  <c r="F74" i="6"/>
  <c r="E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C63" i="6"/>
  <c r="E63" i="6"/>
  <c r="D62" i="6"/>
  <c r="C62" i="6"/>
  <c r="F61" i="6"/>
  <c r="E61" i="6"/>
  <c r="E60" i="6"/>
  <c r="F60" i="6"/>
  <c r="F59" i="6"/>
  <c r="E59" i="6"/>
  <c r="F58" i="6"/>
  <c r="E58" i="6"/>
  <c r="F57" i="6"/>
  <c r="E57" i="6"/>
  <c r="E56" i="6"/>
  <c r="F56" i="6"/>
  <c r="F55" i="6"/>
  <c r="E55" i="6"/>
  <c r="F54" i="6"/>
  <c r="E54" i="6"/>
  <c r="F53" i="6"/>
  <c r="E53" i="6"/>
  <c r="D50" i="6"/>
  <c r="C50" i="6"/>
  <c r="D49" i="6"/>
  <c r="C49" i="6"/>
  <c r="F48" i="6"/>
  <c r="E48" i="6"/>
  <c r="F47" i="6"/>
  <c r="E47" i="6"/>
  <c r="E46" i="6"/>
  <c r="F46" i="6"/>
  <c r="F45" i="6"/>
  <c r="E45" i="6"/>
  <c r="E44" i="6"/>
  <c r="F44" i="6"/>
  <c r="F43" i="6"/>
  <c r="E43" i="6"/>
  <c r="E42" i="6"/>
  <c r="F42" i="6"/>
  <c r="F41" i="6"/>
  <c r="E41" i="6"/>
  <c r="E40" i="6"/>
  <c r="F40" i="6"/>
  <c r="D37" i="6"/>
  <c r="C37" i="6"/>
  <c r="F37" i="6"/>
  <c r="D36" i="6"/>
  <c r="C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D23" i="6"/>
  <c r="C23" i="6"/>
  <c r="F22" i="6"/>
  <c r="E22" i="6"/>
  <c r="F21" i="6"/>
  <c r="E21" i="6"/>
  <c r="E20" i="6"/>
  <c r="F20" i="6"/>
  <c r="F19" i="6"/>
  <c r="E19" i="6"/>
  <c r="E18" i="6"/>
  <c r="F18" i="6"/>
  <c r="F17" i="6"/>
  <c r="E17" i="6"/>
  <c r="E16" i="6"/>
  <c r="F16" i="6"/>
  <c r="F15" i="6"/>
  <c r="E15" i="6"/>
  <c r="E14" i="6"/>
  <c r="F14" i="6"/>
  <c r="E191" i="5"/>
  <c r="D191" i="5"/>
  <c r="C191" i="5"/>
  <c r="E176" i="5"/>
  <c r="D176" i="5"/>
  <c r="C176" i="5"/>
  <c r="E164" i="5"/>
  <c r="E160" i="5"/>
  <c r="E166" i="5"/>
  <c r="D164" i="5"/>
  <c r="C164" i="5"/>
  <c r="C160" i="5"/>
  <c r="E162" i="5"/>
  <c r="D162" i="5"/>
  <c r="C162" i="5"/>
  <c r="E161" i="5"/>
  <c r="D161" i="5"/>
  <c r="C161" i="5"/>
  <c r="C166" i="5"/>
  <c r="D160" i="5"/>
  <c r="D166" i="5"/>
  <c r="D152" i="5"/>
  <c r="E147" i="5"/>
  <c r="E143" i="5"/>
  <c r="D147" i="5"/>
  <c r="C147" i="5"/>
  <c r="C143" i="5"/>
  <c r="E145" i="5"/>
  <c r="D145" i="5"/>
  <c r="C145" i="5"/>
  <c r="E144" i="5"/>
  <c r="D144" i="5"/>
  <c r="C144" i="5"/>
  <c r="D143" i="5"/>
  <c r="D149" i="5"/>
  <c r="E126" i="5"/>
  <c r="D126" i="5"/>
  <c r="C126" i="5"/>
  <c r="E119" i="5"/>
  <c r="D119" i="5"/>
  <c r="C119" i="5"/>
  <c r="E108" i="5"/>
  <c r="E109" i="5"/>
  <c r="E106" i="5"/>
  <c r="D108" i="5"/>
  <c r="C108" i="5"/>
  <c r="E107" i="5"/>
  <c r="D107" i="5"/>
  <c r="D109" i="5"/>
  <c r="D106" i="5"/>
  <c r="C107" i="5"/>
  <c r="D104" i="5"/>
  <c r="E102" i="5"/>
  <c r="E104" i="5"/>
  <c r="E98" i="5"/>
  <c r="D102" i="5"/>
  <c r="C102" i="5"/>
  <c r="C104" i="5"/>
  <c r="E100" i="5"/>
  <c r="D100" i="5"/>
  <c r="C100" i="5"/>
  <c r="E95" i="5"/>
  <c r="D95" i="5"/>
  <c r="D94" i="5"/>
  <c r="C95" i="5"/>
  <c r="E94" i="5"/>
  <c r="C94" i="5"/>
  <c r="E89" i="5"/>
  <c r="D89" i="5"/>
  <c r="C89" i="5"/>
  <c r="D88" i="5"/>
  <c r="D90" i="5"/>
  <c r="E87" i="5"/>
  <c r="D87" i="5"/>
  <c r="C87" i="5"/>
  <c r="D86" i="5"/>
  <c r="E84" i="5"/>
  <c r="D84" i="5"/>
  <c r="C84" i="5"/>
  <c r="C79" i="5"/>
  <c r="E83" i="5"/>
  <c r="D83" i="5"/>
  <c r="C83" i="5"/>
  <c r="E79" i="5"/>
  <c r="D77" i="5"/>
  <c r="D71" i="5"/>
  <c r="E75" i="5"/>
  <c r="D75" i="5"/>
  <c r="C75" i="5"/>
  <c r="C88" i="5"/>
  <c r="C90" i="5"/>
  <c r="C86" i="5"/>
  <c r="E74" i="5"/>
  <c r="D74" i="5"/>
  <c r="C74" i="5"/>
  <c r="E67" i="5"/>
  <c r="D67" i="5"/>
  <c r="C67" i="5"/>
  <c r="E53" i="5"/>
  <c r="C49" i="5"/>
  <c r="E38" i="5"/>
  <c r="E49" i="5"/>
  <c r="D38" i="5"/>
  <c r="C38" i="5"/>
  <c r="E33" i="5"/>
  <c r="E34" i="5"/>
  <c r="D33" i="5"/>
  <c r="D34" i="5"/>
  <c r="E26" i="5"/>
  <c r="D26" i="5"/>
  <c r="C26" i="5"/>
  <c r="E25" i="5"/>
  <c r="E27" i="5"/>
  <c r="D25" i="5"/>
  <c r="D17" i="5"/>
  <c r="D112" i="5"/>
  <c r="D111" i="5"/>
  <c r="E13" i="5"/>
  <c r="E15" i="5"/>
  <c r="E17" i="5"/>
  <c r="E28" i="5"/>
  <c r="E99" i="5"/>
  <c r="D13" i="5"/>
  <c r="D15" i="5"/>
  <c r="C13" i="5"/>
  <c r="C15" i="5"/>
  <c r="C24" i="5"/>
  <c r="F186" i="4"/>
  <c r="E186" i="4"/>
  <c r="E183" i="4"/>
  <c r="D183" i="4"/>
  <c r="C183" i="4"/>
  <c r="F183" i="4"/>
  <c r="F182" i="4"/>
  <c r="E182" i="4"/>
  <c r="F181" i="4"/>
  <c r="E181" i="4"/>
  <c r="F180" i="4"/>
  <c r="E180" i="4"/>
  <c r="F179" i="4"/>
  <c r="E179" i="4"/>
  <c r="F178" i="4"/>
  <c r="E178" i="4"/>
  <c r="F177" i="4"/>
  <c r="E177" i="4"/>
  <c r="E176" i="4"/>
  <c r="F176" i="4"/>
  <c r="F175" i="4"/>
  <c r="E175" i="4"/>
  <c r="F174" i="4"/>
  <c r="E174" i="4"/>
  <c r="E173" i="4"/>
  <c r="F173" i="4"/>
  <c r="F172" i="4"/>
  <c r="E172" i="4"/>
  <c r="E171" i="4"/>
  <c r="F171" i="4"/>
  <c r="E170" i="4"/>
  <c r="F170" i="4"/>
  <c r="D167" i="4"/>
  <c r="C167" i="4"/>
  <c r="C188" i="4"/>
  <c r="F166" i="4"/>
  <c r="E166" i="4"/>
  <c r="F165" i="4"/>
  <c r="E165" i="4"/>
  <c r="F164" i="4"/>
  <c r="E164" i="4"/>
  <c r="E163" i="4"/>
  <c r="F163" i="4"/>
  <c r="F162" i="4"/>
  <c r="E162" i="4"/>
  <c r="E161" i="4"/>
  <c r="F161" i="4"/>
  <c r="F160" i="4"/>
  <c r="E160" i="4"/>
  <c r="F159" i="4"/>
  <c r="E159" i="4"/>
  <c r="F158" i="4"/>
  <c r="E158" i="4"/>
  <c r="E157" i="4"/>
  <c r="F157" i="4"/>
  <c r="F156" i="4"/>
  <c r="E156" i="4"/>
  <c r="F155" i="4"/>
  <c r="E155" i="4"/>
  <c r="F154" i="4"/>
  <c r="E154" i="4"/>
  <c r="F153" i="4"/>
  <c r="E153" i="4"/>
  <c r="F152" i="4"/>
  <c r="E152" i="4"/>
  <c r="F151" i="4"/>
  <c r="E151" i="4"/>
  <c r="F150" i="4"/>
  <c r="E150" i="4"/>
  <c r="F149" i="4"/>
  <c r="E149" i="4"/>
  <c r="F148" i="4"/>
  <c r="E148" i="4"/>
  <c r="E147" i="4"/>
  <c r="F147" i="4"/>
  <c r="F146" i="4"/>
  <c r="E146" i="4"/>
  <c r="E145" i="4"/>
  <c r="F145" i="4"/>
  <c r="F144" i="4"/>
  <c r="E144" i="4"/>
  <c r="F143" i="4"/>
  <c r="E143" i="4"/>
  <c r="F142" i="4"/>
  <c r="E142" i="4"/>
  <c r="E141" i="4"/>
  <c r="F141" i="4"/>
  <c r="F140" i="4"/>
  <c r="E140" i="4"/>
  <c r="F139" i="4"/>
  <c r="E139" i="4"/>
  <c r="F138" i="4"/>
  <c r="E138" i="4"/>
  <c r="E137" i="4"/>
  <c r="F137" i="4"/>
  <c r="F136" i="4"/>
  <c r="E136" i="4"/>
  <c r="E135" i="4"/>
  <c r="F135" i="4"/>
  <c r="F134" i="4"/>
  <c r="E134" i="4"/>
  <c r="E133" i="4"/>
  <c r="F133" i="4"/>
  <c r="D130" i="4"/>
  <c r="D188" i="4"/>
  <c r="E188" i="4"/>
  <c r="F188" i="4"/>
  <c r="C130" i="4"/>
  <c r="F129" i="4"/>
  <c r="E129" i="4"/>
  <c r="E128" i="4"/>
  <c r="F128" i="4"/>
  <c r="F127" i="4"/>
  <c r="E127" i="4"/>
  <c r="E126" i="4"/>
  <c r="F126" i="4"/>
  <c r="F125" i="4"/>
  <c r="E125" i="4"/>
  <c r="E124" i="4"/>
  <c r="F124" i="4"/>
  <c r="D121" i="4"/>
  <c r="E121" i="4"/>
  <c r="F121" i="4"/>
  <c r="C121" i="4"/>
  <c r="F120" i="4"/>
  <c r="E120" i="4"/>
  <c r="E119" i="4"/>
  <c r="F119" i="4"/>
  <c r="F118" i="4"/>
  <c r="E118" i="4"/>
  <c r="F117" i="4"/>
  <c r="E117" i="4"/>
  <c r="F116" i="4"/>
  <c r="E116" i="4"/>
  <c r="E115" i="4"/>
  <c r="F115" i="4"/>
  <c r="F114" i="4"/>
  <c r="E114" i="4"/>
  <c r="E113" i="4"/>
  <c r="F113" i="4"/>
  <c r="F112" i="4"/>
  <c r="E112" i="4"/>
  <c r="F111" i="4"/>
  <c r="E111" i="4"/>
  <c r="F110" i="4"/>
  <c r="E110" i="4"/>
  <c r="F109" i="4"/>
  <c r="E109" i="4"/>
  <c r="F108" i="4"/>
  <c r="E108" i="4"/>
  <c r="F107" i="4"/>
  <c r="E107" i="4"/>
  <c r="F106" i="4"/>
  <c r="E106" i="4"/>
  <c r="F105" i="4"/>
  <c r="E105" i="4"/>
  <c r="F104" i="4"/>
  <c r="E104" i="4"/>
  <c r="E103" i="4"/>
  <c r="F103" i="4"/>
  <c r="F93" i="4"/>
  <c r="E93" i="4"/>
  <c r="E90" i="4"/>
  <c r="D90" i="4"/>
  <c r="C90" i="4"/>
  <c r="F90" i="4"/>
  <c r="E89" i="4"/>
  <c r="F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E76" i="4"/>
  <c r="F76" i="4"/>
  <c r="E75" i="4"/>
  <c r="F75" i="4"/>
  <c r="E74" i="4"/>
  <c r="F74" i="4"/>
  <c r="E73" i="4"/>
  <c r="F73" i="4"/>
  <c r="E72" i="4"/>
  <c r="F72" i="4"/>
  <c r="F71" i="4"/>
  <c r="E71" i="4"/>
  <c r="E70" i="4"/>
  <c r="F70" i="4"/>
  <c r="E69" i="4"/>
  <c r="F69" i="4"/>
  <c r="E68" i="4"/>
  <c r="F68" i="4"/>
  <c r="F67" i="4"/>
  <c r="E67" i="4"/>
  <c r="E66" i="4"/>
  <c r="F66" i="4"/>
  <c r="F65" i="4"/>
  <c r="E65" i="4"/>
  <c r="E64" i="4"/>
  <c r="F64" i="4"/>
  <c r="E63" i="4"/>
  <c r="F63" i="4"/>
  <c r="E62" i="4"/>
  <c r="F62" i="4"/>
  <c r="D59" i="4"/>
  <c r="E59" i="4"/>
  <c r="C59" i="4"/>
  <c r="F59" i="4"/>
  <c r="E58" i="4"/>
  <c r="F58" i="4"/>
  <c r="E57" i="4"/>
  <c r="F57" i="4"/>
  <c r="E56" i="4"/>
  <c r="F56" i="4"/>
  <c r="E55" i="4"/>
  <c r="F55" i="4"/>
  <c r="E54" i="4"/>
  <c r="F54" i="4"/>
  <c r="E53" i="4"/>
  <c r="F53" i="4"/>
  <c r="E50" i="4"/>
  <c r="F50" i="4"/>
  <c r="E47" i="4"/>
  <c r="F47" i="4"/>
  <c r="E44" i="4"/>
  <c r="F44" i="4"/>
  <c r="D41" i="4"/>
  <c r="C41" i="4"/>
  <c r="F40" i="4"/>
  <c r="E40" i="4"/>
  <c r="E39" i="4"/>
  <c r="F39" i="4"/>
  <c r="F38" i="4"/>
  <c r="E38" i="4"/>
  <c r="D35" i="4"/>
  <c r="C35" i="4"/>
  <c r="E34" i="4"/>
  <c r="F34" i="4"/>
  <c r="F33" i="4"/>
  <c r="E33" i="4"/>
  <c r="D30" i="4"/>
  <c r="C30" i="4"/>
  <c r="E29" i="4"/>
  <c r="F29" i="4"/>
  <c r="F28" i="4"/>
  <c r="E28" i="4"/>
  <c r="E27" i="4"/>
  <c r="F27" i="4"/>
  <c r="D24" i="4"/>
  <c r="D95" i="4"/>
  <c r="C24" i="4"/>
  <c r="F23" i="4"/>
  <c r="E23" i="4"/>
  <c r="F22" i="4"/>
  <c r="E22" i="4"/>
  <c r="F21" i="4"/>
  <c r="E21" i="4"/>
  <c r="D18" i="4"/>
  <c r="C18" i="4"/>
  <c r="E17" i="4"/>
  <c r="F17" i="4"/>
  <c r="F16" i="4"/>
  <c r="E16" i="4"/>
  <c r="E15" i="4"/>
  <c r="F15" i="4"/>
  <c r="D179" i="3"/>
  <c r="C179" i="3"/>
  <c r="E179" i="3"/>
  <c r="E178" i="3"/>
  <c r="F178" i="3"/>
  <c r="F177" i="3"/>
  <c r="E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E166" i="3"/>
  <c r="C166" i="3"/>
  <c r="F166" i="3"/>
  <c r="E165" i="3"/>
  <c r="F165" i="3"/>
  <c r="F164" i="3"/>
  <c r="E164" i="3"/>
  <c r="E163" i="3"/>
  <c r="F163" i="3"/>
  <c r="E162" i="3"/>
  <c r="F162" i="3"/>
  <c r="E161" i="3"/>
  <c r="F161" i="3"/>
  <c r="E160" i="3"/>
  <c r="F160" i="3"/>
  <c r="E159" i="3"/>
  <c r="F159" i="3"/>
  <c r="E158" i="3"/>
  <c r="F158" i="3"/>
  <c r="E157" i="3"/>
  <c r="F157" i="3"/>
  <c r="E156" i="3"/>
  <c r="F156" i="3"/>
  <c r="E155" i="3"/>
  <c r="F155" i="3"/>
  <c r="D153" i="3"/>
  <c r="C153" i="3"/>
  <c r="E153" i="3"/>
  <c r="F152" i="3"/>
  <c r="E152" i="3"/>
  <c r="F151" i="3"/>
  <c r="E151" i="3"/>
  <c r="F150" i="3"/>
  <c r="E150" i="3"/>
  <c r="E149" i="3"/>
  <c r="F149" i="3"/>
  <c r="F148" i="3"/>
  <c r="E148" i="3"/>
  <c r="E147" i="3"/>
  <c r="F147" i="3"/>
  <c r="F146" i="3"/>
  <c r="E146" i="3"/>
  <c r="E145" i="3"/>
  <c r="F145" i="3"/>
  <c r="F144" i="3"/>
  <c r="E144" i="3"/>
  <c r="E143" i="3"/>
  <c r="F143" i="3"/>
  <c r="F142" i="3"/>
  <c r="E142" i="3"/>
  <c r="D137" i="3"/>
  <c r="C137" i="3"/>
  <c r="E136" i="3"/>
  <c r="F136" i="3"/>
  <c r="F135" i="3"/>
  <c r="E135" i="3"/>
  <c r="E134" i="3"/>
  <c r="F134" i="3"/>
  <c r="F133" i="3"/>
  <c r="E133" i="3"/>
  <c r="E132" i="3"/>
  <c r="F132" i="3"/>
  <c r="F131" i="3"/>
  <c r="E131" i="3"/>
  <c r="E130" i="3"/>
  <c r="F130" i="3"/>
  <c r="F129" i="3"/>
  <c r="E129" i="3"/>
  <c r="E128" i="3"/>
  <c r="F128" i="3"/>
  <c r="F127" i="3"/>
  <c r="E127" i="3"/>
  <c r="E126" i="3"/>
  <c r="F126" i="3"/>
  <c r="D124" i="3"/>
  <c r="C124" i="3"/>
  <c r="F123" i="3"/>
  <c r="E123" i="3"/>
  <c r="F122" i="3"/>
  <c r="E122" i="3"/>
  <c r="F121" i="3"/>
  <c r="E121" i="3"/>
  <c r="E120" i="3"/>
  <c r="F120" i="3"/>
  <c r="F119" i="3"/>
  <c r="E119" i="3"/>
  <c r="E118" i="3"/>
  <c r="F118" i="3"/>
  <c r="F117" i="3"/>
  <c r="E117" i="3"/>
  <c r="E116" i="3"/>
  <c r="F116" i="3"/>
  <c r="F115" i="3"/>
  <c r="E115" i="3"/>
  <c r="E114" i="3"/>
  <c r="F114" i="3"/>
  <c r="F113" i="3"/>
  <c r="E113" i="3"/>
  <c r="D111" i="3"/>
  <c r="C111" i="3"/>
  <c r="E110" i="3"/>
  <c r="F110" i="3"/>
  <c r="F109" i="3"/>
  <c r="E109" i="3"/>
  <c r="E108" i="3"/>
  <c r="F108" i="3"/>
  <c r="F107" i="3"/>
  <c r="E107" i="3"/>
  <c r="E106" i="3"/>
  <c r="F106" i="3"/>
  <c r="F105" i="3"/>
  <c r="E105" i="3"/>
  <c r="E104" i="3"/>
  <c r="F104" i="3"/>
  <c r="F103" i="3"/>
  <c r="E103" i="3"/>
  <c r="E102" i="3"/>
  <c r="F102" i="3"/>
  <c r="F101" i="3"/>
  <c r="E101" i="3"/>
  <c r="E100" i="3"/>
  <c r="F100" i="3"/>
  <c r="D94" i="3"/>
  <c r="C94" i="3"/>
  <c r="D93" i="3"/>
  <c r="C93" i="3"/>
  <c r="F93" i="3"/>
  <c r="D92" i="3"/>
  <c r="C92" i="3"/>
  <c r="E92" i="3"/>
  <c r="D91" i="3"/>
  <c r="E91" i="3"/>
  <c r="F91" i="3"/>
  <c r="C91" i="3"/>
  <c r="D90" i="3"/>
  <c r="D95" i="3"/>
  <c r="C90" i="3"/>
  <c r="E90" i="3"/>
  <c r="D89" i="3"/>
  <c r="C89" i="3"/>
  <c r="E89" i="3"/>
  <c r="D88" i="3"/>
  <c r="C88" i="3"/>
  <c r="D87" i="3"/>
  <c r="C87" i="3"/>
  <c r="E87" i="3"/>
  <c r="D86" i="3"/>
  <c r="C86" i="3"/>
  <c r="D85" i="3"/>
  <c r="C85" i="3"/>
  <c r="D84" i="3"/>
  <c r="C84" i="3"/>
  <c r="D81" i="3"/>
  <c r="C81" i="3"/>
  <c r="E81" i="3"/>
  <c r="F80" i="3"/>
  <c r="E80" i="3"/>
  <c r="F79" i="3"/>
  <c r="E79" i="3"/>
  <c r="F78" i="3"/>
  <c r="E78" i="3"/>
  <c r="E77" i="3"/>
  <c r="F77" i="3"/>
  <c r="F76" i="3"/>
  <c r="E76" i="3"/>
  <c r="E75" i="3"/>
  <c r="F75" i="3"/>
  <c r="F74" i="3"/>
  <c r="E74" i="3"/>
  <c r="E73" i="3"/>
  <c r="F73" i="3"/>
  <c r="F72" i="3"/>
  <c r="E72" i="3"/>
  <c r="E71" i="3"/>
  <c r="F71" i="3"/>
  <c r="F70" i="3"/>
  <c r="E70" i="3"/>
  <c r="D68" i="3"/>
  <c r="C68" i="3"/>
  <c r="E67" i="3"/>
  <c r="F67" i="3"/>
  <c r="F66" i="3"/>
  <c r="E66" i="3"/>
  <c r="E65" i="3"/>
  <c r="F65" i="3"/>
  <c r="F64" i="3"/>
  <c r="E64" i="3"/>
  <c r="E63" i="3"/>
  <c r="F63" i="3"/>
  <c r="F62" i="3"/>
  <c r="E62" i="3"/>
  <c r="E61" i="3"/>
  <c r="F61" i="3"/>
  <c r="F60" i="3"/>
  <c r="E60" i="3"/>
  <c r="E59" i="3"/>
  <c r="F59" i="3"/>
  <c r="F58" i="3"/>
  <c r="E58" i="3"/>
  <c r="E57" i="3"/>
  <c r="F57" i="3"/>
  <c r="D51" i="3"/>
  <c r="C51" i="3"/>
  <c r="E51" i="3"/>
  <c r="D50" i="3"/>
  <c r="C50" i="3"/>
  <c r="F50" i="3"/>
  <c r="D49" i="3"/>
  <c r="C49" i="3"/>
  <c r="D48" i="3"/>
  <c r="D52" i="3"/>
  <c r="E52" i="3"/>
  <c r="F52" i="3"/>
  <c r="C48" i="3"/>
  <c r="E48" i="3"/>
  <c r="F48" i="3"/>
  <c r="D47" i="3"/>
  <c r="C47" i="3"/>
  <c r="F47" i="3"/>
  <c r="D46" i="3"/>
  <c r="C46" i="3"/>
  <c r="F46" i="3"/>
  <c r="D45" i="3"/>
  <c r="C45" i="3"/>
  <c r="E45" i="3"/>
  <c r="D44" i="3"/>
  <c r="C44" i="3"/>
  <c r="D43" i="3"/>
  <c r="C43" i="3"/>
  <c r="E43" i="3"/>
  <c r="D42" i="3"/>
  <c r="C42" i="3"/>
  <c r="D41" i="3"/>
  <c r="C41" i="3"/>
  <c r="C52" i="3"/>
  <c r="D38" i="3"/>
  <c r="C38" i="3"/>
  <c r="F37" i="3"/>
  <c r="E37" i="3"/>
  <c r="F36" i="3"/>
  <c r="E36" i="3"/>
  <c r="F35" i="3"/>
  <c r="E35" i="3"/>
  <c r="E34" i="3"/>
  <c r="F34" i="3"/>
  <c r="F33" i="3"/>
  <c r="E33" i="3"/>
  <c r="E32" i="3"/>
  <c r="F32" i="3"/>
  <c r="F31" i="3"/>
  <c r="E31" i="3"/>
  <c r="E30" i="3"/>
  <c r="F30" i="3"/>
  <c r="F29" i="3"/>
  <c r="E29" i="3"/>
  <c r="E28" i="3"/>
  <c r="F28" i="3"/>
  <c r="F27" i="3"/>
  <c r="E27" i="3"/>
  <c r="D25" i="3"/>
  <c r="C25" i="3"/>
  <c r="E24" i="3"/>
  <c r="F24" i="3"/>
  <c r="F23" i="3"/>
  <c r="E23" i="3"/>
  <c r="E22" i="3"/>
  <c r="F22" i="3"/>
  <c r="F21" i="3"/>
  <c r="E21" i="3"/>
  <c r="E20" i="3"/>
  <c r="F20" i="3"/>
  <c r="F19" i="3"/>
  <c r="E19" i="3"/>
  <c r="E18" i="3"/>
  <c r="F18" i="3"/>
  <c r="F17" i="3"/>
  <c r="E17" i="3"/>
  <c r="E16" i="3"/>
  <c r="F16" i="3"/>
  <c r="F15" i="3"/>
  <c r="E15" i="3"/>
  <c r="E14" i="3"/>
  <c r="F14" i="3"/>
  <c r="F49" i="2"/>
  <c r="E49" i="2"/>
  <c r="D46" i="2"/>
  <c r="C46" i="2"/>
  <c r="F46" i="2"/>
  <c r="F45" i="2"/>
  <c r="E45" i="2"/>
  <c r="F44" i="2"/>
  <c r="E44" i="2"/>
  <c r="D39" i="2"/>
  <c r="C39" i="2"/>
  <c r="F39" i="2"/>
  <c r="F38" i="2"/>
  <c r="E38" i="2"/>
  <c r="F37" i="2"/>
  <c r="E37" i="2"/>
  <c r="F36" i="2"/>
  <c r="E36" i="2"/>
  <c r="D31" i="2"/>
  <c r="C31" i="2"/>
  <c r="F30" i="2"/>
  <c r="E30" i="2"/>
  <c r="E29" i="2"/>
  <c r="F29" i="2"/>
  <c r="F28" i="2"/>
  <c r="E28" i="2"/>
  <c r="E27" i="2"/>
  <c r="F27" i="2"/>
  <c r="F26" i="2"/>
  <c r="E26" i="2"/>
  <c r="E25" i="2"/>
  <c r="F25" i="2"/>
  <c r="F24" i="2"/>
  <c r="E24" i="2"/>
  <c r="E23" i="2"/>
  <c r="F23" i="2"/>
  <c r="F22" i="2"/>
  <c r="E22" i="2"/>
  <c r="F18" i="2"/>
  <c r="E18" i="2"/>
  <c r="F17" i="2"/>
  <c r="E17" i="2"/>
  <c r="E16" i="2"/>
  <c r="D16" i="2"/>
  <c r="D19" i="2"/>
  <c r="D33" i="2"/>
  <c r="D41" i="2"/>
  <c r="C16" i="2"/>
  <c r="F16" i="2"/>
  <c r="F15" i="2"/>
  <c r="E15" i="2"/>
  <c r="E14" i="2"/>
  <c r="F14" i="2"/>
  <c r="E13" i="2"/>
  <c r="F13" i="2"/>
  <c r="E12" i="2"/>
  <c r="F12" i="2"/>
  <c r="D73" i="1"/>
  <c r="E73" i="1"/>
  <c r="C73" i="1"/>
  <c r="F73" i="1"/>
  <c r="F72" i="1"/>
  <c r="E72" i="1"/>
  <c r="F71" i="1"/>
  <c r="E71" i="1"/>
  <c r="E70" i="1"/>
  <c r="F70" i="1"/>
  <c r="F67" i="1"/>
  <c r="E67" i="1"/>
  <c r="E64" i="1"/>
  <c r="F64" i="1"/>
  <c r="E63" i="1"/>
  <c r="F63" i="1"/>
  <c r="D61" i="1"/>
  <c r="C61" i="1"/>
  <c r="E60" i="1"/>
  <c r="F60" i="1"/>
  <c r="F59" i="1"/>
  <c r="E59" i="1"/>
  <c r="E56" i="1"/>
  <c r="D56" i="1"/>
  <c r="C56" i="1"/>
  <c r="F56" i="1"/>
  <c r="F55" i="1"/>
  <c r="E55" i="1"/>
  <c r="E54" i="1"/>
  <c r="F54" i="1"/>
  <c r="F53" i="1"/>
  <c r="E53" i="1"/>
  <c r="F52" i="1"/>
  <c r="E52" i="1"/>
  <c r="E51" i="1"/>
  <c r="F51" i="1"/>
  <c r="E50" i="1"/>
  <c r="F50" i="1"/>
  <c r="A50" i="1"/>
  <c r="A51" i="1"/>
  <c r="A52" i="1"/>
  <c r="A53" i="1"/>
  <c r="A54" i="1"/>
  <c r="A55" i="1"/>
  <c r="E49" i="1"/>
  <c r="F49" i="1"/>
  <c r="E40" i="1"/>
  <c r="F40" i="1"/>
  <c r="D38" i="1"/>
  <c r="D41" i="1"/>
  <c r="C38" i="1"/>
  <c r="F37" i="1"/>
  <c r="E37" i="1"/>
  <c r="E36" i="1"/>
  <c r="F36" i="1"/>
  <c r="F33" i="1"/>
  <c r="E33" i="1"/>
  <c r="F32" i="1"/>
  <c r="E32" i="1"/>
  <c r="F31" i="1"/>
  <c r="E31" i="1"/>
  <c r="D29" i="1"/>
  <c r="C29" i="1"/>
  <c r="F29" i="1"/>
  <c r="F28" i="1"/>
  <c r="E28" i="1"/>
  <c r="F27" i="1"/>
  <c r="E27" i="1"/>
  <c r="F26" i="1"/>
  <c r="E26" i="1"/>
  <c r="F25" i="1"/>
  <c r="E25" i="1"/>
  <c r="E22" i="1"/>
  <c r="D22" i="1"/>
  <c r="D43" i="1"/>
  <c r="C22" i="1"/>
  <c r="F22" i="1"/>
  <c r="E21" i="1"/>
  <c r="F21" i="1"/>
  <c r="E20" i="1"/>
  <c r="F20" i="1"/>
  <c r="E19" i="1"/>
  <c r="F19" i="1"/>
  <c r="F18" i="1"/>
  <c r="E18" i="1"/>
  <c r="F17" i="1"/>
  <c r="E17" i="1"/>
  <c r="F16" i="1"/>
  <c r="E16" i="1"/>
  <c r="E15" i="1"/>
  <c r="F15" i="1"/>
  <c r="F14" i="1"/>
  <c r="E14" i="1"/>
  <c r="F13" i="1"/>
  <c r="E13" i="1"/>
  <c r="D214" i="14"/>
  <c r="D254" i="14"/>
  <c r="D261" i="14"/>
  <c r="E261" i="14"/>
  <c r="D37" i="14"/>
  <c r="D146" i="14"/>
  <c r="D190" i="14"/>
  <c r="D68" i="14"/>
  <c r="E21" i="5"/>
  <c r="D136" i="5"/>
  <c r="E24" i="5"/>
  <c r="C17" i="5"/>
  <c r="C112" i="5"/>
  <c r="C111" i="5"/>
  <c r="E21" i="10"/>
  <c r="D28" i="5"/>
  <c r="D99" i="5"/>
  <c r="D155" i="5"/>
  <c r="D156" i="5"/>
  <c r="D153" i="5"/>
  <c r="E290" i="14"/>
  <c r="F290" i="14"/>
  <c r="C168" i="15"/>
  <c r="C145" i="15"/>
  <c r="C180" i="15"/>
  <c r="F43" i="3"/>
  <c r="F45" i="3"/>
  <c r="F51" i="3"/>
  <c r="F81" i="3"/>
  <c r="F87" i="3"/>
  <c r="F90" i="3"/>
  <c r="F92" i="3"/>
  <c r="F153" i="3"/>
  <c r="F179" i="3"/>
  <c r="D24" i="5"/>
  <c r="E57" i="5"/>
  <c r="E62" i="5"/>
  <c r="F36" i="6"/>
  <c r="F63" i="6"/>
  <c r="E38" i="1"/>
  <c r="F38" i="1"/>
  <c r="C41" i="1"/>
  <c r="C43" i="1"/>
  <c r="F43" i="1"/>
  <c r="C19" i="2"/>
  <c r="C33" i="2"/>
  <c r="E31" i="2"/>
  <c r="F31" i="2"/>
  <c r="E38" i="3"/>
  <c r="F38" i="3"/>
  <c r="E41" i="3"/>
  <c r="E42" i="3"/>
  <c r="F42" i="3"/>
  <c r="E44" i="3"/>
  <c r="F44" i="3"/>
  <c r="E46" i="3"/>
  <c r="E47" i="3"/>
  <c r="E49" i="3"/>
  <c r="F49" i="3"/>
  <c r="E50" i="3"/>
  <c r="E84" i="3"/>
  <c r="F84" i="3"/>
  <c r="E85" i="3"/>
  <c r="F85" i="3"/>
  <c r="E86" i="3"/>
  <c r="F86" i="3"/>
  <c r="E88" i="3"/>
  <c r="F88" i="3"/>
  <c r="E93" i="3"/>
  <c r="E94" i="3"/>
  <c r="F94" i="3"/>
  <c r="E124" i="3"/>
  <c r="F124" i="3"/>
  <c r="E24" i="4"/>
  <c r="F24" i="4"/>
  <c r="E41" i="4"/>
  <c r="F41" i="4"/>
  <c r="E130" i="4"/>
  <c r="F130" i="4"/>
  <c r="E167" i="4"/>
  <c r="E43" i="5"/>
  <c r="D57" i="5"/>
  <c r="D62" i="5"/>
  <c r="E37" i="6"/>
  <c r="E62" i="6"/>
  <c r="F62" i="6"/>
  <c r="F128" i="6"/>
  <c r="F166" i="6"/>
  <c r="F167" i="6"/>
  <c r="F96" i="7"/>
  <c r="D43" i="8"/>
  <c r="E50" i="10"/>
  <c r="F70" i="12"/>
  <c r="E264" i="14"/>
  <c r="F264" i="14"/>
  <c r="F167" i="4"/>
  <c r="E47" i="7"/>
  <c r="E71" i="7"/>
  <c r="E95" i="7"/>
  <c r="F22" i="8"/>
  <c r="E56" i="8"/>
  <c r="D19" i="9"/>
  <c r="E39" i="9"/>
  <c r="E46" i="9"/>
  <c r="E17" i="10"/>
  <c r="E28" i="10"/>
  <c r="E70" i="10"/>
  <c r="E72" i="10"/>
  <c r="D31" i="11"/>
  <c r="E23" i="12"/>
  <c r="F23" i="12"/>
  <c r="E37" i="12"/>
  <c r="E50" i="12"/>
  <c r="F73" i="12"/>
  <c r="C33" i="9"/>
  <c r="C17" i="10"/>
  <c r="C28" i="10"/>
  <c r="C70" i="10"/>
  <c r="C72" i="10"/>
  <c r="C69" i="10"/>
  <c r="C125" i="14"/>
  <c r="C90" i="14"/>
  <c r="E48" i="14"/>
  <c r="F48" i="14"/>
  <c r="F47" i="7"/>
  <c r="F95" i="7"/>
  <c r="F56" i="8"/>
  <c r="E59" i="10"/>
  <c r="E61" i="10"/>
  <c r="E57" i="10"/>
  <c r="D24" i="10"/>
  <c r="D20" i="10"/>
  <c r="D17" i="10"/>
  <c r="D28" i="10"/>
  <c r="C33" i="11"/>
  <c r="C36" i="11"/>
  <c r="C38" i="11"/>
  <c r="C40" i="11"/>
  <c r="C31" i="11"/>
  <c r="H31" i="11"/>
  <c r="I17" i="11"/>
  <c r="E146" i="14"/>
  <c r="F146" i="14"/>
  <c r="C161" i="14"/>
  <c r="F161" i="14"/>
  <c r="E326" i="15"/>
  <c r="D330" i="15"/>
  <c r="E330" i="15"/>
  <c r="H33" i="11"/>
  <c r="H36" i="11"/>
  <c r="H38" i="11"/>
  <c r="H40" i="11"/>
  <c r="F16" i="12"/>
  <c r="F75" i="12"/>
  <c r="E203" i="14"/>
  <c r="F203" i="14"/>
  <c r="C283" i="14"/>
  <c r="C284" i="14"/>
  <c r="C254" i="14"/>
  <c r="E21" i="15"/>
  <c r="D283" i="15"/>
  <c r="E283" i="15"/>
  <c r="C217" i="15"/>
  <c r="C241" i="15"/>
  <c r="C242" i="15"/>
  <c r="E242" i="15"/>
  <c r="E218" i="15"/>
  <c r="C253" i="15"/>
  <c r="E21" i="14"/>
  <c r="F21" i="14"/>
  <c r="F29" i="14"/>
  <c r="C31" i="14"/>
  <c r="F35" i="14"/>
  <c r="C37" i="14"/>
  <c r="C49" i="14"/>
  <c r="C60" i="14"/>
  <c r="E60" i="14"/>
  <c r="F60" i="14"/>
  <c r="C92" i="14"/>
  <c r="F135" i="14"/>
  <c r="C137" i="14"/>
  <c r="E137" i="14"/>
  <c r="C172" i="14"/>
  <c r="C205" i="14"/>
  <c r="F205" i="14"/>
  <c r="C214" i="14"/>
  <c r="F227" i="14"/>
  <c r="C278" i="14"/>
  <c r="C306" i="14"/>
  <c r="C33" i="15"/>
  <c r="C295" i="15"/>
  <c r="C43" i="15"/>
  <c r="C44" i="15"/>
  <c r="C71" i="15"/>
  <c r="C294" i="15"/>
  <c r="D316" i="15"/>
  <c r="C33" i="16"/>
  <c r="C287" i="14"/>
  <c r="C279" i="14"/>
  <c r="C283" i="15"/>
  <c r="C22" i="15"/>
  <c r="C284" i="15"/>
  <c r="E284" i="15"/>
  <c r="E215" i="15"/>
  <c r="D239" i="15"/>
  <c r="E239" i="15"/>
  <c r="E219" i="15"/>
  <c r="D243" i="15"/>
  <c r="D217" i="15"/>
  <c r="D241" i="15"/>
  <c r="E251" i="15"/>
  <c r="C49" i="16"/>
  <c r="F17" i="14"/>
  <c r="F30" i="14"/>
  <c r="F36" i="14"/>
  <c r="E47" i="14"/>
  <c r="F47" i="14"/>
  <c r="F59" i="14"/>
  <c r="F85" i="14"/>
  <c r="F94" i="14"/>
  <c r="E101" i="14"/>
  <c r="F101" i="14"/>
  <c r="F136" i="14"/>
  <c r="E145" i="14"/>
  <c r="F145" i="14"/>
  <c r="C190" i="14"/>
  <c r="C199" i="14"/>
  <c r="F199" i="14"/>
  <c r="F230" i="14"/>
  <c r="C267" i="14"/>
  <c r="E39" i="15"/>
  <c r="E151" i="15"/>
  <c r="D163" i="15"/>
  <c r="E166" i="15"/>
  <c r="C303" i="15"/>
  <c r="C306" i="15"/>
  <c r="C310" i="15"/>
  <c r="E306" i="14"/>
  <c r="C269" i="14"/>
  <c r="C270" i="14"/>
  <c r="E299" i="14"/>
  <c r="F299" i="14"/>
  <c r="C76" i="15"/>
  <c r="C77" i="15"/>
  <c r="E70" i="15"/>
  <c r="C175" i="15"/>
  <c r="C163" i="15"/>
  <c r="E163" i="15"/>
  <c r="E139" i="15"/>
  <c r="C261" i="15"/>
  <c r="E188" i="15"/>
  <c r="D229" i="15"/>
  <c r="D210" i="15"/>
  <c r="D175" i="15"/>
  <c r="E175" i="15"/>
  <c r="C304" i="14"/>
  <c r="F171" i="14"/>
  <c r="E191" i="14"/>
  <c r="F191" i="14"/>
  <c r="C193" i="14"/>
  <c r="E198" i="14"/>
  <c r="E177" i="15"/>
  <c r="C222" i="15"/>
  <c r="C246" i="15"/>
  <c r="C234" i="15"/>
  <c r="E281" i="15"/>
  <c r="E103" i="19"/>
  <c r="C262" i="14"/>
  <c r="C255" i="14"/>
  <c r="E189" i="14"/>
  <c r="F189" i="14"/>
  <c r="C280" i="14"/>
  <c r="C200" i="14"/>
  <c r="F200" i="14"/>
  <c r="C274" i="14"/>
  <c r="F198" i="14"/>
  <c r="E295" i="14"/>
  <c r="F295" i="14"/>
  <c r="C289" i="15"/>
  <c r="D180" i="15"/>
  <c r="E180" i="15"/>
  <c r="E144" i="15"/>
  <c r="D168" i="15"/>
  <c r="E168" i="15"/>
  <c r="D240" i="15"/>
  <c r="D222" i="15"/>
  <c r="D223" i="15"/>
  <c r="C108" i="19"/>
  <c r="D175" i="14"/>
  <c r="D176" i="14"/>
  <c r="D62" i="14"/>
  <c r="D105" i="14"/>
  <c r="D207" i="14"/>
  <c r="D138" i="14"/>
  <c r="D140" i="14"/>
  <c r="E156" i="15"/>
  <c r="E159" i="14"/>
  <c r="C20" i="17"/>
  <c r="E20" i="17"/>
  <c r="C46" i="17"/>
  <c r="E22" i="19"/>
  <c r="C33" i="19"/>
  <c r="D34" i="19"/>
  <c r="D77" i="19"/>
  <c r="C101" i="19"/>
  <c r="C103" i="19"/>
  <c r="D161" i="14"/>
  <c r="E161" i="14"/>
  <c r="D267" i="14"/>
  <c r="E267" i="14"/>
  <c r="D277" i="14"/>
  <c r="D285" i="14"/>
  <c r="F33" i="17"/>
  <c r="D22" i="19"/>
  <c r="D53" i="19"/>
  <c r="E23" i="19"/>
  <c r="D124" i="14"/>
  <c r="E124" i="14"/>
  <c r="F124" i="14"/>
  <c r="D200" i="14"/>
  <c r="E200" i="14"/>
  <c r="D262" i="14"/>
  <c r="D274" i="14"/>
  <c r="E274" i="14"/>
  <c r="F274" i="14"/>
  <c r="D280" i="14"/>
  <c r="E19" i="17"/>
  <c r="F19" i="17"/>
  <c r="E43" i="17"/>
  <c r="F43" i="17"/>
  <c r="D23" i="19"/>
  <c r="D46" i="19"/>
  <c r="E33" i="19"/>
  <c r="D49" i="14"/>
  <c r="E49" i="14"/>
  <c r="D104" i="14"/>
  <c r="D199" i="14"/>
  <c r="E199" i="14"/>
  <c r="D205" i="14"/>
  <c r="E205" i="14"/>
  <c r="D215" i="14"/>
  <c r="D216" i="14"/>
  <c r="E77" i="19"/>
  <c r="E110" i="19"/>
  <c r="E43" i="1"/>
  <c r="D270" i="14"/>
  <c r="D162" i="14"/>
  <c r="D323" i="14"/>
  <c r="C263" i="14"/>
  <c r="C272" i="14"/>
  <c r="C273" i="14"/>
  <c r="D40" i="19"/>
  <c r="D30" i="19"/>
  <c r="D56" i="19"/>
  <c r="D54" i="19"/>
  <c r="E280" i="14"/>
  <c r="F280" i="14"/>
  <c r="D45" i="19"/>
  <c r="D35" i="19"/>
  <c r="D110" i="19"/>
  <c r="D109" i="19"/>
  <c r="D108" i="19"/>
  <c r="E53" i="19"/>
  <c r="E45" i="19"/>
  <c r="E39" i="19"/>
  <c r="E35" i="19"/>
  <c r="E29" i="19"/>
  <c r="E47" i="19"/>
  <c r="E190" i="14"/>
  <c r="F190" i="14"/>
  <c r="C173" i="14"/>
  <c r="E172" i="14"/>
  <c r="F172" i="14"/>
  <c r="E254" i="14"/>
  <c r="F254" i="14"/>
  <c r="D271" i="14"/>
  <c r="D304" i="14"/>
  <c r="D300" i="14"/>
  <c r="E300" i="14"/>
  <c r="F300" i="14"/>
  <c r="C300" i="14"/>
  <c r="E54" i="19"/>
  <c r="E46" i="19"/>
  <c r="E40" i="19"/>
  <c r="E36" i="19"/>
  <c r="E30" i="19"/>
  <c r="E38" i="19"/>
  <c r="D287" i="14"/>
  <c r="E277" i="14"/>
  <c r="F277" i="14"/>
  <c r="D106" i="14"/>
  <c r="E240" i="15"/>
  <c r="D252" i="15"/>
  <c r="E243" i="15"/>
  <c r="E22" i="15"/>
  <c r="E316" i="15"/>
  <c r="D320" i="15"/>
  <c r="E320" i="15"/>
  <c r="C207" i="14"/>
  <c r="C208" i="14"/>
  <c r="F137" i="14"/>
  <c r="C50" i="14"/>
  <c r="E31" i="14"/>
  <c r="F31" i="14"/>
  <c r="C32" i="14"/>
  <c r="C162" i="14"/>
  <c r="D139" i="14"/>
  <c r="C259" i="15"/>
  <c r="C263" i="15"/>
  <c r="D255" i="14"/>
  <c r="E255" i="14"/>
  <c r="F255" i="14"/>
  <c r="E262" i="14"/>
  <c r="F262" i="14"/>
  <c r="D208" i="14"/>
  <c r="E207" i="14"/>
  <c r="E222" i="15"/>
  <c r="C282" i="14"/>
  <c r="C194" i="14"/>
  <c r="C195" i="14"/>
  <c r="D211" i="15"/>
  <c r="D234" i="15"/>
  <c r="E234" i="15"/>
  <c r="E210" i="15"/>
  <c r="E241" i="15"/>
  <c r="E278" i="14"/>
  <c r="F278" i="14"/>
  <c r="C41" i="9"/>
  <c r="C48" i="9"/>
  <c r="D101" i="5"/>
  <c r="E112" i="5"/>
  <c r="E111" i="5"/>
  <c r="D286" i="14"/>
  <c r="C266" i="14"/>
  <c r="E109" i="19"/>
  <c r="D50" i="14"/>
  <c r="E50" i="14"/>
  <c r="F49" i="14"/>
  <c r="D63" i="14"/>
  <c r="F267" i="14"/>
  <c r="C271" i="14"/>
  <c r="C268" i="14"/>
  <c r="E214" i="14"/>
  <c r="E37" i="14"/>
  <c r="F37" i="14"/>
  <c r="E19" i="9"/>
  <c r="D33" i="9"/>
  <c r="D41" i="9"/>
  <c r="F41" i="1"/>
  <c r="E41" i="1"/>
  <c r="C181" i="15"/>
  <c r="C169" i="15"/>
  <c r="E169" i="15"/>
  <c r="D263" i="14"/>
  <c r="E263" i="14"/>
  <c r="F263" i="14"/>
  <c r="F20" i="17"/>
  <c r="E22" i="10"/>
  <c r="E33" i="9"/>
  <c r="C41" i="2"/>
  <c r="C48" i="2"/>
  <c r="E48" i="19"/>
  <c r="E113" i="19"/>
  <c r="D48" i="2"/>
  <c r="E173" i="14"/>
  <c r="F173" i="14"/>
  <c r="D210" i="14"/>
  <c r="D211" i="14"/>
  <c r="D209" i="14"/>
  <c r="C175" i="14"/>
  <c r="E32" i="14"/>
  <c r="F32" i="14"/>
  <c r="D113" i="19"/>
  <c r="D48" i="19"/>
  <c r="D183" i="14"/>
  <c r="E162" i="14"/>
  <c r="E33" i="2"/>
  <c r="D70" i="14"/>
  <c r="C265" i="14"/>
  <c r="E101" i="5"/>
  <c r="E22" i="5"/>
  <c r="E211" i="15"/>
  <c r="D235" i="15"/>
  <c r="D181" i="15"/>
  <c r="E37" i="19"/>
  <c r="E55" i="19"/>
  <c r="C210" i="14"/>
  <c r="C176" i="14"/>
  <c r="E175" i="14"/>
  <c r="F175" i="14"/>
  <c r="E210" i="14"/>
  <c r="E176" i="14"/>
  <c r="F176" i="14"/>
  <c r="F210" i="14"/>
  <c r="E235" i="15"/>
  <c r="F162" i="14"/>
  <c r="C323" i="14"/>
  <c r="F208" i="14"/>
  <c r="E285" i="14"/>
  <c r="F270" i="14"/>
  <c r="C101" i="15"/>
  <c r="C100" i="15"/>
  <c r="C89" i="15"/>
  <c r="C98" i="15"/>
  <c r="C87" i="15"/>
  <c r="C99" i="15"/>
  <c r="C88" i="15"/>
  <c r="C95" i="15"/>
  <c r="C84" i="15"/>
  <c r="C97" i="15"/>
  <c r="C86" i="15"/>
  <c r="C96" i="15"/>
  <c r="C102" i="15"/>
  <c r="C85" i="15"/>
  <c r="C258" i="15"/>
  <c r="C83" i="15"/>
  <c r="F214" i="14"/>
  <c r="E95" i="3"/>
  <c r="D98" i="5"/>
  <c r="F19" i="9"/>
  <c r="E69" i="10"/>
  <c r="F84" i="12"/>
  <c r="C183" i="14"/>
  <c r="E48" i="2"/>
  <c r="F48" i="2"/>
  <c r="E208" i="14"/>
  <c r="E270" i="14"/>
  <c r="C196" i="14"/>
  <c r="E181" i="15"/>
  <c r="F50" i="14"/>
  <c r="F207" i="14"/>
  <c r="E41" i="9"/>
  <c r="F41" i="9"/>
  <c r="D48" i="9"/>
  <c r="E48" i="9"/>
  <c r="F48" i="9"/>
  <c r="C281" i="14"/>
  <c r="G36" i="11"/>
  <c r="G38" i="11"/>
  <c r="G40" i="11"/>
  <c r="E304" i="14"/>
  <c r="F304" i="14"/>
  <c r="D141" i="14"/>
  <c r="C124" i="15"/>
  <c r="C109" i="15"/>
  <c r="C123" i="15"/>
  <c r="C121" i="15"/>
  <c r="C122" i="15"/>
  <c r="C125" i="15"/>
  <c r="C126" i="15"/>
  <c r="C113" i="15"/>
  <c r="C127" i="15"/>
  <c r="C112" i="15"/>
  <c r="C110" i="15"/>
  <c r="C111" i="15"/>
  <c r="C114" i="15"/>
  <c r="C115" i="15"/>
  <c r="F284" i="14"/>
  <c r="D22" i="10"/>
  <c r="D70" i="10"/>
  <c r="D72" i="10"/>
  <c r="D69" i="10"/>
  <c r="F33" i="9"/>
  <c r="F33" i="2"/>
  <c r="E41" i="2"/>
  <c r="F41" i="2"/>
  <c r="C157" i="5"/>
  <c r="C156" i="5"/>
  <c r="C155" i="5"/>
  <c r="C154" i="5"/>
  <c r="C153" i="5"/>
  <c r="C152" i="5"/>
  <c r="C158" i="5"/>
  <c r="E152" i="5"/>
  <c r="E157" i="5"/>
  <c r="E154" i="5"/>
  <c r="E156" i="5"/>
  <c r="E155" i="5"/>
  <c r="E153" i="5"/>
  <c r="F107" i="7"/>
  <c r="E43" i="8"/>
  <c r="F43" i="8"/>
  <c r="F160" i="14"/>
  <c r="D254" i="15"/>
  <c r="E29" i="1"/>
  <c r="E46" i="2"/>
  <c r="E68" i="3"/>
  <c r="F68" i="3"/>
  <c r="E111" i="3"/>
  <c r="F111" i="3"/>
  <c r="E18" i="4"/>
  <c r="F18" i="4"/>
  <c r="E20" i="5"/>
  <c r="D53" i="5"/>
  <c r="D49" i="5"/>
  <c r="D43" i="5"/>
  <c r="D138" i="5"/>
  <c r="D140" i="5"/>
  <c r="D139" i="5"/>
  <c r="E149" i="5"/>
  <c r="E24" i="6"/>
  <c r="F24" i="6"/>
  <c r="E49" i="6"/>
  <c r="F49" i="6"/>
  <c r="F192" i="6"/>
  <c r="E192" i="6"/>
  <c r="E201" i="6"/>
  <c r="F201" i="6"/>
  <c r="E203" i="6"/>
  <c r="F203" i="6"/>
  <c r="E205" i="6"/>
  <c r="F205" i="6"/>
  <c r="E36" i="7"/>
  <c r="F36" i="7"/>
  <c r="D59" i="10"/>
  <c r="D61" i="10"/>
  <c r="D57" i="10"/>
  <c r="D48" i="10"/>
  <c r="D42" i="10"/>
  <c r="E31" i="11"/>
  <c r="E33" i="11"/>
  <c r="E36" i="11"/>
  <c r="E38" i="11"/>
  <c r="E40" i="11"/>
  <c r="E23" i="14"/>
  <c r="F23" i="14"/>
  <c r="E53" i="14"/>
  <c r="F53" i="14"/>
  <c r="C111" i="14"/>
  <c r="E155" i="14"/>
  <c r="F155" i="14"/>
  <c r="F165" i="14"/>
  <c r="E180" i="14"/>
  <c r="F180" i="14"/>
  <c r="C285" i="14"/>
  <c r="C215" i="14"/>
  <c r="E32" i="15"/>
  <c r="D33" i="15"/>
  <c r="D71" i="15"/>
  <c r="D65" i="15"/>
  <c r="D289" i="15"/>
  <c r="E289" i="15"/>
  <c r="D245" i="15"/>
  <c r="E245" i="15"/>
  <c r="F23" i="17"/>
  <c r="E25" i="17"/>
  <c r="F45" i="17"/>
  <c r="D111" i="14"/>
  <c r="E109" i="14"/>
  <c r="F109" i="14"/>
  <c r="E165" i="14"/>
  <c r="D181" i="14"/>
  <c r="E179" i="14"/>
  <c r="E223" i="14"/>
  <c r="F223" i="14"/>
  <c r="D239" i="14"/>
  <c r="E239" i="14"/>
  <c r="F239" i="14"/>
  <c r="E237" i="14"/>
  <c r="F237" i="14"/>
  <c r="E112" i="19"/>
  <c r="E287" i="14"/>
  <c r="F287" i="14"/>
  <c r="D38" i="19"/>
  <c r="E271" i="14"/>
  <c r="F271" i="14"/>
  <c r="E56" i="19"/>
  <c r="D268" i="14"/>
  <c r="E268" i="14"/>
  <c r="F268" i="14"/>
  <c r="E283" i="14"/>
  <c r="F283" i="14"/>
  <c r="C61" i="14"/>
  <c r="E108" i="19"/>
  <c r="E217" i="15"/>
  <c r="D246" i="15"/>
  <c r="E246" i="15"/>
  <c r="D272" i="14"/>
  <c r="D288" i="14"/>
  <c r="C138" i="14"/>
  <c r="D253" i="15"/>
  <c r="E253" i="15"/>
  <c r="E111" i="19"/>
  <c r="C223" i="15"/>
  <c r="C28" i="5"/>
  <c r="C99" i="5"/>
  <c r="C101" i="5"/>
  <c r="C98" i="5"/>
  <c r="D29" i="19"/>
  <c r="D39" i="19"/>
  <c r="D111" i="19"/>
  <c r="D36" i="19"/>
  <c r="D126" i="14"/>
  <c r="D125" i="14"/>
  <c r="E125" i="14"/>
  <c r="F125" i="14"/>
  <c r="C40" i="17"/>
  <c r="F159" i="14"/>
  <c r="E60" i="15"/>
  <c r="E220" i="15"/>
  <c r="E145" i="15"/>
  <c r="E204" i="14"/>
  <c r="F204" i="14"/>
  <c r="E158" i="14"/>
  <c r="F158" i="14"/>
  <c r="C192" i="14"/>
  <c r="F58" i="14"/>
  <c r="C103" i="14"/>
  <c r="G31" i="11"/>
  <c r="I31" i="11"/>
  <c r="C25" i="10"/>
  <c r="C27" i="10"/>
  <c r="F61" i="8"/>
  <c r="C25" i="5"/>
  <c r="C27" i="5"/>
  <c r="C77" i="5"/>
  <c r="C71" i="5"/>
  <c r="F41" i="3"/>
  <c r="E19" i="2"/>
  <c r="F19" i="2"/>
  <c r="C65" i="1"/>
  <c r="F89" i="3"/>
  <c r="D157" i="5"/>
  <c r="D154" i="5"/>
  <c r="D158" i="5"/>
  <c r="D135" i="5"/>
  <c r="D137" i="5"/>
  <c r="E68" i="14"/>
  <c r="F68" i="14"/>
  <c r="E61" i="1"/>
  <c r="F61" i="1"/>
  <c r="D65" i="1"/>
  <c r="E39" i="2"/>
  <c r="E25" i="3"/>
  <c r="F25" i="3"/>
  <c r="C95" i="3"/>
  <c r="F137" i="3"/>
  <c r="E137" i="3"/>
  <c r="F30" i="4"/>
  <c r="E30" i="4"/>
  <c r="F35" i="4"/>
  <c r="E35" i="4"/>
  <c r="C95" i="4"/>
  <c r="D27" i="5"/>
  <c r="C43" i="5"/>
  <c r="C57" i="5"/>
  <c r="C62" i="5"/>
  <c r="C53" i="5"/>
  <c r="E88" i="5"/>
  <c r="E90" i="5"/>
  <c r="E86" i="5"/>
  <c r="E77" i="5"/>
  <c r="E71" i="5"/>
  <c r="D79" i="5"/>
  <c r="C109" i="5"/>
  <c r="C106" i="5"/>
  <c r="C149" i="5"/>
  <c r="F23" i="6"/>
  <c r="E23" i="6"/>
  <c r="F50" i="6"/>
  <c r="E50" i="6"/>
  <c r="F115" i="6"/>
  <c r="E127" i="6"/>
  <c r="F127" i="6"/>
  <c r="E140" i="6"/>
  <c r="F140" i="6"/>
  <c r="E193" i="6"/>
  <c r="F193" i="6"/>
  <c r="E198" i="6"/>
  <c r="F198" i="6"/>
  <c r="D207" i="6"/>
  <c r="E207" i="6"/>
  <c r="F207" i="6"/>
  <c r="F199" i="6"/>
  <c r="C208" i="6"/>
  <c r="E200" i="6"/>
  <c r="F200" i="6"/>
  <c r="E202" i="6"/>
  <c r="F202" i="6"/>
  <c r="E204" i="6"/>
  <c r="F204" i="6"/>
  <c r="E206" i="6"/>
  <c r="F35" i="7"/>
  <c r="E35" i="7"/>
  <c r="E59" i="7"/>
  <c r="F59" i="7"/>
  <c r="E107" i="7"/>
  <c r="D121" i="7"/>
  <c r="E121" i="7"/>
  <c r="F121" i="7"/>
  <c r="F113" i="7"/>
  <c r="F114" i="7"/>
  <c r="F116" i="7"/>
  <c r="F118" i="7"/>
  <c r="E41" i="8"/>
  <c r="F41" i="8"/>
  <c r="D65" i="8"/>
  <c r="E61" i="8"/>
  <c r="C42" i="10"/>
  <c r="E95" i="14"/>
  <c r="F95" i="14"/>
  <c r="F179" i="14"/>
  <c r="C181" i="14"/>
  <c r="F261" i="14"/>
  <c r="F297" i="14"/>
  <c r="E297" i="14"/>
  <c r="E157" i="15"/>
  <c r="E45" i="12"/>
  <c r="E65" i="12"/>
  <c r="F65" i="12"/>
  <c r="E84" i="12"/>
  <c r="E92" i="12"/>
  <c r="F92" i="12"/>
  <c r="E13" i="13"/>
  <c r="F13" i="13"/>
  <c r="E21" i="13"/>
  <c r="F21" i="13"/>
  <c r="C126" i="14"/>
  <c r="F120" i="14"/>
  <c r="F123" i="14"/>
  <c r="D43" i="15"/>
  <c r="D189" i="15"/>
  <c r="E189" i="15"/>
  <c r="D261" i="15"/>
  <c r="E261" i="15"/>
  <c r="C235" i="15"/>
  <c r="E265" i="15"/>
  <c r="D302" i="15"/>
  <c r="D77" i="14"/>
  <c r="E77" i="14"/>
  <c r="E76" i="14"/>
  <c r="F76" i="14"/>
  <c r="D89" i="14"/>
  <c r="E88" i="14"/>
  <c r="F88" i="14"/>
  <c r="E20" i="14"/>
  <c r="F20" i="14"/>
  <c r="F188" i="14"/>
  <c r="E164" i="15"/>
  <c r="D260" i="15"/>
  <c r="E195" i="15"/>
  <c r="C229" i="15"/>
  <c r="E229" i="15"/>
  <c r="C252" i="15"/>
  <c r="E231" i="15"/>
  <c r="E277" i="15"/>
  <c r="C38" i="16"/>
  <c r="C127" i="16"/>
  <c r="C129" i="16"/>
  <c r="C133" i="16"/>
  <c r="C39" i="17"/>
  <c r="F25" i="17"/>
  <c r="E44" i="17"/>
  <c r="F44" i="17"/>
  <c r="E45" i="17"/>
  <c r="C23" i="19"/>
  <c r="C22" i="19"/>
  <c r="C34" i="19"/>
  <c r="E88" i="19"/>
  <c r="D192" i="14"/>
  <c r="E192" i="14"/>
  <c r="D193" i="14"/>
  <c r="C111" i="19"/>
  <c r="C30" i="19"/>
  <c r="C40" i="19"/>
  <c r="C46" i="19"/>
  <c r="C54" i="19"/>
  <c r="C36" i="19"/>
  <c r="C41" i="17"/>
  <c r="C254" i="15"/>
  <c r="E252" i="15"/>
  <c r="E89" i="14"/>
  <c r="F89" i="14"/>
  <c r="D90" i="14"/>
  <c r="E90" i="14"/>
  <c r="F90" i="14"/>
  <c r="D91" i="14"/>
  <c r="D259" i="15"/>
  <c r="D44" i="15"/>
  <c r="E43" i="15"/>
  <c r="E65" i="8"/>
  <c r="F65" i="8"/>
  <c r="D75" i="8"/>
  <c r="E75" i="8"/>
  <c r="F75" i="8"/>
  <c r="F208" i="6"/>
  <c r="E39" i="17"/>
  <c r="C140" i="14"/>
  <c r="E272" i="14"/>
  <c r="F272" i="14"/>
  <c r="D273" i="14"/>
  <c r="E273" i="14"/>
  <c r="F273" i="14"/>
  <c r="C209" i="14"/>
  <c r="F61" i="14"/>
  <c r="C104" i="14"/>
  <c r="C62" i="14"/>
  <c r="C139" i="14"/>
  <c r="C174" i="14"/>
  <c r="E61" i="14"/>
  <c r="E181" i="14"/>
  <c r="F181" i="14"/>
  <c r="D76" i="15"/>
  <c r="E71" i="15"/>
  <c r="E215" i="14"/>
  <c r="C216" i="14"/>
  <c r="F215" i="14"/>
  <c r="E208" i="6"/>
  <c r="E135" i="5"/>
  <c r="E140" i="5"/>
  <c r="E136" i="5"/>
  <c r="E139" i="5"/>
  <c r="E138" i="5"/>
  <c r="E137" i="5"/>
  <c r="E254" i="15"/>
  <c r="C117" i="15"/>
  <c r="D322" i="14"/>
  <c r="C264" i="15"/>
  <c r="C266" i="15"/>
  <c r="C267" i="15"/>
  <c r="C103" i="15"/>
  <c r="C45" i="19"/>
  <c r="C110" i="19"/>
  <c r="C29" i="19"/>
  <c r="C35" i="19"/>
  <c r="C53" i="19"/>
  <c r="C39" i="19"/>
  <c r="E260" i="15"/>
  <c r="E302" i="15"/>
  <c r="D303" i="15"/>
  <c r="C127" i="14"/>
  <c r="F126" i="14"/>
  <c r="C137" i="5"/>
  <c r="C140" i="5"/>
  <c r="C138" i="5"/>
  <c r="C135" i="5"/>
  <c r="C136" i="5"/>
  <c r="C139" i="5"/>
  <c r="D21" i="5"/>
  <c r="D20" i="5"/>
  <c r="D22" i="5"/>
  <c r="F95" i="3"/>
  <c r="D75" i="1"/>
  <c r="E65" i="1"/>
  <c r="F65" i="1"/>
  <c r="D141" i="5"/>
  <c r="C75" i="1"/>
  <c r="C21" i="5"/>
  <c r="C22" i="5"/>
  <c r="C20" i="5"/>
  <c r="C22" i="10"/>
  <c r="C20" i="10"/>
  <c r="C21" i="10"/>
  <c r="C105" i="14"/>
  <c r="E103" i="14"/>
  <c r="F103" i="14"/>
  <c r="F192" i="14"/>
  <c r="E40" i="17"/>
  <c r="F40" i="17"/>
  <c r="E46" i="17"/>
  <c r="F46" i="17"/>
  <c r="E126" i="14"/>
  <c r="D127" i="14"/>
  <c r="D37" i="19"/>
  <c r="D55" i="19"/>
  <c r="D47" i="19"/>
  <c r="D112" i="19"/>
  <c r="C247" i="15"/>
  <c r="E223" i="15"/>
  <c r="D289" i="14"/>
  <c r="E138" i="14"/>
  <c r="F138" i="14"/>
  <c r="E111" i="14"/>
  <c r="F111" i="14"/>
  <c r="D66" i="15"/>
  <c r="E65" i="15"/>
  <c r="D295" i="15"/>
  <c r="E295" i="15"/>
  <c r="E33" i="15"/>
  <c r="D294" i="15"/>
  <c r="E294" i="15"/>
  <c r="F285" i="14"/>
  <c r="C286" i="14"/>
  <c r="C288" i="14"/>
  <c r="E158" i="5"/>
  <c r="E95" i="4"/>
  <c r="F95" i="4"/>
  <c r="C116" i="15"/>
  <c r="C128" i="15"/>
  <c r="C129" i="15"/>
  <c r="D291" i="14"/>
  <c r="F183" i="14"/>
  <c r="E183" i="14"/>
  <c r="C91" i="15"/>
  <c r="C105" i="15"/>
  <c r="C90" i="15"/>
  <c r="E323" i="14"/>
  <c r="F323" i="14"/>
  <c r="C269" i="15"/>
  <c r="C268" i="15"/>
  <c r="C271" i="15"/>
  <c r="C291" i="14"/>
  <c r="C289" i="14"/>
  <c r="E289" i="14"/>
  <c r="D148" i="14"/>
  <c r="E127" i="14"/>
  <c r="F127" i="14"/>
  <c r="C141" i="5"/>
  <c r="D306" i="15"/>
  <c r="E303" i="15"/>
  <c r="C131" i="15"/>
  <c r="E141" i="5"/>
  <c r="E216" i="14"/>
  <c r="F216" i="14"/>
  <c r="E174" i="14"/>
  <c r="F174" i="14"/>
  <c r="E62" i="14"/>
  <c r="C63" i="14"/>
  <c r="F62" i="14"/>
  <c r="C141" i="14"/>
  <c r="E140" i="14"/>
  <c r="F140" i="14"/>
  <c r="E41" i="17"/>
  <c r="D263" i="15"/>
  <c r="E263" i="15"/>
  <c r="E259" i="15"/>
  <c r="F41" i="17"/>
  <c r="C48" i="19"/>
  <c r="C113" i="19"/>
  <c r="C38" i="19"/>
  <c r="C56" i="19"/>
  <c r="D282" i="14"/>
  <c r="E193" i="14"/>
  <c r="F193" i="14"/>
  <c r="D194" i="14"/>
  <c r="D266" i="14"/>
  <c r="D305" i="14"/>
  <c r="E291" i="14"/>
  <c r="E286" i="14"/>
  <c r="F286" i="14"/>
  <c r="E66" i="15"/>
  <c r="D247" i="15"/>
  <c r="E247" i="15"/>
  <c r="E288" i="14"/>
  <c r="F288" i="14"/>
  <c r="C106" i="14"/>
  <c r="E105" i="14"/>
  <c r="F105" i="14"/>
  <c r="E75" i="1"/>
  <c r="F75" i="1"/>
  <c r="C197" i="14"/>
  <c r="C148" i="14"/>
  <c r="C55" i="19"/>
  <c r="C37" i="19"/>
  <c r="C112" i="19"/>
  <c r="C47" i="19"/>
  <c r="D77" i="15"/>
  <c r="E76" i="15"/>
  <c r="F139" i="14"/>
  <c r="E139" i="14"/>
  <c r="F104" i="14"/>
  <c r="E104" i="14"/>
  <c r="F209" i="14"/>
  <c r="E209" i="14"/>
  <c r="D99" i="15"/>
  <c r="E99" i="15"/>
  <c r="D100" i="15"/>
  <c r="E100" i="15"/>
  <c r="D258" i="15"/>
  <c r="D87" i="15"/>
  <c r="E87" i="15"/>
  <c r="D101" i="15"/>
  <c r="E101" i="15"/>
  <c r="D86" i="15"/>
  <c r="E86" i="15"/>
  <c r="D96" i="15"/>
  <c r="D84" i="15"/>
  <c r="D89" i="15"/>
  <c r="E89" i="15"/>
  <c r="D88" i="15"/>
  <c r="E88" i="15"/>
  <c r="D98" i="15"/>
  <c r="E98" i="15"/>
  <c r="D83" i="15"/>
  <c r="D97" i="15"/>
  <c r="E97" i="15"/>
  <c r="D85" i="15"/>
  <c r="E85" i="15"/>
  <c r="D95" i="15"/>
  <c r="E44" i="15"/>
  <c r="D92" i="14"/>
  <c r="E91" i="14"/>
  <c r="F91" i="14"/>
  <c r="F39" i="17"/>
  <c r="D324" i="14"/>
  <c r="E92" i="14"/>
  <c r="F92" i="14"/>
  <c r="D113" i="14"/>
  <c r="E95" i="15"/>
  <c r="D102" i="15"/>
  <c r="E102" i="15"/>
  <c r="E96" i="15"/>
  <c r="E258" i="15"/>
  <c r="D264" i="15"/>
  <c r="D125" i="15"/>
  <c r="E125" i="15"/>
  <c r="D121" i="15"/>
  <c r="D124" i="15"/>
  <c r="E124" i="15"/>
  <c r="D113" i="15"/>
  <c r="E113" i="15"/>
  <c r="D109" i="15"/>
  <c r="D122" i="15"/>
  <c r="D110" i="15"/>
  <c r="D115" i="15"/>
  <c r="E115" i="15"/>
  <c r="E77" i="15"/>
  <c r="D123" i="15"/>
  <c r="E123" i="15"/>
  <c r="D114" i="15"/>
  <c r="E114" i="15"/>
  <c r="D126" i="15"/>
  <c r="E126" i="15"/>
  <c r="D127" i="15"/>
  <c r="E127" i="15"/>
  <c r="D111" i="15"/>
  <c r="E111" i="15"/>
  <c r="D112" i="15"/>
  <c r="E112" i="15"/>
  <c r="F148" i="14"/>
  <c r="C324" i="14"/>
  <c r="C113" i="14"/>
  <c r="E106" i="14"/>
  <c r="F106" i="14"/>
  <c r="E266" i="14"/>
  <c r="F266" i="14"/>
  <c r="D265" i="14"/>
  <c r="E265" i="14"/>
  <c r="F265" i="14"/>
  <c r="C211" i="14"/>
  <c r="C322" i="14"/>
  <c r="F141" i="14"/>
  <c r="E141" i="14"/>
  <c r="F63" i="14"/>
  <c r="E63" i="14"/>
  <c r="C70" i="14"/>
  <c r="F289" i="14"/>
  <c r="D91" i="15"/>
  <c r="E83" i="15"/>
  <c r="E84" i="15"/>
  <c r="D90" i="15"/>
  <c r="E90" i="15"/>
  <c r="E305" i="14"/>
  <c r="D309" i="14"/>
  <c r="D196" i="14"/>
  <c r="D195" i="14"/>
  <c r="E195" i="14"/>
  <c r="F195" i="14"/>
  <c r="E194" i="14"/>
  <c r="F194" i="14"/>
  <c r="E282" i="14"/>
  <c r="F282" i="14"/>
  <c r="D281" i="14"/>
  <c r="E281" i="14"/>
  <c r="F281" i="14"/>
  <c r="D310" i="15"/>
  <c r="E310" i="15"/>
  <c r="E306" i="15"/>
  <c r="E148" i="14"/>
  <c r="F291" i="14"/>
  <c r="C305" i="14"/>
  <c r="E196" i="14"/>
  <c r="F196" i="14"/>
  <c r="D197" i="14"/>
  <c r="E197" i="14"/>
  <c r="F197" i="14"/>
  <c r="E91" i="15"/>
  <c r="E70" i="14"/>
  <c r="F70" i="14"/>
  <c r="E211" i="14"/>
  <c r="F211" i="14"/>
  <c r="C325" i="14"/>
  <c r="E122" i="15"/>
  <c r="D128" i="15"/>
  <c r="E128" i="15"/>
  <c r="E121" i="15"/>
  <c r="D129" i="15"/>
  <c r="E129" i="15"/>
  <c r="D266" i="15"/>
  <c r="E264" i="15"/>
  <c r="D103" i="15"/>
  <c r="E103" i="15"/>
  <c r="C309" i="14"/>
  <c r="F305" i="14"/>
  <c r="E309" i="14"/>
  <c r="D310" i="14"/>
  <c r="E322" i="14"/>
  <c r="F322" i="14"/>
  <c r="D116" i="15"/>
  <c r="E116" i="15"/>
  <c r="E110" i="15"/>
  <c r="D117" i="15"/>
  <c r="E109" i="15"/>
  <c r="E113" i="14"/>
  <c r="F113" i="14"/>
  <c r="D325" i="14"/>
  <c r="E325" i="14"/>
  <c r="E324" i="14"/>
  <c r="F324" i="14"/>
  <c r="D312" i="14"/>
  <c r="E310" i="14"/>
  <c r="E266" i="15"/>
  <c r="D267" i="15"/>
  <c r="F325" i="14"/>
  <c r="D131" i="15"/>
  <c r="E131" i="15"/>
  <c r="E117" i="15"/>
  <c r="F309" i="14"/>
  <c r="C310" i="14"/>
  <c r="D105" i="15"/>
  <c r="E105" i="15"/>
  <c r="E267" i="15"/>
  <c r="D269" i="15"/>
  <c r="E269" i="15"/>
  <c r="D268" i="15"/>
  <c r="F310" i="14"/>
  <c r="C312" i="14"/>
  <c r="D313" i="14"/>
  <c r="E312" i="14"/>
  <c r="D315" i="14"/>
  <c r="E313" i="14"/>
  <c r="D256" i="14"/>
  <c r="D314" i="14"/>
  <c r="D251" i="14"/>
  <c r="F312" i="14"/>
  <c r="C313" i="14"/>
  <c r="E268" i="15"/>
  <c r="D271" i="15"/>
  <c r="E271" i="15"/>
  <c r="D318" i="14"/>
  <c r="C256" i="14"/>
  <c r="C314" i="14"/>
  <c r="F313" i="14"/>
  <c r="C251" i="14"/>
  <c r="C315" i="14"/>
  <c r="E251" i="14"/>
  <c r="E256" i="14"/>
  <c r="D257" i="14"/>
  <c r="E315" i="14"/>
  <c r="F251" i="14"/>
  <c r="C318" i="14"/>
  <c r="E314" i="14"/>
  <c r="F314" i="14"/>
  <c r="F315" i="14"/>
  <c r="F256" i="14"/>
  <c r="C257" i="14"/>
  <c r="F318" i="14"/>
  <c r="E318" i="14"/>
  <c r="E257" i="14"/>
  <c r="F257" i="14"/>
</calcChain>
</file>

<file path=xl/sharedStrings.xml><?xml version="1.0" encoding="utf-8"?>
<sst xmlns="http://schemas.openxmlformats.org/spreadsheetml/2006/main" count="2320" uniqueCount="996">
  <si>
    <t>ESSENT-SHARON HOSPITAL</t>
  </si>
  <si>
    <t>TWELVE MONTHS ACTUAL FILING</t>
  </si>
  <si>
    <t xml:space="preserve">      FISCAL YEAR 2012</t>
  </si>
  <si>
    <t>REPORT 100 - HOSPITAL BALANCE SHEET INFORMATION</t>
  </si>
  <si>
    <t xml:space="preserve">      FY 2011</t>
  </si>
  <si>
    <t xml:space="preserve">      FY 2012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</si>
  <si>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</si>
  <si>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</si>
  <si>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</si>
  <si>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</si>
  <si>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</si>
  <si>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</si>
  <si>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</si>
  <si>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</si>
  <si>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</si>
  <si>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</si>
  <si>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</si>
  <si>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</si>
  <si>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</si>
  <si>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</si>
  <si>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</si>
  <si>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</si>
  <si>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</si>
  <si>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</si>
  <si>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</si>
  <si>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</si>
  <si>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</si>
  <si>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</si>
  <si>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</si>
  <si>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</si>
  <si>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</si>
  <si>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</si>
  <si>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</si>
  <si>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</si>
  <si>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</si>
  <si>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</si>
  <si>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</si>
  <si>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</si>
  <si>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</si>
  <si>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</si>
  <si>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</si>
  <si>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</si>
  <si>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</si>
  <si>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</si>
  <si>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</si>
  <si>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</si>
  <si>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</si>
  <si>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</si>
  <si>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</si>
  <si>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</si>
  <si>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</si>
  <si>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</si>
  <si>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</si>
  <si>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</si>
  <si>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</si>
  <si>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</si>
  <si>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</si>
  <si>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</si>
  <si>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</si>
  <si>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</si>
  <si>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</si>
  <si>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</si>
  <si>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</si>
  <si>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</si>
  <si>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</si>
  <si>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</si>
  <si>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</si>
  <si>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</si>
  <si>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</si>
  <si>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</si>
  <si>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</si>
  <si>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</si>
  <si>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</si>
  <si>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</si>
  <si>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</si>
  <si>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</si>
  <si>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</si>
  <si>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</si>
  <si>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</si>
  <si>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</si>
  <si>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</si>
  <si>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</si>
  <si>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</si>
  <si>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</si>
  <si>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</si>
  <si>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</si>
  <si>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</si>
  <si>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</si>
  <si>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</si>
  <si>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</si>
  <si>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</si>
  <si>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</si>
  <si>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</si>
  <si>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</si>
  <si>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</si>
  <si>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</si>
  <si>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</si>
  <si>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</si>
  <si>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</si>
  <si>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</si>
  <si>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</si>
  <si>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</si>
  <si>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</si>
  <si>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</si>
  <si>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</si>
  <si>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2011                ACTUAL     </t>
  </si>
  <si>
    <t xml:space="preserve">      FY 2012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</si>
  <si>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</si>
  <si>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</si>
  <si>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</si>
  <si>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</si>
  <si>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</si>
  <si>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</si>
  <si>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</si>
  <si>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</si>
  <si>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</si>
  <si>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</si>
  <si>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</si>
  <si>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</si>
  <si>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</si>
  <si>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</si>
  <si>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</si>
  <si>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</si>
  <si>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</si>
  <si>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</si>
  <si>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</si>
  <si>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</si>
  <si>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</si>
  <si>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</si>
  <si>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</si>
  <si>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</si>
  <si>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</si>
  <si>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</si>
  <si>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</si>
  <si>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</si>
  <si>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</si>
  <si>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</si>
  <si>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</si>
  <si>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</si>
  <si>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</si>
  <si>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</si>
  <si>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</si>
  <si>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</si>
  <si>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</si>
  <si>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</si>
  <si>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</si>
  <si>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</si>
  <si>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</si>
  <si>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</si>
  <si>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</si>
  <si>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</si>
  <si>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</si>
  <si>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</si>
  <si>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</si>
  <si>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</si>
  <si>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</si>
  <si>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</si>
  <si>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</si>
  <si>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</si>
  <si>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</si>
  <si>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</si>
  <si>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</si>
  <si>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</si>
  <si>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</si>
  <si>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</si>
  <si>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</si>
  <si>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</si>
  <si>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</si>
  <si>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</si>
  <si>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</si>
  <si>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</si>
  <si>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</si>
  <si>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</si>
  <si>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</si>
  <si>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</si>
  <si>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</si>
  <si>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</si>
  <si>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</si>
  <si>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</si>
  <si>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</si>
  <si>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</si>
  <si>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</si>
  <si>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</si>
  <si>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</si>
  <si>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</si>
  <si>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</si>
  <si>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</si>
  <si>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</si>
  <si>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</si>
  <si>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</si>
  <si>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</si>
  <si>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</si>
  <si>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</si>
  <si>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</si>
  <si>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</si>
  <si>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</si>
  <si>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</si>
  <si>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</si>
  <si>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</si>
  <si>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</si>
  <si>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</si>
  <si>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</si>
  <si>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</si>
  <si>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</si>
  <si>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</si>
  <si>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</si>
  <si>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</si>
  <si>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</si>
  <si>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</si>
  <si>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</si>
  <si>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</si>
  <si>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</si>
  <si>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</si>
  <si>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</si>
  <si>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</si>
  <si>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</si>
  <si>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</si>
  <si>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</si>
  <si>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</si>
  <si>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</si>
  <si>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</si>
  <si>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</si>
  <si>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</si>
  <si>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</si>
  <si>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</si>
  <si>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</si>
  <si>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</si>
  <si>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</si>
  <si>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</si>
  <si>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</si>
  <si>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</si>
  <si>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</si>
  <si>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</si>
  <si>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</si>
  <si>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</si>
  <si>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</si>
  <si>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</si>
  <si>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</si>
  <si>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</si>
  <si>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</si>
  <si>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</si>
  <si>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</si>
  <si>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</si>
  <si>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</si>
  <si>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</si>
  <si>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</si>
  <si>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</si>
  <si>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</si>
  <si>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</si>
  <si>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</si>
  <si>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</si>
  <si>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</si>
  <si>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</si>
  <si>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</si>
  <si>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</si>
  <si>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</si>
  <si>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</si>
  <si>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</si>
  <si>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</si>
  <si>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</si>
  <si>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</si>
  <si>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</si>
  <si>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</si>
  <si>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</si>
  <si>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</si>
  <si>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</si>
  <si>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</si>
  <si>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</si>
  <si>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</si>
  <si>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</si>
  <si>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</si>
  <si>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</si>
  <si>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</si>
  <si>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</si>
  <si>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</si>
  <si>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</si>
  <si>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</si>
  <si>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</si>
  <si>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</si>
  <si>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</si>
  <si>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</si>
  <si>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</si>
  <si>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</si>
  <si>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</si>
  <si>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</si>
  <si>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</si>
  <si>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</si>
  <si>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</si>
  <si>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</si>
  <si>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</si>
  <si>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</si>
  <si>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</si>
  <si>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</si>
  <si>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</si>
  <si>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</si>
  <si>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</si>
  <si>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</si>
  <si>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</si>
  <si>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</si>
  <si>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</si>
  <si>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</si>
  <si>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</si>
  <si>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</si>
  <si>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</si>
  <si>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</si>
  <si>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</si>
  <si>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</si>
  <si>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</si>
  <si>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</si>
  <si>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</si>
  <si>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</si>
  <si>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</si>
  <si>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</si>
  <si>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</si>
  <si>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</si>
  <si>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</si>
  <si>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</si>
  <si>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</si>
  <si>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</si>
  <si>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2010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</si>
  <si>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</si>
  <si>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</si>
  <si>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</si>
  <si>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</si>
  <si>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</si>
  <si>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</si>
  <si>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</si>
  <si>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</si>
  <si>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</si>
  <si>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</si>
  <si>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</si>
  <si>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</si>
  <si>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</si>
  <si>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</si>
  <si>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</si>
  <si>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</si>
  <si>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</si>
  <si>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</si>
  <si>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</si>
  <si>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</si>
  <si>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</si>
  <si>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</si>
  <si>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</si>
  <si>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</si>
  <si>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</si>
  <si>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</si>
  <si>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</si>
  <si>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</si>
  <si>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</si>
  <si>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</si>
  <si>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</si>
  <si>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</si>
  <si>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</si>
  <si>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</si>
  <si>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</si>
  <si>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</si>
  <si>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</si>
  <si>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</si>
  <si>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</si>
  <si>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</si>
  <si>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</si>
  <si>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</si>
  <si>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</si>
  <si>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</si>
  <si>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</si>
  <si>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</si>
  <si>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</si>
  <si>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</si>
  <si>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</si>
  <si>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</si>
  <si>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</si>
  <si>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</si>
  <si>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</si>
  <si>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</si>
  <si>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</si>
  <si>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</si>
  <si>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</si>
  <si>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</si>
  <si>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</si>
  <si>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</si>
  <si>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</si>
  <si>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</si>
  <si>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</si>
  <si>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</si>
  <si>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</si>
  <si>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</si>
  <si>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</si>
  <si>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</si>
  <si>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</si>
  <si>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</si>
  <si>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</si>
  <si>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</si>
  <si>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</si>
  <si>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</si>
  <si>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</si>
  <si>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</si>
  <si>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</si>
  <si>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</si>
  <si>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</si>
  <si>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</si>
  <si>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</si>
  <si>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</si>
  <si>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</si>
  <si>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</si>
  <si>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</si>
  <si>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</si>
  <si>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</si>
  <si>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</si>
  <si>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</si>
  <si>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</si>
  <si>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</si>
  <si>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</si>
  <si>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</si>
  <si>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</si>
  <si>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</si>
  <si>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</si>
  <si>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</si>
  <si>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</si>
  <si>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</si>
  <si>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</si>
  <si>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</si>
  <si>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</si>
  <si>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</si>
  <si>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</si>
  <si>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</si>
  <si>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</si>
  <si>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</si>
  <si>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</si>
  <si>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</si>
  <si>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</si>
  <si>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</si>
  <si>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</si>
  <si>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</si>
  <si>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</si>
  <si>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</si>
  <si>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</si>
  <si>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</si>
  <si>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</si>
  <si>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</si>
  <si>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</si>
  <si>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</si>
  <si>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</si>
  <si>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2011 ACTUAL     </t>
  </si>
  <si>
    <t xml:space="preserve">      FY 2012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</si>
  <si>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</si>
  <si>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</si>
  <si>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</si>
  <si>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</si>
  <si>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</si>
  <si>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</si>
  <si>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</si>
  <si>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</si>
  <si>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</si>
  <si>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</si>
  <si>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</si>
  <si>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</si>
  <si>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</si>
  <si>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</si>
  <si>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</si>
  <si>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</si>
  <si>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</si>
  <si>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</si>
  <si>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</si>
  <si>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</si>
  <si>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</si>
  <si>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</si>
  <si>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</si>
  <si>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</si>
  <si>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</si>
  <si>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</si>
  <si>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</si>
  <si>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</si>
  <si>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</si>
  <si>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</si>
  <si>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</si>
  <si>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</si>
  <si>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</si>
  <si>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</si>
  <si>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</si>
  <si>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</si>
  <si>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</si>
  <si>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</si>
  <si>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</si>
  <si>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</si>
  <si>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</si>
  <si>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</si>
  <si>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</si>
  <si>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</si>
  <si>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</si>
  <si>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</si>
  <si>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</si>
  <si>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SHARON HOSPITAL HOLDING CO,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</si>
  <si>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</si>
  <si>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</si>
  <si>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</si>
  <si>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</si>
  <si>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</si>
  <si>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</si>
  <si>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</si>
  <si>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</si>
  <si>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</si>
  <si>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</si>
  <si>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</si>
  <si>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</si>
  <si>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</si>
  <si>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</si>
  <si>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</si>
  <si>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</si>
  <si>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</si>
  <si>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</si>
  <si>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</si>
  <si>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</si>
  <si>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</si>
  <si>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</si>
  <si>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</si>
  <si>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</si>
  <si>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</si>
  <si>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</si>
  <si>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</si>
  <si>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</si>
  <si>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</si>
  <si>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</si>
  <si>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</si>
  <si>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</si>
  <si>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</si>
  <si>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</si>
  <si>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</si>
  <si>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</si>
  <si>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</si>
  <si>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</si>
  <si>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</si>
  <si>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</si>
  <si>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</si>
  <si>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</si>
  <si>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</si>
  <si>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</si>
  <si>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</si>
  <si>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</si>
  <si>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</si>
  <si>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</si>
  <si>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</si>
  <si>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</si>
  <si>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</si>
  <si>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</si>
  <si>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</si>
  <si>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</si>
  <si>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</si>
  <si>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</si>
  <si>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</si>
  <si>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</si>
  <si>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</si>
  <si>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</si>
  <si>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</si>
  <si>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</si>
  <si>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</si>
  <si>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</si>
  <si>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</si>
  <si>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</si>
  <si>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</si>
  <si>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</si>
  <si>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</si>
  <si>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</si>
  <si>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</si>
  <si>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</si>
  <si>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</si>
  <si>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</si>
  <si>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</si>
  <si>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</si>
  <si>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</si>
  <si>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</si>
  <si>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</si>
  <si>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</si>
  <si>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</si>
  <si>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</si>
  <si>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</si>
  <si>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</si>
  <si>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</si>
  <si>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</si>
  <si>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</si>
  <si>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</si>
  <si>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</si>
  <si>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</si>
  <si>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</si>
  <si>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</si>
  <si>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</si>
  <si>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</si>
  <si>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</si>
  <si>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</si>
  <si>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</si>
  <si>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</si>
  <si>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</si>
  <si>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</si>
  <si>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</si>
  <si>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</si>
  <si>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</si>
  <si>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</si>
  <si>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</si>
  <si>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</si>
  <si>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</si>
  <si>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</si>
  <si>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</si>
  <si>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Sharon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</si>
  <si>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</si>
  <si>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</si>
  <si>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</si>
  <si>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</si>
  <si>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</si>
  <si>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</si>
  <si>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</si>
  <si>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</si>
  <si>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2012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</si>
  <si>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</si>
  <si>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</si>
  <si>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</si>
  <si>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</si>
  <si>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2011</t>
  </si>
  <si>
    <t xml:space="preserve">         FY 2012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</si>
  <si>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</si>
  <si>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</si>
  <si>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</si>
  <si>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</si>
  <si>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</si>
  <si>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</si>
  <si>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</si>
  <si>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</si>
  <si>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</si>
  <si>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</si>
  <si>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</si>
  <si>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</si>
  <si>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</si>
  <si>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</si>
  <si>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</si>
  <si>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</si>
  <si>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</si>
  <si>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</si>
  <si>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</si>
  <si>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</si>
  <si>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</si>
  <si>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</si>
  <si>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</si>
  <si>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</si>
  <si>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</si>
  <si>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</si>
  <si>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</si>
  <si>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</si>
  <si>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</si>
  <si>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</si>
  <si>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</si>
  <si>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</si>
  <si>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</si>
  <si>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</si>
  <si>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</si>
  <si>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</si>
  <si>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</si>
  <si>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</si>
  <si>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</si>
  <si>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</si>
  <si>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</si>
  <si>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</si>
  <si>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</si>
  <si>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</si>
  <si>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</si>
  <si>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</si>
  <si>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</si>
  <si>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</si>
  <si>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</si>
  <si>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</si>
  <si>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</si>
  <si>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</si>
  <si>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</si>
  <si>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</si>
  <si>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</si>
  <si>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</si>
  <si>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</si>
  <si>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</si>
  <si>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</si>
  <si>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</si>
  <si>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</si>
  <si>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</si>
  <si>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</si>
  <si>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</si>
  <si>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</si>
  <si>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</si>
  <si>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</si>
  <si>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</si>
  <si>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</si>
  <si>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</si>
  <si>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</si>
  <si>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</si>
  <si>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</si>
  <si>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</si>
  <si>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</si>
  <si>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</si>
  <si>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</si>
  <si>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</si>
  <si>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</si>
  <si>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</si>
  <si>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</si>
  <si>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</si>
  <si>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</si>
  <si>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</si>
  <si>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</si>
  <si>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</si>
  <si>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</si>
  <si>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</si>
  <si>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</si>
  <si>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</si>
  <si>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</si>
  <si>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</si>
  <si>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</si>
  <si>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</si>
  <si>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</si>
  <si>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</si>
  <si>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</si>
  <si>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</si>
  <si>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</si>
  <si>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</si>
  <si>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</si>
  <si>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</si>
  <si>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</si>
  <si>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</si>
  <si>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</si>
  <si>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</si>
  <si>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</si>
  <si>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</si>
  <si>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</si>
  <si>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</si>
  <si>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</si>
  <si>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</si>
  <si>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</si>
  <si>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</si>
  <si>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</si>
  <si>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</si>
  <si>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</si>
  <si>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</si>
  <si>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</si>
  <si>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</si>
  <si>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</si>
  <si>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</si>
  <si>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</si>
  <si>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</si>
  <si>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</si>
  <si>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</si>
  <si>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</si>
  <si>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</si>
  <si>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</si>
  <si>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</si>
  <si>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</si>
  <si>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</si>
  <si>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</si>
  <si>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</si>
  <si>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</si>
  <si>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</si>
  <si>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</si>
  <si>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</si>
  <si>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</si>
  <si>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</si>
  <si>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</si>
  <si>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</si>
  <si>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</si>
  <si>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2012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</si>
  <si>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</si>
  <si>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</si>
  <si>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</si>
  <si>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</si>
  <si>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</si>
  <si>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</si>
  <si>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</si>
  <si>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</si>
  <si>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</si>
  <si>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</si>
  <si>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</si>
  <si>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</si>
  <si>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</si>
  <si>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</si>
  <si>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</si>
  <si>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</si>
  <si>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</si>
  <si>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</si>
  <si>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</si>
  <si>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</si>
  <si>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</si>
  <si>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</si>
  <si>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</si>
  <si>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</si>
  <si>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</si>
  <si>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</si>
  <si>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</si>
  <si>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</si>
  <si>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</si>
  <si>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</si>
  <si>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</si>
  <si>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</si>
  <si>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</si>
  <si>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</si>
  <si>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</si>
  <si>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</si>
  <si>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</si>
  <si>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</si>
  <si>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</si>
  <si>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</si>
  <si>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</si>
  <si>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</si>
  <si>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</si>
  <si>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</si>
  <si>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</si>
  <si>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</si>
  <si>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</si>
  <si>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</si>
  <si>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</si>
  <si>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</si>
  <si>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</si>
  <si>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</si>
  <si>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</si>
  <si>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</si>
  <si>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</si>
  <si>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</si>
  <si>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</si>
  <si>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</si>
  <si>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</si>
  <si>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</si>
  <si>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</si>
  <si>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</si>
  <si>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</si>
  <si>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</si>
  <si>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</si>
  <si>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</si>
  <si>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</si>
  <si>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</si>
  <si>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</si>
  <si>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</si>
  <si>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</si>
  <si>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</si>
  <si>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</si>
  <si>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</si>
  <si>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</si>
  <si>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</si>
  <si>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</si>
  <si>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</si>
  <si>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</si>
  <si>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</si>
  <si>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</si>
  <si>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</si>
  <si>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</si>
  <si>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</si>
  <si>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</si>
  <si>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</si>
  <si>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</si>
  <si>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</si>
  <si>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</si>
  <si>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</si>
  <si>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</si>
  <si>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</si>
  <si>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</si>
  <si>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</si>
  <si>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</si>
  <si>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</si>
  <si>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</si>
  <si>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</si>
  <si>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2012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</si>
  <si>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</si>
  <si>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</si>
  <si>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</si>
  <si>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</si>
  <si>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</si>
  <si>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</si>
  <si>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</si>
  <si>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</si>
  <si>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</si>
  <si>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</si>
  <si>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</si>
  <si>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</si>
  <si>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</si>
  <si>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</si>
  <si>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</si>
  <si>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</si>
  <si>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</si>
  <si>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</si>
  <si>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</si>
  <si>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</si>
  <si>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</si>
  <si>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</si>
  <si>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</si>
  <si>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</si>
  <si>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</si>
  <si>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</si>
  <si>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</si>
  <si>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</si>
  <si>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</si>
  <si>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</si>
  <si>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</si>
  <si>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</si>
  <si>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</si>
  <si>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</si>
  <si>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</si>
  <si>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</si>
  <si>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</si>
  <si>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</si>
  <si>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</si>
  <si>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</si>
  <si>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</si>
  <si>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</si>
  <si>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</si>
  <si>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</si>
  <si>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</si>
  <si>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</si>
  <si>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</si>
  <si>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</si>
  <si>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</si>
  <si>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</si>
  <si>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</si>
  <si>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</si>
  <si>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</si>
  <si>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</si>
  <si>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</si>
  <si>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</si>
  <si>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2011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</si>
  <si>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2012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</si>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</sst>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0</v>
      </c>
      <c r="D13" s="23">
        <v>0</v>
      </c>
      <c r="E13" s="23">
        <f t="shared" ref="E13:E22" si="0">D13-C13</f>
        <v>0</v>
      </c>
      <c r="F13" s="24">
        <f t="shared" ref="F13:F22" si="1">IF(C13=0,0,E13/C13)</f>
        <v>0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0" customHeight="1" x14ac:dyDescent="0.2">
      <c r="A15" s="21">
        <v>3</v>
      </c>
      <c r="B15" s="22" t="s">
        <v>18</v>
      </c>
      <c r="C15" s="23">
        <v>6874918</v>
      </c>
      <c r="D15" s="23">
        <v>6927031</v>
      </c>
      <c r="E15" s="23">
        <f t="shared" si="0"/>
        <v>52113</v>
      </c>
      <c r="F15" s="24">
        <f t="shared" si="1"/>
        <v>7.5801631379457911E-3</v>
      </c>
    </row>
    <row r="16" spans="1:8" ht="24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1160296</v>
      </c>
      <c r="D19" s="23">
        <v>1127084</v>
      </c>
      <c r="E19" s="23">
        <f t="shared" si="0"/>
        <v>-33212</v>
      </c>
      <c r="F19" s="24">
        <f t="shared" si="1"/>
        <v>-2.8623730496356102E-2</v>
      </c>
    </row>
    <row r="20" spans="1:11" ht="24" customHeight="1" x14ac:dyDescent="0.2">
      <c r="A20" s="21">
        <v>8</v>
      </c>
      <c r="B20" s="22" t="s">
        <v>23</v>
      </c>
      <c r="C20" s="23">
        <v>659267</v>
      </c>
      <c r="D20" s="23">
        <v>515802</v>
      </c>
      <c r="E20" s="23">
        <f t="shared" si="0"/>
        <v>-143465</v>
      </c>
      <c r="F20" s="24">
        <f t="shared" si="1"/>
        <v>-0.21761289432051051</v>
      </c>
    </row>
    <row r="21" spans="1:11" ht="24" customHeight="1" x14ac:dyDescent="0.2">
      <c r="A21" s="21">
        <v>9</v>
      </c>
      <c r="B21" s="22" t="s">
        <v>24</v>
      </c>
      <c r="C21" s="23">
        <v>899965</v>
      </c>
      <c r="D21" s="23">
        <v>730076</v>
      </c>
      <c r="E21" s="23">
        <f t="shared" si="0"/>
        <v>-169889</v>
      </c>
      <c r="F21" s="24">
        <f t="shared" si="1"/>
        <v>-0.18877289672376149</v>
      </c>
    </row>
    <row r="22" spans="1:11" ht="24" customHeight="1" x14ac:dyDescent="0.25">
      <c r="A22" s="25"/>
      <c r="B22" s="26" t="s">
        <v>25</v>
      </c>
      <c r="C22" s="27">
        <f>SUM(C13:C21)</f>
        <v>9594446</v>
      </c>
      <c r="D22" s="27">
        <f>SUM(D13:D21)</f>
        <v>9299993</v>
      </c>
      <c r="E22" s="27">
        <f t="shared" si="0"/>
        <v>-294453</v>
      </c>
      <c r="F22" s="28">
        <f t="shared" si="1"/>
        <v>-3.0689942910721475E-2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0</v>
      </c>
      <c r="D29" s="27">
        <f>SUM(D25:D28)</f>
        <v>0</v>
      </c>
      <c r="E29" s="27">
        <f>D29-C29</f>
        <v>0</v>
      </c>
      <c r="F29" s="28">
        <f>IF(C29=0,0,E29/C29)</f>
        <v>0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17228877</v>
      </c>
      <c r="D33" s="23">
        <v>1823091</v>
      </c>
      <c r="E33" s="23">
        <f>D33-C33</f>
        <v>-15405786</v>
      </c>
      <c r="F33" s="24">
        <f>IF(C33=0,0,E33/C33)</f>
        <v>-0.89418399121428516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58811377</v>
      </c>
      <c r="D36" s="23">
        <v>61544350</v>
      </c>
      <c r="E36" s="23">
        <f>D36-C36</f>
        <v>2732973</v>
      </c>
      <c r="F36" s="24">
        <f>IF(C36=0,0,E36/C36)</f>
        <v>4.6470141312963988E-2</v>
      </c>
    </row>
    <row r="37" spans="1:8" ht="24" customHeight="1" x14ac:dyDescent="0.2">
      <c r="A37" s="21">
        <v>2</v>
      </c>
      <c r="B37" s="22" t="s">
        <v>39</v>
      </c>
      <c r="C37" s="23">
        <v>22455088</v>
      </c>
      <c r="D37" s="23">
        <v>26040539</v>
      </c>
      <c r="E37" s="23">
        <f>D37-C37</f>
        <v>3585451</v>
      </c>
      <c r="F37" s="24">
        <f>IF(C37=0,0,E37/C37)</f>
        <v>0.15967209747741803</v>
      </c>
    </row>
    <row r="38" spans="1:8" ht="24" customHeight="1" x14ac:dyDescent="0.25">
      <c r="A38" s="25"/>
      <c r="B38" s="26" t="s">
        <v>40</v>
      </c>
      <c r="C38" s="27">
        <f>C36-C37</f>
        <v>36356289</v>
      </c>
      <c r="D38" s="27">
        <f>D36-D37</f>
        <v>35503811</v>
      </c>
      <c r="E38" s="27">
        <f>D38-C38</f>
        <v>-852478</v>
      </c>
      <c r="F38" s="28">
        <f>IF(C38=0,0,E38/C38)</f>
        <v>-2.3447882703319912E-2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1251635</v>
      </c>
      <c r="D40" s="23">
        <v>381260</v>
      </c>
      <c r="E40" s="23">
        <f>D40-C40</f>
        <v>-870375</v>
      </c>
      <c r="F40" s="24">
        <f>IF(C40=0,0,E40/C40)</f>
        <v>-0.69539042931845152</v>
      </c>
    </row>
    <row r="41" spans="1:8" ht="24" customHeight="1" x14ac:dyDescent="0.25">
      <c r="A41" s="25"/>
      <c r="B41" s="26" t="s">
        <v>42</v>
      </c>
      <c r="C41" s="27">
        <f>+C38+C40</f>
        <v>37607924</v>
      </c>
      <c r="D41" s="27">
        <f>+D38+D40</f>
        <v>35885071</v>
      </c>
      <c r="E41" s="27">
        <f>D41-C41</f>
        <v>-1722853</v>
      </c>
      <c r="F41" s="28">
        <f>IF(C41=0,0,E41/C41)</f>
        <v>-4.5810904106272921E-2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64431247</v>
      </c>
      <c r="D43" s="27">
        <f>D22+D29+D31+D32+D33+D41</f>
        <v>47008155</v>
      </c>
      <c r="E43" s="27">
        <f>D43-C43</f>
        <v>-17423092</v>
      </c>
      <c r="F43" s="28">
        <f>IF(C43=0,0,E43/C43)</f>
        <v>-0.27041370160040518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1490434</v>
      </c>
      <c r="D49" s="23">
        <v>1852707</v>
      </c>
      <c r="E49" s="23">
        <f t="shared" ref="E49:E56" si="2">D49-C49</f>
        <v>362273</v>
      </c>
      <c r="F49" s="24">
        <f t="shared" ref="F49:F56" si="3">IF(C49=0,0,E49/C49)</f>
        <v>0.24306544268313793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4391197</v>
      </c>
      <c r="D50" s="23">
        <v>3362358</v>
      </c>
      <c r="E50" s="23">
        <f t="shared" si="2"/>
        <v>-1028839</v>
      </c>
      <c r="F50" s="24">
        <f t="shared" si="3"/>
        <v>-0.23429579679527018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441349</v>
      </c>
      <c r="D51" s="23">
        <v>0</v>
      </c>
      <c r="E51" s="23">
        <f t="shared" si="2"/>
        <v>-441349</v>
      </c>
      <c r="F51" s="24">
        <f t="shared" si="3"/>
        <v>-1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0</v>
      </c>
      <c r="D53" s="23">
        <v>0</v>
      </c>
      <c r="E53" s="23">
        <f t="shared" si="2"/>
        <v>0</v>
      </c>
      <c r="F53" s="24">
        <f t="shared" si="3"/>
        <v>0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660667</v>
      </c>
      <c r="D54" s="23">
        <v>9120</v>
      </c>
      <c r="E54" s="23">
        <f t="shared" si="2"/>
        <v>-651547</v>
      </c>
      <c r="F54" s="24">
        <f t="shared" si="3"/>
        <v>-0.98619576882150917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6983647</v>
      </c>
      <c r="D56" s="27">
        <f>SUM(D49:D55)</f>
        <v>5224185</v>
      </c>
      <c r="E56" s="27">
        <f t="shared" si="2"/>
        <v>-1759462</v>
      </c>
      <c r="F56" s="28">
        <f t="shared" si="3"/>
        <v>-0.2519402827777521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33337500</v>
      </c>
      <c r="D60" s="23">
        <v>14898159</v>
      </c>
      <c r="E60" s="23">
        <f>D60-C60</f>
        <v>-18439341</v>
      </c>
      <c r="F60" s="24">
        <f>IF(C60=0,0,E60/C60)</f>
        <v>-0.55311109111361079</v>
      </c>
    </row>
    <row r="61" spans="1:6" ht="24" customHeight="1" x14ac:dyDescent="0.25">
      <c r="A61" s="25"/>
      <c r="B61" s="26" t="s">
        <v>58</v>
      </c>
      <c r="C61" s="27">
        <f>SUM(C59:C60)</f>
        <v>33337500</v>
      </c>
      <c r="D61" s="27">
        <f>SUM(D59:D60)</f>
        <v>14898159</v>
      </c>
      <c r="E61" s="27">
        <f>D61-C61</f>
        <v>-18439341</v>
      </c>
      <c r="F61" s="28">
        <f>IF(C61=0,0,E61/C61)</f>
        <v>-0.55311109111361079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1386000</v>
      </c>
      <c r="D63" s="23">
        <v>1403000</v>
      </c>
      <c r="E63" s="23">
        <f>D63-C63</f>
        <v>17000</v>
      </c>
      <c r="F63" s="24">
        <f>IF(C63=0,0,E63/C63)</f>
        <v>1.2265512265512266E-2</v>
      </c>
    </row>
    <row r="64" spans="1:6" ht="24" customHeight="1" x14ac:dyDescent="0.2">
      <c r="A64" s="21">
        <v>4</v>
      </c>
      <c r="B64" s="22" t="s">
        <v>60</v>
      </c>
      <c r="C64" s="23">
        <v>1091186</v>
      </c>
      <c r="D64" s="23">
        <v>354160</v>
      </c>
      <c r="E64" s="23">
        <f>D64-C64</f>
        <v>-737026</v>
      </c>
      <c r="F64" s="24">
        <f>IF(C64=0,0,E64/C64)</f>
        <v>-0.67543571856677043</v>
      </c>
    </row>
    <row r="65" spans="1:6" ht="24" customHeight="1" x14ac:dyDescent="0.25">
      <c r="A65" s="25"/>
      <c r="B65" s="26" t="s">
        <v>61</v>
      </c>
      <c r="C65" s="27">
        <f>SUM(C61:C64)</f>
        <v>35814686</v>
      </c>
      <c r="D65" s="27">
        <f>SUM(D61:D64)</f>
        <v>16655319</v>
      </c>
      <c r="E65" s="27">
        <f>D65-C65</f>
        <v>-19159367</v>
      </c>
      <c r="F65" s="28">
        <f>IF(C65=0,0,E65/C65)</f>
        <v>-0.53495839667559841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250000</v>
      </c>
      <c r="E67" s="23">
        <f>D67-C67</f>
        <v>250000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21632914</v>
      </c>
      <c r="D70" s="23">
        <v>24878651</v>
      </c>
      <c r="E70" s="23">
        <f>D70-C70</f>
        <v>3245737</v>
      </c>
      <c r="F70" s="24">
        <f>IF(C70=0,0,E70/C70)</f>
        <v>0.15003697606341893</v>
      </c>
    </row>
    <row r="71" spans="1:6" ht="24" customHeight="1" x14ac:dyDescent="0.2">
      <c r="A71" s="21">
        <v>2</v>
      </c>
      <c r="B71" s="22" t="s">
        <v>65</v>
      </c>
      <c r="C71" s="23">
        <v>0</v>
      </c>
      <c r="D71" s="23">
        <v>0</v>
      </c>
      <c r="E71" s="23">
        <f>D71-C71</f>
        <v>0</v>
      </c>
      <c r="F71" s="24">
        <f>IF(C71=0,0,E71/C71)</f>
        <v>0</v>
      </c>
    </row>
    <row r="72" spans="1:6" ht="24" customHeight="1" x14ac:dyDescent="0.2">
      <c r="A72" s="21">
        <v>3</v>
      </c>
      <c r="B72" s="22" t="s">
        <v>66</v>
      </c>
      <c r="C72" s="23">
        <v>0</v>
      </c>
      <c r="D72" s="23">
        <v>0</v>
      </c>
      <c r="E72" s="23">
        <f>D72-C72</f>
        <v>0</v>
      </c>
      <c r="F72" s="24">
        <f>IF(C72=0,0,E72/C72)</f>
        <v>0</v>
      </c>
    </row>
    <row r="73" spans="1:6" ht="24" customHeight="1" x14ac:dyDescent="0.25">
      <c r="A73" s="21"/>
      <c r="B73" s="26" t="s">
        <v>67</v>
      </c>
      <c r="C73" s="27">
        <f>SUM(C70:C72)</f>
        <v>21632914</v>
      </c>
      <c r="D73" s="27">
        <f>SUM(D70:D72)</f>
        <v>24878651</v>
      </c>
      <c r="E73" s="27">
        <f>D73-C73</f>
        <v>3245737</v>
      </c>
      <c r="F73" s="28">
        <f>IF(C73=0,0,E73/C73)</f>
        <v>0.15003697606341893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64431247</v>
      </c>
      <c r="D75" s="27">
        <f>D56+D65+D67+D73</f>
        <v>47008155</v>
      </c>
      <c r="E75" s="27">
        <f>D75-C75</f>
        <v>-17423092</v>
      </c>
      <c r="F75" s="28">
        <f>IF(C75=0,0,E75/C75)</f>
        <v>-0.27041370160040518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FILING&amp;RESSENT-SHARON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491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494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319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495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496</v>
      </c>
      <c r="C11" s="51">
        <v>54034467</v>
      </c>
      <c r="D11" s="51">
        <v>59340161</v>
      </c>
      <c r="E11" s="51">
        <v>59379084</v>
      </c>
      <c r="F11" s="28"/>
    </row>
    <row r="12" spans="1:6" ht="24" customHeight="1" x14ac:dyDescent="0.25">
      <c r="A12" s="44">
        <v>2</v>
      </c>
      <c r="B12" s="48" t="s">
        <v>76</v>
      </c>
      <c r="C12" s="49">
        <v>531371</v>
      </c>
      <c r="D12" s="49">
        <v>458274</v>
      </c>
      <c r="E12" s="49">
        <v>482704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54565838</v>
      </c>
      <c r="D13" s="51">
        <f>+D11+D12</f>
        <v>59798435</v>
      </c>
      <c r="E13" s="51">
        <f>+E11+E12</f>
        <v>59861788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52992832</v>
      </c>
      <c r="D14" s="49">
        <v>58301652</v>
      </c>
      <c r="E14" s="49">
        <v>59882389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1573006</v>
      </c>
      <c r="D15" s="51">
        <f>+D13-D14</f>
        <v>1496783</v>
      </c>
      <c r="E15" s="51">
        <f>+E13-E14</f>
        <v>-20601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0</v>
      </c>
      <c r="D16" s="49">
        <v>0</v>
      </c>
      <c r="E16" s="49">
        <v>0</v>
      </c>
      <c r="F16" s="70"/>
    </row>
    <row r="17" spans="1:14" s="56" customFormat="1" ht="24" customHeight="1" x14ac:dyDescent="0.2">
      <c r="A17" s="44">
        <v>7</v>
      </c>
      <c r="B17" s="45" t="s">
        <v>322</v>
      </c>
      <c r="C17" s="51">
        <f>C15+C16</f>
        <v>1573006</v>
      </c>
      <c r="D17" s="51">
        <f>D15+D16</f>
        <v>1496783</v>
      </c>
      <c r="E17" s="51">
        <f>E15+E16</f>
        <v>-20601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497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498</v>
      </c>
      <c r="C20" s="169">
        <f>IF(+C27=0,0,+C24/+C27)</f>
        <v>2.8827670528948902E-2</v>
      </c>
      <c r="D20" s="169">
        <f>IF(+D27=0,0,+D24/+D27)</f>
        <v>2.5030471115172162E-2</v>
      </c>
      <c r="E20" s="169">
        <f>IF(+E27=0,0,+E24/+E27)</f>
        <v>-3.4414274428288042E-4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499</v>
      </c>
      <c r="C21" s="169">
        <f>IF(+C27=0,0,+C26/+C27)</f>
        <v>0</v>
      </c>
      <c r="D21" s="169">
        <f>IF(+D27=0,0,+D26/+D27)</f>
        <v>0</v>
      </c>
      <c r="E21" s="169">
        <f>IF(+E27=0,0,+E26/+E27)</f>
        <v>0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500</v>
      </c>
      <c r="C22" s="169">
        <f>IF(+C27=0,0,+C28/+C27)</f>
        <v>2.8827670528948902E-2</v>
      </c>
      <c r="D22" s="169">
        <f>IF(+D27=0,0,+D28/+D27)</f>
        <v>2.5030471115172162E-2</v>
      </c>
      <c r="E22" s="169">
        <f>IF(+E27=0,0,+E28/+E27)</f>
        <v>-3.4414274428288042E-4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1573006</v>
      </c>
      <c r="D24" s="51">
        <f>+D15</f>
        <v>1496783</v>
      </c>
      <c r="E24" s="51">
        <f>+E15</f>
        <v>-20601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54565838</v>
      </c>
      <c r="D25" s="51">
        <f>+D13</f>
        <v>59798435</v>
      </c>
      <c r="E25" s="51">
        <f>+E13</f>
        <v>59861788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0</v>
      </c>
      <c r="D26" s="51">
        <f>+D16</f>
        <v>0</v>
      </c>
      <c r="E26" s="51">
        <f>+E16</f>
        <v>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327</v>
      </c>
      <c r="C27" s="51">
        <f>SUM(C25:C26)</f>
        <v>54565838</v>
      </c>
      <c r="D27" s="51">
        <f>SUM(D25:D26)</f>
        <v>59798435</v>
      </c>
      <c r="E27" s="51">
        <f>SUM(E25:E26)</f>
        <v>59861788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322</v>
      </c>
      <c r="C28" s="51">
        <f>+C17</f>
        <v>1573006</v>
      </c>
      <c r="D28" s="51">
        <f>+D17</f>
        <v>1496783</v>
      </c>
      <c r="E28" s="51">
        <f>+E17</f>
        <v>-20601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501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502</v>
      </c>
      <c r="C31" s="51">
        <v>14518956</v>
      </c>
      <c r="D31" s="51">
        <v>16034925</v>
      </c>
      <c r="E31" s="52">
        <v>15992819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503</v>
      </c>
      <c r="C32" s="51">
        <v>14518956</v>
      </c>
      <c r="D32" s="51">
        <v>16034925</v>
      </c>
      <c r="E32" s="51">
        <v>15992819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504</v>
      </c>
      <c r="C33" s="51">
        <v>1469907</v>
      </c>
      <c r="D33" s="51">
        <f>+D32-C32</f>
        <v>1515969</v>
      </c>
      <c r="E33" s="51">
        <f>+E32-D32</f>
        <v>-42106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505</v>
      </c>
      <c r="C34" s="171">
        <v>1.1126</v>
      </c>
      <c r="D34" s="171">
        <f>IF(C32=0,0,+D33/C32)</f>
        <v>0.10441308589956468</v>
      </c>
      <c r="E34" s="171">
        <f>IF(D32=0,0,+E33/D32)</f>
        <v>-2.6258931675701633E-3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333</v>
      </c>
      <c r="B36" s="16" t="s">
        <v>355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356</v>
      </c>
      <c r="C38" s="269">
        <f>IF(+C40=0,0,+C39/+C40)</f>
        <v>1.5585574127202277</v>
      </c>
      <c r="D38" s="269">
        <f>IF(+D40=0,0,+D39/+D40)</f>
        <v>1.3939115434608065</v>
      </c>
      <c r="E38" s="269">
        <f>IF(+E40=0,0,+E39/+E40)</f>
        <v>1.6679840372069239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9643867</v>
      </c>
      <c r="D39" s="270">
        <v>10031198</v>
      </c>
      <c r="E39" s="270">
        <v>9942204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6187688</v>
      </c>
      <c r="D40" s="270">
        <v>7196438</v>
      </c>
      <c r="E40" s="270">
        <v>5960611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357</v>
      </c>
      <c r="C42" s="271">
        <f>IF((C48/365)=0,0,+C45/(C48/365))</f>
        <v>0</v>
      </c>
      <c r="D42" s="271">
        <f>IF((D48/365)=0,0,+D45/(D48/365))</f>
        <v>0</v>
      </c>
      <c r="E42" s="271">
        <f>IF((E48/365)=0,0,+E45/(E48/365))</f>
        <v>0</v>
      </c>
    </row>
    <row r="43" spans="1:14" ht="24" customHeight="1" x14ac:dyDescent="0.2">
      <c r="A43" s="17">
        <v>5</v>
      </c>
      <c r="B43" s="188" t="s">
        <v>16</v>
      </c>
      <c r="C43" s="272">
        <v>0</v>
      </c>
      <c r="D43" s="272">
        <v>0</v>
      </c>
      <c r="E43" s="272">
        <v>0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358</v>
      </c>
      <c r="C45" s="270">
        <f>+C43+C44</f>
        <v>0</v>
      </c>
      <c r="D45" s="270">
        <f>+D43+D44</f>
        <v>0</v>
      </c>
      <c r="E45" s="270">
        <f>+E43+E44</f>
        <v>0</v>
      </c>
    </row>
    <row r="46" spans="1:14" ht="24" customHeight="1" x14ac:dyDescent="0.2">
      <c r="A46" s="17">
        <v>8</v>
      </c>
      <c r="B46" s="45" t="s">
        <v>336</v>
      </c>
      <c r="C46" s="270">
        <f>+C14</f>
        <v>52992832</v>
      </c>
      <c r="D46" s="270">
        <f>+D14</f>
        <v>58301652</v>
      </c>
      <c r="E46" s="270">
        <f>+E14</f>
        <v>59882389</v>
      </c>
    </row>
    <row r="47" spans="1:14" ht="24" customHeight="1" x14ac:dyDescent="0.2">
      <c r="A47" s="17">
        <v>9</v>
      </c>
      <c r="B47" s="45" t="s">
        <v>359</v>
      </c>
      <c r="C47" s="270">
        <v>3287347</v>
      </c>
      <c r="D47" s="270">
        <v>3230817</v>
      </c>
      <c r="E47" s="270">
        <v>3213579</v>
      </c>
    </row>
    <row r="48" spans="1:14" ht="24" customHeight="1" x14ac:dyDescent="0.2">
      <c r="A48" s="17">
        <v>10</v>
      </c>
      <c r="B48" s="45" t="s">
        <v>360</v>
      </c>
      <c r="C48" s="270">
        <f>+C46-C47</f>
        <v>49705485</v>
      </c>
      <c r="D48" s="270">
        <f>+D46-D47</f>
        <v>55070835</v>
      </c>
      <c r="E48" s="270">
        <f>+E46-E47</f>
        <v>56668810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361</v>
      </c>
      <c r="C50" s="278">
        <f>IF((C55/365)=0,0,+C54/(C55/365))</f>
        <v>39.988473190639603</v>
      </c>
      <c r="D50" s="278">
        <f>IF((D55/365)=0,0,+D54/(D55/365))</f>
        <v>42.259190449449576</v>
      </c>
      <c r="E50" s="278">
        <f>IF((E55/365)=0,0,+E54/(E55/365))</f>
        <v>46.149608000015633</v>
      </c>
    </row>
    <row r="51" spans="1:5" ht="24" customHeight="1" x14ac:dyDescent="0.2">
      <c r="A51" s="17">
        <v>12</v>
      </c>
      <c r="B51" s="188" t="s">
        <v>362</v>
      </c>
      <c r="C51" s="279">
        <v>6242425</v>
      </c>
      <c r="D51" s="279">
        <v>7311670</v>
      </c>
      <c r="E51" s="279">
        <v>7516850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322546</v>
      </c>
      <c r="D53" s="270">
        <v>441349</v>
      </c>
      <c r="E53" s="270">
        <v>9120</v>
      </c>
    </row>
    <row r="54" spans="1:5" ht="32.25" customHeight="1" x14ac:dyDescent="0.2">
      <c r="A54" s="17">
        <v>15</v>
      </c>
      <c r="B54" s="45" t="s">
        <v>363</v>
      </c>
      <c r="C54" s="280">
        <f>+C51+C52-C53</f>
        <v>5919879</v>
      </c>
      <c r="D54" s="280">
        <f>+D51+D52-D53</f>
        <v>6870321</v>
      </c>
      <c r="E54" s="280">
        <f>+E51+E52-E53</f>
        <v>7507730</v>
      </c>
    </row>
    <row r="55" spans="1:5" ht="24" customHeight="1" x14ac:dyDescent="0.2">
      <c r="A55" s="17">
        <v>16</v>
      </c>
      <c r="B55" s="45" t="s">
        <v>75</v>
      </c>
      <c r="C55" s="270">
        <f>+C11</f>
        <v>54034467</v>
      </c>
      <c r="D55" s="270">
        <f>+D11</f>
        <v>59340161</v>
      </c>
      <c r="E55" s="270">
        <f>+E11</f>
        <v>59379084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364</v>
      </c>
      <c r="C57" s="283">
        <f>IF((C61/365)=0,0,+C58/(C61/365))</f>
        <v>45.437764464022436</v>
      </c>
      <c r="D57" s="283">
        <f>IF((D61/365)=0,0,+D58/(D61/365))</f>
        <v>47.696750376129216</v>
      </c>
      <c r="E57" s="283">
        <f>IF((E61/365)=0,0,+E58/(E61/365))</f>
        <v>38.391895206551887</v>
      </c>
    </row>
    <row r="58" spans="1:5" ht="24" customHeight="1" x14ac:dyDescent="0.2">
      <c r="A58" s="17">
        <v>18</v>
      </c>
      <c r="B58" s="45" t="s">
        <v>54</v>
      </c>
      <c r="C58" s="281">
        <f>+C40</f>
        <v>6187688</v>
      </c>
      <c r="D58" s="281">
        <f>+D40</f>
        <v>7196438</v>
      </c>
      <c r="E58" s="281">
        <f>+E40</f>
        <v>5960611</v>
      </c>
    </row>
    <row r="59" spans="1:5" ht="24" customHeight="1" x14ac:dyDescent="0.2">
      <c r="A59" s="17">
        <v>19</v>
      </c>
      <c r="B59" s="45" t="s">
        <v>336</v>
      </c>
      <c r="C59" s="281">
        <f t="shared" ref="C59:E60" si="0">+C46</f>
        <v>52992832</v>
      </c>
      <c r="D59" s="281">
        <f t="shared" si="0"/>
        <v>58301652</v>
      </c>
      <c r="E59" s="281">
        <f t="shared" si="0"/>
        <v>59882389</v>
      </c>
    </row>
    <row r="60" spans="1:5" ht="24" customHeight="1" x14ac:dyDescent="0.2">
      <c r="A60" s="17">
        <v>20</v>
      </c>
      <c r="B60" s="45" t="s">
        <v>359</v>
      </c>
      <c r="C60" s="176">
        <f t="shared" si="0"/>
        <v>3287347</v>
      </c>
      <c r="D60" s="176">
        <f t="shared" si="0"/>
        <v>3230817</v>
      </c>
      <c r="E60" s="176">
        <f t="shared" si="0"/>
        <v>3213579</v>
      </c>
    </row>
    <row r="61" spans="1:5" ht="24" customHeight="1" x14ac:dyDescent="0.2">
      <c r="A61" s="17">
        <v>21</v>
      </c>
      <c r="B61" s="45" t="s">
        <v>365</v>
      </c>
      <c r="C61" s="281">
        <f>+C59-C60</f>
        <v>49705485</v>
      </c>
      <c r="D61" s="281">
        <f>+D59-D60</f>
        <v>55070835</v>
      </c>
      <c r="E61" s="281">
        <f>+E59-E60</f>
        <v>56668810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354</v>
      </c>
      <c r="B63" s="16" t="s">
        <v>367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368</v>
      </c>
      <c r="C65" s="284">
        <f>IF(C67=0,0,(C66/C67)*100)</f>
        <v>25.338415644923096</v>
      </c>
      <c r="D65" s="284">
        <f>IF(D67=0,0,(D66/D67)*100)</f>
        <v>27.156643452976848</v>
      </c>
      <c r="E65" s="284">
        <f>IF(E67=0,0,(E66/E67)*100)</f>
        <v>33.209490758165288</v>
      </c>
    </row>
    <row r="66" spans="1:5" ht="24" customHeight="1" x14ac:dyDescent="0.2">
      <c r="A66" s="17">
        <v>2</v>
      </c>
      <c r="B66" s="45" t="s">
        <v>67</v>
      </c>
      <c r="C66" s="281">
        <f>+C32</f>
        <v>14518956</v>
      </c>
      <c r="D66" s="281">
        <f>+D32</f>
        <v>16034925</v>
      </c>
      <c r="E66" s="281">
        <f>+E32</f>
        <v>15992819</v>
      </c>
    </row>
    <row r="67" spans="1:5" ht="24" customHeight="1" x14ac:dyDescent="0.2">
      <c r="A67" s="17">
        <v>3</v>
      </c>
      <c r="B67" s="45" t="s">
        <v>43</v>
      </c>
      <c r="C67" s="281">
        <v>57300173</v>
      </c>
      <c r="D67" s="281">
        <v>59046049</v>
      </c>
      <c r="E67" s="281">
        <v>48157375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369</v>
      </c>
      <c r="C69" s="284">
        <f>IF(C75=0,0,(C72/C75)*100)</f>
        <v>12.188915573263253</v>
      </c>
      <c r="D69" s="284">
        <f>IF(D75=0,0,(D72/D75)*100)</f>
        <v>11.663312851566507</v>
      </c>
      <c r="E69" s="284">
        <f>IF(E75=0,0,(E72/E75)*100)</f>
        <v>10.587711220159726</v>
      </c>
    </row>
    <row r="70" spans="1:5" ht="24" customHeight="1" x14ac:dyDescent="0.2">
      <c r="A70" s="17">
        <v>5</v>
      </c>
      <c r="B70" s="45" t="s">
        <v>370</v>
      </c>
      <c r="C70" s="281">
        <f>+C28</f>
        <v>1573006</v>
      </c>
      <c r="D70" s="281">
        <f>+D28</f>
        <v>1496783</v>
      </c>
      <c r="E70" s="281">
        <f>+E28</f>
        <v>-20601</v>
      </c>
    </row>
    <row r="71" spans="1:5" ht="24" customHeight="1" x14ac:dyDescent="0.2">
      <c r="A71" s="17">
        <v>6</v>
      </c>
      <c r="B71" s="45" t="s">
        <v>359</v>
      </c>
      <c r="C71" s="176">
        <f>+C47</f>
        <v>3287347</v>
      </c>
      <c r="D71" s="176">
        <f>+D47</f>
        <v>3230817</v>
      </c>
      <c r="E71" s="176">
        <f>+E47</f>
        <v>3213579</v>
      </c>
    </row>
    <row r="72" spans="1:5" ht="24" customHeight="1" x14ac:dyDescent="0.2">
      <c r="A72" s="17">
        <v>7</v>
      </c>
      <c r="B72" s="45" t="s">
        <v>371</v>
      </c>
      <c r="C72" s="281">
        <f>+C70+C71</f>
        <v>4860353</v>
      </c>
      <c r="D72" s="281">
        <f>+D70+D71</f>
        <v>4727600</v>
      </c>
      <c r="E72" s="281">
        <f>+E70+E71</f>
        <v>3192978</v>
      </c>
    </row>
    <row r="73" spans="1:5" ht="24" customHeight="1" x14ac:dyDescent="0.2">
      <c r="A73" s="17">
        <v>8</v>
      </c>
      <c r="B73" s="45" t="s">
        <v>54</v>
      </c>
      <c r="C73" s="270">
        <f>+C40</f>
        <v>6187688</v>
      </c>
      <c r="D73" s="270">
        <f>+D40</f>
        <v>7196438</v>
      </c>
      <c r="E73" s="270">
        <f>+E40</f>
        <v>5960611</v>
      </c>
    </row>
    <row r="74" spans="1:5" ht="24" customHeight="1" x14ac:dyDescent="0.2">
      <c r="A74" s="17">
        <v>9</v>
      </c>
      <c r="B74" s="45" t="s">
        <v>58</v>
      </c>
      <c r="C74" s="281">
        <v>33687500</v>
      </c>
      <c r="D74" s="281">
        <v>33337500</v>
      </c>
      <c r="E74" s="281">
        <v>24196785</v>
      </c>
    </row>
    <row r="75" spans="1:5" ht="24" customHeight="1" x14ac:dyDescent="0.2">
      <c r="A75" s="17">
        <v>10</v>
      </c>
      <c r="B75" s="285" t="s">
        <v>372</v>
      </c>
      <c r="C75" s="270">
        <f>+C73+C74</f>
        <v>39875188</v>
      </c>
      <c r="D75" s="270">
        <f>+D73+D74</f>
        <v>40533938</v>
      </c>
      <c r="E75" s="270">
        <f>+E73+E74</f>
        <v>30157396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373</v>
      </c>
      <c r="C77" s="286">
        <f>IF(C80=0,0,(C78/C80)*100)</f>
        <v>69.881718747381058</v>
      </c>
      <c r="D77" s="286">
        <f>IF(D80=0,0,(D78/D80)*100)</f>
        <v>67.522508768811747</v>
      </c>
      <c r="E77" s="286">
        <f>IF(E80=0,0,(E78/E80)*100)</f>
        <v>60.206577302926398</v>
      </c>
    </row>
    <row r="78" spans="1:5" ht="24" customHeight="1" x14ac:dyDescent="0.2">
      <c r="A78" s="17">
        <v>12</v>
      </c>
      <c r="B78" s="45" t="s">
        <v>58</v>
      </c>
      <c r="C78" s="270">
        <f>+C74</f>
        <v>33687500</v>
      </c>
      <c r="D78" s="270">
        <f>+D74</f>
        <v>33337500</v>
      </c>
      <c r="E78" s="270">
        <f>+E74</f>
        <v>24196785</v>
      </c>
    </row>
    <row r="79" spans="1:5" ht="24" customHeight="1" x14ac:dyDescent="0.2">
      <c r="A79" s="17">
        <v>13</v>
      </c>
      <c r="B79" s="45" t="s">
        <v>67</v>
      </c>
      <c r="C79" s="270">
        <f>+C32</f>
        <v>14518956</v>
      </c>
      <c r="D79" s="270">
        <f>+D32</f>
        <v>16034925</v>
      </c>
      <c r="E79" s="270">
        <f>+E32</f>
        <v>15992819</v>
      </c>
    </row>
    <row r="80" spans="1:5" ht="24" customHeight="1" x14ac:dyDescent="0.2">
      <c r="A80" s="17">
        <v>14</v>
      </c>
      <c r="B80" s="45" t="s">
        <v>374</v>
      </c>
      <c r="C80" s="270">
        <f>+C78+C79</f>
        <v>48206456</v>
      </c>
      <c r="D80" s="270">
        <f>+D78+D79</f>
        <v>49372425</v>
      </c>
      <c r="E80" s="270">
        <f>+E78+E79</f>
        <v>40189604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FILING&amp;R&amp;8SHARON HOSPITAL HOLDING CO,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506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507</v>
      </c>
      <c r="E6" s="126" t="s">
        <v>508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509</v>
      </c>
      <c r="I7" s="126" t="s">
        <v>509</v>
      </c>
      <c r="J7" s="125"/>
      <c r="K7" s="289"/>
    </row>
    <row r="8" spans="1:11" ht="15.75" customHeight="1" x14ac:dyDescent="0.25">
      <c r="A8" s="287"/>
      <c r="B8" s="126"/>
      <c r="C8" s="126" t="s">
        <v>510</v>
      </c>
      <c r="D8" s="126" t="s">
        <v>511</v>
      </c>
      <c r="E8" s="126" t="s">
        <v>512</v>
      </c>
      <c r="F8" s="126" t="s">
        <v>513</v>
      </c>
      <c r="G8" s="126" t="s">
        <v>514</v>
      </c>
      <c r="H8" s="126" t="s">
        <v>515</v>
      </c>
      <c r="I8" s="126" t="s">
        <v>516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517</v>
      </c>
      <c r="D9" s="292" t="s">
        <v>518</v>
      </c>
      <c r="E9" s="292" t="s">
        <v>519</v>
      </c>
      <c r="F9" s="292" t="s">
        <v>520</v>
      </c>
      <c r="G9" s="292" t="s">
        <v>521</v>
      </c>
      <c r="H9" s="292" t="s">
        <v>520</v>
      </c>
      <c r="I9" s="292" t="s">
        <v>521</v>
      </c>
      <c r="J9" s="125"/>
      <c r="K9" s="56"/>
    </row>
    <row r="10" spans="1:11" ht="15.75" customHeight="1" x14ac:dyDescent="0.25">
      <c r="A10" s="293" t="s">
        <v>519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522</v>
      </c>
      <c r="C11" s="296">
        <v>5562</v>
      </c>
      <c r="D11" s="296">
        <v>1895</v>
      </c>
      <c r="E11" s="296">
        <v>1216</v>
      </c>
      <c r="F11" s="297">
        <v>22</v>
      </c>
      <c r="G11" s="297">
        <v>47</v>
      </c>
      <c r="H11" s="298">
        <f>IF(F11=0,0,$C11/(F11*365))</f>
        <v>0.6926525529265255</v>
      </c>
      <c r="I11" s="298">
        <f>IF(G11=0,0,$C11/(G11*365))</f>
        <v>0.32422034392305449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523</v>
      </c>
      <c r="C13" s="296">
        <v>1871</v>
      </c>
      <c r="D13" s="296">
        <v>387</v>
      </c>
      <c r="E13" s="296">
        <v>0</v>
      </c>
      <c r="F13" s="297">
        <v>7</v>
      </c>
      <c r="G13" s="297">
        <v>11</v>
      </c>
      <c r="H13" s="298">
        <f>IF(F13=0,0,$C13/(F13*365))</f>
        <v>0.73228962818003918</v>
      </c>
      <c r="I13" s="298">
        <f>IF(G13=0,0,$C13/(G13*365))</f>
        <v>0.46600249066002492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524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525</v>
      </c>
      <c r="C16" s="296">
        <v>3183</v>
      </c>
      <c r="D16" s="296">
        <v>288</v>
      </c>
      <c r="E16" s="296">
        <v>289</v>
      </c>
      <c r="F16" s="297">
        <v>12</v>
      </c>
      <c r="G16" s="297">
        <v>12</v>
      </c>
      <c r="H16" s="298">
        <f t="shared" si="0"/>
        <v>0.72671232876712333</v>
      </c>
      <c r="I16" s="298">
        <f t="shared" si="0"/>
        <v>0.72671232876712333</v>
      </c>
      <c r="J16" s="125"/>
      <c r="K16" s="299"/>
    </row>
    <row r="17" spans="1:11" ht="15.75" customHeight="1" x14ac:dyDescent="0.25">
      <c r="A17" s="293"/>
      <c r="B17" s="135" t="s">
        <v>526</v>
      </c>
      <c r="C17" s="300">
        <f>SUM(C15:C16)</f>
        <v>3183</v>
      </c>
      <c r="D17" s="300">
        <f>SUM(D15:D16)</f>
        <v>288</v>
      </c>
      <c r="E17" s="300">
        <f>SUM(E15:E16)</f>
        <v>289</v>
      </c>
      <c r="F17" s="300">
        <f>SUM(F15:F16)</f>
        <v>12</v>
      </c>
      <c r="G17" s="300">
        <f>SUM(G15:G16)</f>
        <v>12</v>
      </c>
      <c r="H17" s="301">
        <f t="shared" si="0"/>
        <v>0.72671232876712333</v>
      </c>
      <c r="I17" s="301">
        <f t="shared" si="0"/>
        <v>0.72671232876712333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527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528</v>
      </c>
      <c r="C21" s="296">
        <v>706</v>
      </c>
      <c r="D21" s="296">
        <v>276</v>
      </c>
      <c r="E21" s="296">
        <v>262</v>
      </c>
      <c r="F21" s="297">
        <v>4</v>
      </c>
      <c r="G21" s="297">
        <v>8</v>
      </c>
      <c r="H21" s="298">
        <f>IF(F21=0,0,$C21/(F21*365))</f>
        <v>0.48356164383561645</v>
      </c>
      <c r="I21" s="298">
        <f>IF(G21=0,0,$C21/(G21*365))</f>
        <v>0.24178082191780823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529</v>
      </c>
      <c r="C23" s="296">
        <v>592</v>
      </c>
      <c r="D23" s="296">
        <v>226</v>
      </c>
      <c r="E23" s="296">
        <v>223</v>
      </c>
      <c r="F23" s="297">
        <v>4</v>
      </c>
      <c r="G23" s="297">
        <v>16</v>
      </c>
      <c r="H23" s="298">
        <f>IF(F23=0,0,$C23/(F23*365))</f>
        <v>0.40547945205479452</v>
      </c>
      <c r="I23" s="298">
        <f>IF(G23=0,0,$C23/(G23*365))</f>
        <v>0.10136986301369863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307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530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531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532</v>
      </c>
      <c r="C31" s="300">
        <f>SUM(C10:C29)-C17-C23</f>
        <v>11322</v>
      </c>
      <c r="D31" s="300">
        <f>SUM(D10:D29)-D13-D17-D23</f>
        <v>2459</v>
      </c>
      <c r="E31" s="300">
        <f>SUM(E10:E29)-E17-E23</f>
        <v>1767</v>
      </c>
      <c r="F31" s="300">
        <f>SUM(F10:F29)-F17-F23</f>
        <v>45</v>
      </c>
      <c r="G31" s="300">
        <f>SUM(G10:G29)-G17-G23</f>
        <v>78</v>
      </c>
      <c r="H31" s="301">
        <f>IF(F31=0,0,$C31/(F31*365))</f>
        <v>0.68931506849315072</v>
      </c>
      <c r="I31" s="301">
        <f>IF(G31=0,0,$C31/(G31*365))</f>
        <v>0.39768177028451002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533</v>
      </c>
      <c r="C33" s="300">
        <f>SUM(C10:C29)-C17</f>
        <v>11914</v>
      </c>
      <c r="D33" s="300">
        <f>SUM(D10:D29)-D13-D17</f>
        <v>2685</v>
      </c>
      <c r="E33" s="300">
        <f>SUM(E10:E29)-E17</f>
        <v>1990</v>
      </c>
      <c r="F33" s="300">
        <f>SUM(F10:F29)-F17</f>
        <v>49</v>
      </c>
      <c r="G33" s="300">
        <f>SUM(G10:G29)-G17</f>
        <v>94</v>
      </c>
      <c r="H33" s="301">
        <f>IF(F33=0,0,$C33/(F33*365))</f>
        <v>0.66614481409001958</v>
      </c>
      <c r="I33" s="301">
        <f>IF(G33=0,0,$C33/(G33*365))</f>
        <v>0.34724570096181873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534</v>
      </c>
      <c r="C36" s="300">
        <f t="shared" ref="C36:I36" si="1">+C33</f>
        <v>11914</v>
      </c>
      <c r="D36" s="300">
        <f t="shared" si="1"/>
        <v>2685</v>
      </c>
      <c r="E36" s="300">
        <f t="shared" si="1"/>
        <v>1990</v>
      </c>
      <c r="F36" s="300">
        <f t="shared" si="1"/>
        <v>49</v>
      </c>
      <c r="G36" s="300">
        <f t="shared" si="1"/>
        <v>94</v>
      </c>
      <c r="H36" s="301">
        <f t="shared" si="1"/>
        <v>0.66614481409001958</v>
      </c>
      <c r="I36" s="301">
        <f t="shared" si="1"/>
        <v>0.34724570096181873</v>
      </c>
      <c r="J36" s="125"/>
      <c r="K36" s="299"/>
    </row>
    <row r="37" spans="1:11" ht="15.75" customHeight="1" x14ac:dyDescent="0.25">
      <c r="A37" s="293"/>
      <c r="B37" s="135" t="s">
        <v>535</v>
      </c>
      <c r="C37" s="300">
        <v>12355</v>
      </c>
      <c r="D37" s="300">
        <v>2703</v>
      </c>
      <c r="E37" s="300">
        <v>2712</v>
      </c>
      <c r="F37" s="302">
        <v>49</v>
      </c>
      <c r="G37" s="302">
        <v>94</v>
      </c>
      <c r="H37" s="301">
        <f>IF(F37=0,0,$C37/(F37*365))</f>
        <v>0.69080234833659493</v>
      </c>
      <c r="I37" s="301">
        <f>IF(G37=0,0,$C37/(G37*365))</f>
        <v>0.36009909647333138</v>
      </c>
      <c r="J37" s="125"/>
      <c r="K37" s="299"/>
    </row>
    <row r="38" spans="1:11" ht="15.75" customHeight="1" x14ac:dyDescent="0.25">
      <c r="A38" s="293"/>
      <c r="B38" s="135" t="s">
        <v>536</v>
      </c>
      <c r="C38" s="300">
        <f t="shared" ref="C38:I38" si="2">+C36-C37</f>
        <v>-441</v>
      </c>
      <c r="D38" s="300">
        <f t="shared" si="2"/>
        <v>-18</v>
      </c>
      <c r="E38" s="300">
        <f t="shared" si="2"/>
        <v>-722</v>
      </c>
      <c r="F38" s="300">
        <f t="shared" si="2"/>
        <v>0</v>
      </c>
      <c r="G38" s="300">
        <f t="shared" si="2"/>
        <v>0</v>
      </c>
      <c r="H38" s="301">
        <f t="shared" si="2"/>
        <v>-2.4657534246575352E-2</v>
      </c>
      <c r="I38" s="301">
        <f t="shared" si="2"/>
        <v>-1.2853395511512655E-2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537</v>
      </c>
      <c r="C40" s="148">
        <f t="shared" ref="C40:I40" si="3">IF(C37=0,0,C38/C37)</f>
        <v>-3.5694050991501414E-2</v>
      </c>
      <c r="D40" s="148">
        <f t="shared" si="3"/>
        <v>-6.6592674805771362E-3</v>
      </c>
      <c r="E40" s="148">
        <f t="shared" si="3"/>
        <v>-0.26622418879056048</v>
      </c>
      <c r="F40" s="148">
        <f t="shared" si="3"/>
        <v>0</v>
      </c>
      <c r="G40" s="148">
        <f t="shared" si="3"/>
        <v>0</v>
      </c>
      <c r="H40" s="148">
        <f t="shared" si="3"/>
        <v>-3.5694050991501428E-2</v>
      </c>
      <c r="I40" s="148">
        <f t="shared" si="3"/>
        <v>-3.5694050991501351E-2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538</v>
      </c>
      <c r="C42" s="295">
        <v>94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539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519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4" t="s">
        <v>540</v>
      </c>
      <c r="B46" s="305"/>
      <c r="C46" s="125"/>
      <c r="D46" s="125"/>
      <c r="E46" s="125"/>
      <c r="F46" s="125"/>
      <c r="G46" s="125"/>
      <c r="H46" s="125"/>
      <c r="I46" s="125"/>
      <c r="J46" s="125"/>
      <c r="K46" s="299"/>
    </row>
    <row r="47" spans="1:11" ht="15.75" customHeight="1" x14ac:dyDescent="0.25">
      <c r="A47" s="306"/>
      <c r="B47" s="305"/>
      <c r="C47" s="305"/>
      <c r="D47" s="305"/>
      <c r="E47" s="305"/>
      <c r="F47" s="305"/>
      <c r="G47" s="305"/>
      <c r="H47" s="305"/>
      <c r="I47" s="305"/>
    </row>
    <row r="48" spans="1:11" ht="15" customHeight="1" x14ac:dyDescent="0.25">
      <c r="B48" s="26"/>
      <c r="C48" s="48"/>
    </row>
  </sheetData>
  <printOptions horizontalCentered="1" gridLines="1"/>
  <pageMargins left="0.5" right="0.5" top="0.5" bottom="0.5" header="0.25" footer="0.25"/>
  <pageSetup paperSize="9" scale="74" orientation="landscape" horizontalDpi="1200" verticalDpi="1200" r:id="rId1"/>
  <headerFooter>
    <oddHeader>&amp;LOFFICE OF HEALTH CARE ACCESS&amp;CTWELVE MONTHS ACTUAL FILING&amp;RESSENT-SHARON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541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542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543</v>
      </c>
      <c r="C12" s="296">
        <v>439</v>
      </c>
      <c r="D12" s="296">
        <v>395</v>
      </c>
      <c r="E12" s="296">
        <f>+D12-C12</f>
        <v>-44</v>
      </c>
      <c r="F12" s="316">
        <f>IF(C12=0,0,+E12/C12)</f>
        <v>-0.10022779043280182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544</v>
      </c>
      <c r="C13" s="296">
        <v>1786</v>
      </c>
      <c r="D13" s="296">
        <v>1533</v>
      </c>
      <c r="E13" s="296">
        <f>+D13-C13</f>
        <v>-253</v>
      </c>
      <c r="F13" s="316">
        <f>IF(C13=0,0,+E13/C13)</f>
        <v>-0.14165733482642778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545</v>
      </c>
      <c r="C14" s="296">
        <v>2869</v>
      </c>
      <c r="D14" s="296">
        <v>2734</v>
      </c>
      <c r="E14" s="296">
        <f>+D14-C14</f>
        <v>-135</v>
      </c>
      <c r="F14" s="316">
        <f>IF(C14=0,0,+E14/C14)</f>
        <v>-4.7054722899965144E-2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546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547</v>
      </c>
      <c r="C16" s="300">
        <f>SUM(C12:C15)</f>
        <v>5094</v>
      </c>
      <c r="D16" s="300">
        <f>SUM(D12:D15)</f>
        <v>4662</v>
      </c>
      <c r="E16" s="300">
        <f>+D16-C16</f>
        <v>-432</v>
      </c>
      <c r="F16" s="309">
        <f>IF(C16=0,0,+E16/C16)</f>
        <v>-8.4805653710247356E-2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548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543</v>
      </c>
      <c r="C19" s="296">
        <v>247</v>
      </c>
      <c r="D19" s="296">
        <v>231</v>
      </c>
      <c r="E19" s="296">
        <f>+D19-C19</f>
        <v>-16</v>
      </c>
      <c r="F19" s="316">
        <f>IF(C19=0,0,+E19/C19)</f>
        <v>-6.4777327935222673E-2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544</v>
      </c>
      <c r="C20" s="296">
        <v>1675</v>
      </c>
      <c r="D20" s="296">
        <v>1641</v>
      </c>
      <c r="E20" s="296">
        <f>+D20-C20</f>
        <v>-34</v>
      </c>
      <c r="F20" s="316">
        <f>IF(C20=0,0,+E20/C20)</f>
        <v>-2.0298507462686566E-2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545</v>
      </c>
      <c r="C21" s="296">
        <v>63</v>
      </c>
      <c r="D21" s="296">
        <v>101</v>
      </c>
      <c r="E21" s="296">
        <f>+D21-C21</f>
        <v>38</v>
      </c>
      <c r="F21" s="316">
        <f>IF(C21=0,0,+E21/C21)</f>
        <v>0.60317460317460314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546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549</v>
      </c>
      <c r="C23" s="300">
        <f>SUM(C19:C22)</f>
        <v>1985</v>
      </c>
      <c r="D23" s="300">
        <f>SUM(D19:D22)</f>
        <v>1973</v>
      </c>
      <c r="E23" s="300">
        <f>+D23-C23</f>
        <v>-12</v>
      </c>
      <c r="F23" s="309">
        <f>IF(C23=0,0,+E23/C23)</f>
        <v>-6.0453400503778336E-3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550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543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544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545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546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551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333</v>
      </c>
      <c r="B32" s="291" t="s">
        <v>552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543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544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545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546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553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554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555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354</v>
      </c>
      <c r="B42" s="291" t="s">
        <v>556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557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558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559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366</v>
      </c>
      <c r="B47" s="291" t="s">
        <v>560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557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558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561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378</v>
      </c>
      <c r="B52" s="291" t="s">
        <v>562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563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564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565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382</v>
      </c>
      <c r="B57" s="291" t="s">
        <v>566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567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568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569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570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571</v>
      </c>
      <c r="C63" s="296">
        <v>474</v>
      </c>
      <c r="D63" s="296">
        <v>395</v>
      </c>
      <c r="E63" s="296">
        <f>+D63-C63</f>
        <v>-79</v>
      </c>
      <c r="F63" s="316">
        <f>IF(C63=0,0,+E63/C63)</f>
        <v>-0.16666666666666666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572</v>
      </c>
      <c r="C64" s="296">
        <v>1460</v>
      </c>
      <c r="D64" s="296">
        <v>1352</v>
      </c>
      <c r="E64" s="296">
        <f>+D64-C64</f>
        <v>-108</v>
      </c>
      <c r="F64" s="316">
        <f>IF(C64=0,0,+E64/C64)</f>
        <v>-7.3972602739726029E-2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573</v>
      </c>
      <c r="C65" s="300">
        <f>SUM(C63:C64)</f>
        <v>1934</v>
      </c>
      <c r="D65" s="300">
        <f>SUM(D63:D64)</f>
        <v>1747</v>
      </c>
      <c r="E65" s="300">
        <f>+D65-C65</f>
        <v>-187</v>
      </c>
      <c r="F65" s="309">
        <f>IF(C65=0,0,+E65/C65)</f>
        <v>-9.6690796277145816E-2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408</v>
      </c>
      <c r="B67" s="291" t="s">
        <v>574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575</v>
      </c>
      <c r="C68" s="296">
        <v>91</v>
      </c>
      <c r="D68" s="296">
        <v>86</v>
      </c>
      <c r="E68" s="296">
        <f>+D68-C68</f>
        <v>-5</v>
      </c>
      <c r="F68" s="316">
        <f>IF(C68=0,0,+E68/C68)</f>
        <v>-5.4945054945054944E-2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576</v>
      </c>
      <c r="C69" s="296">
        <v>965</v>
      </c>
      <c r="D69" s="296">
        <v>974</v>
      </c>
      <c r="E69" s="296">
        <f>+D69-C69</f>
        <v>9</v>
      </c>
      <c r="F69" s="318">
        <f>IF(C69=0,0,+E69/C69)</f>
        <v>9.3264248704663204E-3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577</v>
      </c>
      <c r="C70" s="300">
        <f>SUM(C68:C69)</f>
        <v>1056</v>
      </c>
      <c r="D70" s="300">
        <f>SUM(D68:D69)</f>
        <v>1060</v>
      </c>
      <c r="E70" s="300">
        <f>+D70-C70</f>
        <v>4</v>
      </c>
      <c r="F70" s="309">
        <f>IF(C70=0,0,+E70/C70)</f>
        <v>3.787878787878788E-3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424</v>
      </c>
      <c r="B72" s="291" t="s">
        <v>578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579</v>
      </c>
      <c r="C73" s="319">
        <v>1720</v>
      </c>
      <c r="D73" s="319">
        <v>1766</v>
      </c>
      <c r="E73" s="296">
        <f>+D73-C73</f>
        <v>46</v>
      </c>
      <c r="F73" s="316">
        <f>IF(C73=0,0,+E73/C73)</f>
        <v>2.6744186046511628E-2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580</v>
      </c>
      <c r="C74" s="319">
        <v>15938</v>
      </c>
      <c r="D74" s="319">
        <v>15856</v>
      </c>
      <c r="E74" s="296">
        <f>+D74-C74</f>
        <v>-82</v>
      </c>
      <c r="F74" s="316">
        <f>IF(C74=0,0,+E74/C74)</f>
        <v>-5.1449366294390765E-3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440</v>
      </c>
      <c r="C75" s="300">
        <f>SUM(C73:C74)</f>
        <v>17658</v>
      </c>
      <c r="D75" s="300">
        <f>SUM(D73:D74)</f>
        <v>17622</v>
      </c>
      <c r="E75" s="300">
        <f>SUM(E73:E74)</f>
        <v>-36</v>
      </c>
      <c r="F75" s="309">
        <f>IF(C75=0,0,+E75/C75)</f>
        <v>-2.0387359836901123E-3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433</v>
      </c>
      <c r="B78" s="291" t="s">
        <v>581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582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583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584</v>
      </c>
      <c r="C81" s="319">
        <v>620</v>
      </c>
      <c r="D81" s="319">
        <v>229</v>
      </c>
      <c r="E81" s="296">
        <f t="shared" si="0"/>
        <v>-391</v>
      </c>
      <c r="F81" s="316">
        <f t="shared" si="1"/>
        <v>-0.63064516129032255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585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586</v>
      </c>
      <c r="C83" s="319">
        <v>0</v>
      </c>
      <c r="D83" s="319">
        <v>3978</v>
      </c>
      <c r="E83" s="296">
        <f t="shared" si="0"/>
        <v>3978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587</v>
      </c>
      <c r="C84" s="320">
        <f>SUM(C79:C83)</f>
        <v>620</v>
      </c>
      <c r="D84" s="320">
        <f>SUM(D79:D83)</f>
        <v>4207</v>
      </c>
      <c r="E84" s="300">
        <f t="shared" si="0"/>
        <v>3587</v>
      </c>
      <c r="F84" s="309">
        <f t="shared" si="1"/>
        <v>5.7854838709677416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436</v>
      </c>
      <c r="B86" s="291" t="s">
        <v>588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589</v>
      </c>
      <c r="C87" s="322">
        <v>9569</v>
      </c>
      <c r="D87" s="322">
        <v>10300</v>
      </c>
      <c r="E87" s="323">
        <f t="shared" ref="E87:E92" si="2">+D87-C87</f>
        <v>731</v>
      </c>
      <c r="F87" s="318">
        <f t="shared" ref="F87:F92" si="3">IF(C87=0,0,+E87/C87)</f>
        <v>7.6392517504441426E-2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275</v>
      </c>
      <c r="C88" s="322">
        <v>4985</v>
      </c>
      <c r="D88" s="322">
        <v>4738</v>
      </c>
      <c r="E88" s="296">
        <f t="shared" si="2"/>
        <v>-247</v>
      </c>
      <c r="F88" s="316">
        <f t="shared" si="3"/>
        <v>-4.954864593781344E-2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590</v>
      </c>
      <c r="C89" s="322">
        <v>745</v>
      </c>
      <c r="D89" s="322">
        <v>836</v>
      </c>
      <c r="E89" s="296">
        <f t="shared" si="2"/>
        <v>91</v>
      </c>
      <c r="F89" s="316">
        <f t="shared" si="3"/>
        <v>0.12214765100671141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591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592</v>
      </c>
      <c r="C91" s="322">
        <v>49100</v>
      </c>
      <c r="D91" s="322">
        <v>49894</v>
      </c>
      <c r="E91" s="296">
        <f t="shared" si="2"/>
        <v>794</v>
      </c>
      <c r="F91" s="316">
        <f t="shared" si="3"/>
        <v>1.6171079429735235E-2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593</v>
      </c>
      <c r="C92" s="320">
        <f>SUM(C87:C91)</f>
        <v>64399</v>
      </c>
      <c r="D92" s="320">
        <f>SUM(D87:D91)</f>
        <v>65768</v>
      </c>
      <c r="E92" s="300">
        <f t="shared" si="2"/>
        <v>1369</v>
      </c>
      <c r="F92" s="309">
        <f t="shared" si="3"/>
        <v>2.1258094069783691E-2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594</v>
      </c>
      <c r="B95" s="291" t="s">
        <v>595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596</v>
      </c>
      <c r="C96" s="325">
        <v>97.2</v>
      </c>
      <c r="D96" s="325">
        <v>100.6</v>
      </c>
      <c r="E96" s="326">
        <f>+D96-C96</f>
        <v>3.3999999999999915</v>
      </c>
      <c r="F96" s="316">
        <f>IF(C96=0,0,+E96/C96)</f>
        <v>3.4979423868312667E-2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597</v>
      </c>
      <c r="C97" s="325">
        <v>0</v>
      </c>
      <c r="D97" s="325">
        <v>0</v>
      </c>
      <c r="E97" s="326">
        <f>+D97-C97</f>
        <v>0</v>
      </c>
      <c r="F97" s="316">
        <f>IF(C97=0,0,+E97/C97)</f>
        <v>0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598</v>
      </c>
      <c r="C98" s="325">
        <v>174.3</v>
      </c>
      <c r="D98" s="325">
        <v>155</v>
      </c>
      <c r="E98" s="326">
        <f>+D98-C98</f>
        <v>-19.300000000000011</v>
      </c>
      <c r="F98" s="316">
        <f>IF(C98=0,0,+E98/C98)</f>
        <v>-0.11072862880091802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599</v>
      </c>
      <c r="C99" s="327">
        <f>SUM(C96:C98)</f>
        <v>271.5</v>
      </c>
      <c r="D99" s="327">
        <f>SUM(D96:D98)</f>
        <v>255.6</v>
      </c>
      <c r="E99" s="327">
        <f>+D99-C99</f>
        <v>-15.900000000000006</v>
      </c>
      <c r="F99" s="309">
        <f>IF(C99=0,0,+E99/C99)</f>
        <v>-5.8563535911602231E-2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FILING&amp;RESSENT-SHARON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600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572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601</v>
      </c>
      <c r="C12" s="296">
        <v>1460</v>
      </c>
      <c r="D12" s="296">
        <v>1352</v>
      </c>
      <c r="E12" s="296">
        <f>+D12-C12</f>
        <v>-108</v>
      </c>
      <c r="F12" s="316">
        <f>IF(C12=0,0,+E12/C12)</f>
        <v>-7.3972602739726029E-2</v>
      </c>
    </row>
    <row r="13" spans="1:16" ht="15.75" customHeight="1" x14ac:dyDescent="0.25">
      <c r="A13" s="294"/>
      <c r="B13" s="135" t="s">
        <v>602</v>
      </c>
      <c r="C13" s="300">
        <f>SUM(C11:C12)</f>
        <v>1460</v>
      </c>
      <c r="D13" s="300">
        <f>SUM(D11:D12)</f>
        <v>1352</v>
      </c>
      <c r="E13" s="300">
        <f>+D13-C13</f>
        <v>-108</v>
      </c>
      <c r="F13" s="309">
        <f>IF(C13=0,0,+E13/C13)</f>
        <v>-7.3972602739726029E-2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576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601</v>
      </c>
      <c r="C16" s="296">
        <v>965</v>
      </c>
      <c r="D16" s="296">
        <v>974</v>
      </c>
      <c r="E16" s="296">
        <f>+D16-C16</f>
        <v>9</v>
      </c>
      <c r="F16" s="316">
        <f>IF(C16=0,0,+E16/C16)</f>
        <v>9.3264248704663204E-3</v>
      </c>
    </row>
    <row r="17" spans="1:6" ht="15.75" customHeight="1" x14ac:dyDescent="0.25">
      <c r="A17" s="294"/>
      <c r="B17" s="135" t="s">
        <v>603</v>
      </c>
      <c r="C17" s="300">
        <f>SUM(C15:C16)</f>
        <v>965</v>
      </c>
      <c r="D17" s="300">
        <f>SUM(D15:D16)</f>
        <v>974</v>
      </c>
      <c r="E17" s="300">
        <f>+D17-C17</f>
        <v>9</v>
      </c>
      <c r="F17" s="309">
        <f>IF(C17=0,0,+E17/C17)</f>
        <v>9.3264248704663204E-3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604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601</v>
      </c>
      <c r="C20" s="296">
        <v>15938</v>
      </c>
      <c r="D20" s="296">
        <v>15856</v>
      </c>
      <c r="E20" s="296">
        <f>+D20-C20</f>
        <v>-82</v>
      </c>
      <c r="F20" s="316">
        <f>IF(C20=0,0,+E20/C20)</f>
        <v>-5.1449366294390765E-3</v>
      </c>
    </row>
    <row r="21" spans="1:6" ht="15.75" customHeight="1" x14ac:dyDescent="0.25">
      <c r="A21" s="294"/>
      <c r="B21" s="135" t="s">
        <v>605</v>
      </c>
      <c r="C21" s="300">
        <f>SUM(C19:C20)</f>
        <v>15938</v>
      </c>
      <c r="D21" s="300">
        <f>SUM(D19:D20)</f>
        <v>15856</v>
      </c>
      <c r="E21" s="300">
        <f>+D21-C21</f>
        <v>-82</v>
      </c>
      <c r="F21" s="309">
        <f>IF(C21=0,0,+E21/C21)</f>
        <v>-5.1449366294390765E-3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606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607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608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FILING&amp;RESSENT-SHARON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609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610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611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612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613</v>
      </c>
      <c r="D7" s="341" t="s">
        <v>613</v>
      </c>
      <c r="E7" s="341" t="s">
        <v>614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615</v>
      </c>
      <c r="D8" s="344" t="s">
        <v>616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617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618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619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620</v>
      </c>
      <c r="C15" s="361">
        <v>36041403</v>
      </c>
      <c r="D15" s="361">
        <v>37544207</v>
      </c>
      <c r="E15" s="361">
        <f t="shared" ref="E15:E24" si="0">D15-C15</f>
        <v>1502804</v>
      </c>
      <c r="F15" s="362">
        <f t="shared" ref="F15:F24" si="1">IF(C15=0,0,E15/C15)</f>
        <v>4.1696600989700648E-2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621</v>
      </c>
      <c r="C16" s="361">
        <v>17417313</v>
      </c>
      <c r="D16" s="361">
        <v>17055293</v>
      </c>
      <c r="E16" s="361">
        <f t="shared" si="0"/>
        <v>-362020</v>
      </c>
      <c r="F16" s="362">
        <f t="shared" si="1"/>
        <v>-2.0785065985780931E-2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622</v>
      </c>
      <c r="C17" s="366">
        <f>IF(C15=0,0,C16/C15)</f>
        <v>0.48325846249659038</v>
      </c>
      <c r="D17" s="366">
        <f>IF(LN_IA1=0,0,LN_IA2/LN_IA1)</f>
        <v>0.45427229292657584</v>
      </c>
      <c r="E17" s="367">
        <f t="shared" si="0"/>
        <v>-2.8986169570014542E-2</v>
      </c>
      <c r="F17" s="362">
        <f t="shared" si="1"/>
        <v>-5.9980676634750194E-2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1530</v>
      </c>
      <c r="D18" s="369">
        <v>1554</v>
      </c>
      <c r="E18" s="369">
        <f t="shared" si="0"/>
        <v>24</v>
      </c>
      <c r="F18" s="362">
        <f t="shared" si="1"/>
        <v>1.5686274509803921E-2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623</v>
      </c>
      <c r="C19" s="372">
        <v>1.2059</v>
      </c>
      <c r="D19" s="372">
        <v>1.1576</v>
      </c>
      <c r="E19" s="373">
        <f t="shared" si="0"/>
        <v>-4.830000000000001E-2</v>
      </c>
      <c r="F19" s="362">
        <f t="shared" si="1"/>
        <v>-4.0053072394062535E-2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624</v>
      </c>
      <c r="C20" s="376">
        <f>C18*C19</f>
        <v>1845.027</v>
      </c>
      <c r="D20" s="376">
        <f>LN_IA4*LN_IA5</f>
        <v>1798.9104</v>
      </c>
      <c r="E20" s="376">
        <f t="shared" si="0"/>
        <v>-46.116600000000062</v>
      </c>
      <c r="F20" s="362">
        <f t="shared" si="1"/>
        <v>-2.4995081372792952E-2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625</v>
      </c>
      <c r="C21" s="378">
        <f>IF(C20=0,0,C16/C20)</f>
        <v>9440.1399003917013</v>
      </c>
      <c r="D21" s="378">
        <f>IF(LN_IA6=0,0,LN_IA2/LN_IA6)</f>
        <v>9480.9018837180556</v>
      </c>
      <c r="E21" s="378">
        <f t="shared" si="0"/>
        <v>40.761983326354311</v>
      </c>
      <c r="F21" s="362">
        <f t="shared" si="1"/>
        <v>4.3179427165759444E-3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8685</v>
      </c>
      <c r="D22" s="369">
        <v>8469</v>
      </c>
      <c r="E22" s="369">
        <f t="shared" si="0"/>
        <v>-216</v>
      </c>
      <c r="F22" s="362">
        <f t="shared" si="1"/>
        <v>-2.4870466321243522E-2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626</v>
      </c>
      <c r="C23" s="378">
        <f>IF(C22=0,0,C16/C22)</f>
        <v>2005.4476683937824</v>
      </c>
      <c r="D23" s="378">
        <f>IF(LN_IA8=0,0,LN_IA2/LN_IA8)</f>
        <v>2013.8496870941078</v>
      </c>
      <c r="E23" s="378">
        <f t="shared" si="0"/>
        <v>8.4020187003254705</v>
      </c>
      <c r="F23" s="362">
        <f t="shared" si="1"/>
        <v>4.1895975810003934E-3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627</v>
      </c>
      <c r="C24" s="379">
        <f>IF(C18=0,0,C22/C18)</f>
        <v>5.6764705882352944</v>
      </c>
      <c r="D24" s="379">
        <f>IF(LN_IA4=0,0,LN_IA8/LN_IA4)</f>
        <v>5.4498069498069501</v>
      </c>
      <c r="E24" s="379">
        <f t="shared" si="0"/>
        <v>-0.22666363842834425</v>
      </c>
      <c r="F24" s="362">
        <f t="shared" si="1"/>
        <v>-3.9930381899293807E-2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628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629</v>
      </c>
      <c r="C27" s="361">
        <v>29404805</v>
      </c>
      <c r="D27" s="361">
        <v>33849225</v>
      </c>
      <c r="E27" s="361">
        <f t="shared" ref="E27:E32" si="2">D27-C27</f>
        <v>4444420</v>
      </c>
      <c r="F27" s="362">
        <f t="shared" ref="F27:F32" si="3">IF(C27=0,0,E27/C27)</f>
        <v>0.15114604568879134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630</v>
      </c>
      <c r="C28" s="361">
        <v>6745593</v>
      </c>
      <c r="D28" s="361">
        <v>7418245</v>
      </c>
      <c r="E28" s="361">
        <f t="shared" si="2"/>
        <v>672652</v>
      </c>
      <c r="F28" s="362">
        <f t="shared" si="3"/>
        <v>9.9717252434293024E-2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631</v>
      </c>
      <c r="C29" s="366">
        <f>IF(C27=0,0,C28/C27)</f>
        <v>0.22940444597405085</v>
      </c>
      <c r="D29" s="366">
        <f>IF(LN_IA11=0,0,LN_IA12/LN_IA11)</f>
        <v>0.21915553458018611</v>
      </c>
      <c r="E29" s="367">
        <f t="shared" si="2"/>
        <v>-1.0248911393864746E-2</v>
      </c>
      <c r="F29" s="362">
        <f t="shared" si="3"/>
        <v>-4.4676167239688348E-2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632</v>
      </c>
      <c r="C30" s="366">
        <f>IF(C15=0,0,C27/C15)</f>
        <v>0.81586182979613753</v>
      </c>
      <c r="D30" s="366">
        <f>IF(LN_IA1=0,0,LN_IA11/LN_IA1)</f>
        <v>0.90158316567986108</v>
      </c>
      <c r="E30" s="367">
        <f t="shared" si="2"/>
        <v>8.5721335883723548E-2</v>
      </c>
      <c r="F30" s="362">
        <f t="shared" si="3"/>
        <v>0.10506844756439097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633</v>
      </c>
      <c r="C31" s="376">
        <f>C30*C18</f>
        <v>1248.2685995880904</v>
      </c>
      <c r="D31" s="376">
        <f>LN_IA14*LN_IA4</f>
        <v>1401.0602394665041</v>
      </c>
      <c r="E31" s="376">
        <f t="shared" si="2"/>
        <v>152.79163987841366</v>
      </c>
      <c r="F31" s="362">
        <f t="shared" si="3"/>
        <v>0.12240285458500884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634</v>
      </c>
      <c r="C32" s="378">
        <f>IF(C31=0,0,C28/C31)</f>
        <v>5403.9595342107805</v>
      </c>
      <c r="D32" s="378">
        <f>IF(LN_IA15=0,0,LN_IA12/LN_IA15)</f>
        <v>5294.7366508842761</v>
      </c>
      <c r="E32" s="378">
        <f t="shared" si="2"/>
        <v>-109.22288332650442</v>
      </c>
      <c r="F32" s="362">
        <f t="shared" si="3"/>
        <v>-2.0211639749529664E-2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635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636</v>
      </c>
      <c r="C35" s="361">
        <f>C15+C27</f>
        <v>65446208</v>
      </c>
      <c r="D35" s="361">
        <f>LN_IA1+LN_IA11</f>
        <v>71393432</v>
      </c>
      <c r="E35" s="361">
        <f>D35-C35</f>
        <v>5947224</v>
      </c>
      <c r="F35" s="362">
        <f>IF(C35=0,0,E35/C35)</f>
        <v>9.0871941732666925E-2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637</v>
      </c>
      <c r="C36" s="361">
        <f>C16+C28</f>
        <v>24162906</v>
      </c>
      <c r="D36" s="361">
        <f>LN_IA2+LN_IA12</f>
        <v>24473538</v>
      </c>
      <c r="E36" s="361">
        <f>D36-C36</f>
        <v>310632</v>
      </c>
      <c r="F36" s="362">
        <f>IF(C36=0,0,E36/C36)</f>
        <v>1.2855738461259585E-2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638</v>
      </c>
      <c r="C37" s="361">
        <f>C35-C36</f>
        <v>41283302</v>
      </c>
      <c r="D37" s="361">
        <f>LN_IA17-LN_IA18</f>
        <v>46919894</v>
      </c>
      <c r="E37" s="361">
        <f>D37-C37</f>
        <v>5636592</v>
      </c>
      <c r="F37" s="362">
        <f>IF(C37=0,0,E37/C37)</f>
        <v>0.13653442740602484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639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640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620</v>
      </c>
      <c r="C42" s="361">
        <v>14771380</v>
      </c>
      <c r="D42" s="361">
        <v>12356384</v>
      </c>
      <c r="E42" s="361">
        <f t="shared" ref="E42:E53" si="4">D42-C42</f>
        <v>-2414996</v>
      </c>
      <c r="F42" s="362">
        <f t="shared" ref="F42:F53" si="5">IF(C42=0,0,E42/C42)</f>
        <v>-0.16349156273821402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621</v>
      </c>
      <c r="C43" s="361">
        <v>7159770</v>
      </c>
      <c r="D43" s="361">
        <v>5222160</v>
      </c>
      <c r="E43" s="361">
        <f t="shared" si="4"/>
        <v>-1937610</v>
      </c>
      <c r="F43" s="362">
        <f t="shared" si="5"/>
        <v>-0.27062461503651652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622</v>
      </c>
      <c r="C44" s="366">
        <f>IF(C42=0,0,C43/C42)</f>
        <v>0.484705558993134</v>
      </c>
      <c r="D44" s="366">
        <f>IF(LN_IB1=0,0,LN_IB2/LN_IB1)</f>
        <v>0.42262849713961625</v>
      </c>
      <c r="E44" s="367">
        <f t="shared" si="4"/>
        <v>-6.2077061853517745E-2</v>
      </c>
      <c r="F44" s="362">
        <f t="shared" si="5"/>
        <v>-0.12807169363287019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794</v>
      </c>
      <c r="D45" s="369">
        <v>743</v>
      </c>
      <c r="E45" s="369">
        <f t="shared" si="4"/>
        <v>-51</v>
      </c>
      <c r="F45" s="362">
        <f t="shared" si="5"/>
        <v>-6.4231738035264482E-2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623</v>
      </c>
      <c r="C46" s="372">
        <v>1.0126999999999999</v>
      </c>
      <c r="D46" s="372">
        <v>0.98760000000000003</v>
      </c>
      <c r="E46" s="373">
        <f t="shared" si="4"/>
        <v>-2.50999999999999E-2</v>
      </c>
      <c r="F46" s="362">
        <f t="shared" si="5"/>
        <v>-2.4785227609361016E-2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624</v>
      </c>
      <c r="C47" s="376">
        <f>C45*C46</f>
        <v>804.0838</v>
      </c>
      <c r="D47" s="376">
        <f>LN_IB4*LN_IB5</f>
        <v>733.78679999999997</v>
      </c>
      <c r="E47" s="376">
        <f t="shared" si="4"/>
        <v>-70.297000000000025</v>
      </c>
      <c r="F47" s="362">
        <f t="shared" si="5"/>
        <v>-8.7424967397676745E-2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625</v>
      </c>
      <c r="C48" s="378">
        <f>IF(C47=0,0,C43/C47)</f>
        <v>8904.2584864910841</v>
      </c>
      <c r="D48" s="378">
        <f>IF(LN_IB6=0,0,LN_IB2/LN_IB6)</f>
        <v>7116.7265478201571</v>
      </c>
      <c r="E48" s="378">
        <f t="shared" si="4"/>
        <v>-1787.531938670927</v>
      </c>
      <c r="F48" s="362">
        <f t="shared" si="5"/>
        <v>-0.20075022994703545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641</v>
      </c>
      <c r="C49" s="378">
        <f>C21-C48</f>
        <v>535.88141390061719</v>
      </c>
      <c r="D49" s="378">
        <f>LN_IA7-LN_IB7</f>
        <v>2364.1753358978985</v>
      </c>
      <c r="E49" s="378">
        <f t="shared" si="4"/>
        <v>1828.2939219972814</v>
      </c>
      <c r="F49" s="362">
        <f t="shared" si="5"/>
        <v>3.4117509481983093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642</v>
      </c>
      <c r="C50" s="391">
        <f>C49*C47</f>
        <v>430893.56363858108</v>
      </c>
      <c r="D50" s="391">
        <f>LN_IB8*LN_IB6</f>
        <v>1734800.6543674441</v>
      </c>
      <c r="E50" s="391">
        <f t="shared" si="4"/>
        <v>1303907.0907288631</v>
      </c>
      <c r="F50" s="362">
        <f t="shared" si="5"/>
        <v>3.0260537653854032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2402</v>
      </c>
      <c r="D51" s="369">
        <v>2262</v>
      </c>
      <c r="E51" s="369">
        <f t="shared" si="4"/>
        <v>-140</v>
      </c>
      <c r="F51" s="362">
        <f t="shared" si="5"/>
        <v>-5.8284762697751874E-2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626</v>
      </c>
      <c r="C52" s="378">
        <f>IF(C51=0,0,C43/C51)</f>
        <v>2980.7535387177354</v>
      </c>
      <c r="D52" s="378">
        <f>IF(LN_IB10=0,0,LN_IB2/LN_IB10)</f>
        <v>2308.6472148541116</v>
      </c>
      <c r="E52" s="378">
        <f t="shared" si="4"/>
        <v>-672.10632386362386</v>
      </c>
      <c r="F52" s="362">
        <f t="shared" si="5"/>
        <v>-0.22548201826600917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627</v>
      </c>
      <c r="C53" s="379">
        <f>IF(C45=0,0,C51/C45)</f>
        <v>3.0251889168765742</v>
      </c>
      <c r="D53" s="379">
        <f>IF(LN_IB4=0,0,LN_IB10/LN_IB4)</f>
        <v>3.0444145356662182</v>
      </c>
      <c r="E53" s="379">
        <f t="shared" si="4"/>
        <v>1.9225618789644017E-2</v>
      </c>
      <c r="F53" s="362">
        <f t="shared" si="5"/>
        <v>6.3551795666017272E-3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643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629</v>
      </c>
      <c r="C56" s="361">
        <v>37413457</v>
      </c>
      <c r="D56" s="361">
        <v>40158091</v>
      </c>
      <c r="E56" s="361">
        <f t="shared" ref="E56:E63" si="6">D56-C56</f>
        <v>2744634</v>
      </c>
      <c r="F56" s="362">
        <f t="shared" ref="F56:F63" si="7">IF(C56=0,0,E56/C56)</f>
        <v>7.3359540124827274E-2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630</v>
      </c>
      <c r="C57" s="361">
        <v>16915611</v>
      </c>
      <c r="D57" s="361">
        <v>18119637</v>
      </c>
      <c r="E57" s="361">
        <f t="shared" si="6"/>
        <v>1204026</v>
      </c>
      <c r="F57" s="362">
        <f t="shared" si="7"/>
        <v>7.1178392551117423E-2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631</v>
      </c>
      <c r="C58" s="366">
        <f>IF(C56=0,0,C57/C56)</f>
        <v>0.45212638329572163</v>
      </c>
      <c r="D58" s="366">
        <f>IF(LN_IB13=0,0,LN_IB14/LN_IB13)</f>
        <v>0.45120762837058165</v>
      </c>
      <c r="E58" s="367">
        <f t="shared" si="6"/>
        <v>-9.1875492513998624E-4</v>
      </c>
      <c r="F58" s="362">
        <f t="shared" si="7"/>
        <v>-2.0320754529802735E-3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632</v>
      </c>
      <c r="C59" s="366">
        <f>IF(C42=0,0,C56/C42)</f>
        <v>2.5328342375593884</v>
      </c>
      <c r="D59" s="366">
        <f>IF(LN_IB1=0,0,LN_IB13/LN_IB1)</f>
        <v>3.2499872940174082</v>
      </c>
      <c r="E59" s="367">
        <f t="shared" si="6"/>
        <v>0.71715305645801974</v>
      </c>
      <c r="F59" s="362">
        <f t="shared" si="7"/>
        <v>0.28314251514108585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633</v>
      </c>
      <c r="C60" s="376">
        <f>C59*C45</f>
        <v>2011.0703846221545</v>
      </c>
      <c r="D60" s="376">
        <f>LN_IB16*LN_IB4</f>
        <v>2414.7405594549341</v>
      </c>
      <c r="E60" s="376">
        <f t="shared" si="6"/>
        <v>403.67017483277959</v>
      </c>
      <c r="F60" s="362">
        <f t="shared" si="7"/>
        <v>0.20072404124663307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634</v>
      </c>
      <c r="C61" s="378">
        <f>IF(C60=0,0,C57/C60)</f>
        <v>8411.2476268095179</v>
      </c>
      <c r="D61" s="378">
        <f>IF(LN_IB17=0,0,LN_IB14/LN_IB17)</f>
        <v>7503.7613995642014</v>
      </c>
      <c r="E61" s="378">
        <f t="shared" si="6"/>
        <v>-907.48622724531651</v>
      </c>
      <c r="F61" s="362">
        <f t="shared" si="7"/>
        <v>-0.10788961013974289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644</v>
      </c>
      <c r="C62" s="378">
        <f>C32-C61</f>
        <v>-3007.2880925987374</v>
      </c>
      <c r="D62" s="378">
        <f>LN_IA16-LN_IB18</f>
        <v>-2209.0247486799253</v>
      </c>
      <c r="E62" s="378">
        <f t="shared" si="6"/>
        <v>798.2633439188121</v>
      </c>
      <c r="F62" s="362">
        <f t="shared" si="7"/>
        <v>-0.26544292377023171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645</v>
      </c>
      <c r="C63" s="361">
        <f>C62*C60</f>
        <v>-6047868.0210521687</v>
      </c>
      <c r="D63" s="361">
        <f>LN_IB19*LN_IB17</f>
        <v>-5334221.6574771581</v>
      </c>
      <c r="E63" s="361">
        <f t="shared" si="6"/>
        <v>713646.36357501056</v>
      </c>
      <c r="F63" s="362">
        <f t="shared" si="7"/>
        <v>-0.11799965890308152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646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636</v>
      </c>
      <c r="C66" s="361">
        <f>C42+C56</f>
        <v>52184837</v>
      </c>
      <c r="D66" s="361">
        <f>LN_IB1+LN_IB13</f>
        <v>52514475</v>
      </c>
      <c r="E66" s="361">
        <f>D66-C66</f>
        <v>329638</v>
      </c>
      <c r="F66" s="362">
        <f>IF(C66=0,0,E66/C66)</f>
        <v>6.3167390941548784E-3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637</v>
      </c>
      <c r="C67" s="361">
        <f>C43+C57</f>
        <v>24075381</v>
      </c>
      <c r="D67" s="361">
        <f>LN_IB2+LN_IB14</f>
        <v>23341797</v>
      </c>
      <c r="E67" s="361">
        <f>D67-C67</f>
        <v>-733584</v>
      </c>
      <c r="F67" s="362">
        <f>IF(C67=0,0,E67/C67)</f>
        <v>-3.0470296607144037E-2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638</v>
      </c>
      <c r="C68" s="361">
        <f>C66-C67</f>
        <v>28109456</v>
      </c>
      <c r="D68" s="361">
        <f>LN_IB21-LN_IB22</f>
        <v>29172678</v>
      </c>
      <c r="E68" s="361">
        <f>D68-C68</f>
        <v>1063222</v>
      </c>
      <c r="F68" s="362">
        <f>IF(C68=0,0,E68/C68)</f>
        <v>3.7824353484464446E-2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647</v>
      </c>
      <c r="C70" s="353">
        <f>C50+C63</f>
        <v>-5616974.4574135877</v>
      </c>
      <c r="D70" s="353">
        <f>LN_IB9+LN_IB20</f>
        <v>-3599421.003109714</v>
      </c>
      <c r="E70" s="361">
        <f>D70-C70</f>
        <v>2017553.4543038737</v>
      </c>
      <c r="F70" s="362">
        <f>IF(C70=0,0,E70/C70)</f>
        <v>-0.35918864677068224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648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649</v>
      </c>
      <c r="C73" s="400">
        <v>52184837</v>
      </c>
      <c r="D73" s="400">
        <v>52514475</v>
      </c>
      <c r="E73" s="400">
        <f>D73-C73</f>
        <v>329638</v>
      </c>
      <c r="F73" s="401">
        <f>IF(C73=0,0,E73/C73)</f>
        <v>6.3167390941548784E-3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650</v>
      </c>
      <c r="C74" s="400">
        <v>29672248</v>
      </c>
      <c r="D74" s="400">
        <v>28175360</v>
      </c>
      <c r="E74" s="400">
        <f>D74-C74</f>
        <v>-1496888</v>
      </c>
      <c r="F74" s="401">
        <f>IF(C74=0,0,E74/C74)</f>
        <v>-5.0447407961809972E-2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651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652</v>
      </c>
      <c r="C76" s="353">
        <f>C73-C74</f>
        <v>22512589</v>
      </c>
      <c r="D76" s="353">
        <f>LN_IB32-LN_IB33</f>
        <v>24339115</v>
      </c>
      <c r="E76" s="400">
        <f>D76-C76</f>
        <v>1826526</v>
      </c>
      <c r="F76" s="401">
        <f>IF(C76=0,0,E76/C76)</f>
        <v>8.1133538217217041E-2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653</v>
      </c>
      <c r="C77" s="366">
        <f>IF(C73=0,0,C76/C73)</f>
        <v>0.43140096423028013</v>
      </c>
      <c r="D77" s="366">
        <f>IF(LN_IB1=0,0,LN_IB34/LN_IB32)</f>
        <v>0.46347440396195527</v>
      </c>
      <c r="E77" s="405">
        <f>D77-C77</f>
        <v>3.2073439731675146E-2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654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655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620</v>
      </c>
      <c r="C83" s="361">
        <v>998989</v>
      </c>
      <c r="D83" s="361">
        <v>1345419</v>
      </c>
      <c r="E83" s="361">
        <f t="shared" ref="E83:E95" si="8">D83-C83</f>
        <v>346430</v>
      </c>
      <c r="F83" s="362">
        <f t="shared" ref="F83:F95" si="9">IF(C83=0,0,E83/C83)</f>
        <v>0.34678059518172871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621</v>
      </c>
      <c r="C84" s="361">
        <v>123857</v>
      </c>
      <c r="D84" s="361">
        <v>215382</v>
      </c>
      <c r="E84" s="361">
        <f t="shared" si="8"/>
        <v>91525</v>
      </c>
      <c r="F84" s="362">
        <f t="shared" si="9"/>
        <v>0.73895702301848099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622</v>
      </c>
      <c r="C85" s="366">
        <f>IF(C83=0,0,C84/C83)</f>
        <v>0.12398234615195963</v>
      </c>
      <c r="D85" s="366">
        <f>IF(LN_IC1=0,0,LN_IC2/LN_IC1)</f>
        <v>0.16008544550062101</v>
      </c>
      <c r="E85" s="367">
        <f t="shared" si="8"/>
        <v>3.6103099348661377E-2</v>
      </c>
      <c r="F85" s="362">
        <f t="shared" si="9"/>
        <v>0.29119548443139975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57</v>
      </c>
      <c r="D86" s="369">
        <v>73</v>
      </c>
      <c r="E86" s="369">
        <f t="shared" si="8"/>
        <v>16</v>
      </c>
      <c r="F86" s="362">
        <f t="shared" si="9"/>
        <v>0.2807017543859649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623</v>
      </c>
      <c r="C87" s="372">
        <v>1.1084000000000001</v>
      </c>
      <c r="D87" s="372">
        <v>0.9919</v>
      </c>
      <c r="E87" s="373">
        <f t="shared" si="8"/>
        <v>-0.11650000000000005</v>
      </c>
      <c r="F87" s="362">
        <f t="shared" si="9"/>
        <v>-0.10510645976181887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624</v>
      </c>
      <c r="C88" s="376">
        <f>C86*C87</f>
        <v>63.178800000000003</v>
      </c>
      <c r="D88" s="376">
        <f>LN_IC4*LN_IC5</f>
        <v>72.408699999999996</v>
      </c>
      <c r="E88" s="376">
        <f t="shared" si="8"/>
        <v>9.2298999999999936</v>
      </c>
      <c r="F88" s="362">
        <f t="shared" si="9"/>
        <v>0.14609172697170558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625</v>
      </c>
      <c r="C89" s="378">
        <f>IF(C88=0,0,C84/C88)</f>
        <v>1960.4202675581048</v>
      </c>
      <c r="D89" s="378">
        <f>IF(LN_IC6=0,0,LN_IC2/LN_IC6)</f>
        <v>2974.5320658981586</v>
      </c>
      <c r="E89" s="378">
        <f t="shared" si="8"/>
        <v>1014.1117983400538</v>
      </c>
      <c r="F89" s="362">
        <f t="shared" si="9"/>
        <v>0.51729305961686944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656</v>
      </c>
      <c r="C90" s="378">
        <f>C48-C89</f>
        <v>6943.8382189329795</v>
      </c>
      <c r="D90" s="378">
        <f>LN_IB7-LN_IC7</f>
        <v>4142.1944819219989</v>
      </c>
      <c r="E90" s="378">
        <f t="shared" si="8"/>
        <v>-2801.6437370109807</v>
      </c>
      <c r="F90" s="362">
        <f t="shared" si="9"/>
        <v>-0.40347191980539743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657</v>
      </c>
      <c r="C91" s="378">
        <f>C21-C89</f>
        <v>7479.7196328335967</v>
      </c>
      <c r="D91" s="378">
        <f>LN_IA7-LN_IC7</f>
        <v>6506.3698178198974</v>
      </c>
      <c r="E91" s="378">
        <f t="shared" si="8"/>
        <v>-973.3498150136993</v>
      </c>
      <c r="F91" s="362">
        <f t="shared" si="9"/>
        <v>-0.13013185825054222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642</v>
      </c>
      <c r="C92" s="353">
        <f>C91*C88</f>
        <v>472559.71073886729</v>
      </c>
      <c r="D92" s="353">
        <f>LN_IC9*LN_IC6</f>
        <v>471117.78022757557</v>
      </c>
      <c r="E92" s="353">
        <f t="shared" si="8"/>
        <v>-1441.9305112917209</v>
      </c>
      <c r="F92" s="362">
        <f t="shared" si="9"/>
        <v>-3.0513191846956249E-3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186</v>
      </c>
      <c r="D93" s="369">
        <v>273</v>
      </c>
      <c r="E93" s="369">
        <f t="shared" si="8"/>
        <v>87</v>
      </c>
      <c r="F93" s="362">
        <f t="shared" si="9"/>
        <v>0.46774193548387094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626</v>
      </c>
      <c r="C94" s="411">
        <f>IF(C93=0,0,C84/C93)</f>
        <v>665.89784946236557</v>
      </c>
      <c r="D94" s="411">
        <f>IF(LN_IC11=0,0,LN_IC2/LN_IC11)</f>
        <v>788.94505494505495</v>
      </c>
      <c r="E94" s="411">
        <f t="shared" si="8"/>
        <v>123.04720548268938</v>
      </c>
      <c r="F94" s="362">
        <f t="shared" si="9"/>
        <v>0.18478390579281126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627</v>
      </c>
      <c r="C95" s="379">
        <f>IF(C86=0,0,C93/C86)</f>
        <v>3.263157894736842</v>
      </c>
      <c r="D95" s="379">
        <f>IF(LN_IC4=0,0,LN_IC11/LN_IC4)</f>
        <v>3.7397260273972601</v>
      </c>
      <c r="E95" s="379">
        <f t="shared" si="8"/>
        <v>0.47656813266041809</v>
      </c>
      <c r="F95" s="362">
        <f t="shared" si="9"/>
        <v>0.14604507291206362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658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629</v>
      </c>
      <c r="C98" s="361">
        <v>2223498</v>
      </c>
      <c r="D98" s="361">
        <v>2566254</v>
      </c>
      <c r="E98" s="361">
        <f t="shared" ref="E98:E106" si="10">D98-C98</f>
        <v>342756</v>
      </c>
      <c r="F98" s="362">
        <f t="shared" ref="F98:F106" si="11">IF(C98=0,0,E98/C98)</f>
        <v>0.15415170150816415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630</v>
      </c>
      <c r="C99" s="361">
        <v>127109</v>
      </c>
      <c r="D99" s="361">
        <v>464737</v>
      </c>
      <c r="E99" s="361">
        <f t="shared" si="10"/>
        <v>337628</v>
      </c>
      <c r="F99" s="362">
        <f t="shared" si="11"/>
        <v>2.6562084510144834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631</v>
      </c>
      <c r="C100" s="366">
        <f>IF(C98=0,0,C99/C98)</f>
        <v>5.7166230866859333E-2</v>
      </c>
      <c r="D100" s="366">
        <f>IF(LN_IC14=0,0,LN_IC15/LN_IC14)</f>
        <v>0.18109548002652895</v>
      </c>
      <c r="E100" s="367">
        <f t="shared" si="10"/>
        <v>0.12392924915966962</v>
      </c>
      <c r="F100" s="362">
        <f t="shared" si="11"/>
        <v>2.1678751122896656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632</v>
      </c>
      <c r="C101" s="366">
        <f>IF(C83=0,0,C98/C83)</f>
        <v>2.2257482314620081</v>
      </c>
      <c r="D101" s="366">
        <f>IF(LN_IC1=0,0,LN_IC14/LN_IC1)</f>
        <v>1.9074013374272252</v>
      </c>
      <c r="E101" s="367">
        <f t="shared" si="10"/>
        <v>-0.31834689403478289</v>
      </c>
      <c r="F101" s="362">
        <f t="shared" si="11"/>
        <v>-0.14302915735697255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633</v>
      </c>
      <c r="C102" s="376">
        <f>C101*C86</f>
        <v>126.86764919333446</v>
      </c>
      <c r="D102" s="376">
        <f>LN_IC17*LN_IC4</f>
        <v>139.24029763218743</v>
      </c>
      <c r="E102" s="376">
        <f t="shared" si="10"/>
        <v>12.372648438852977</v>
      </c>
      <c r="F102" s="362">
        <f t="shared" si="11"/>
        <v>9.7524061630543932E-2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634</v>
      </c>
      <c r="C103" s="378">
        <f>IF(C102=0,0,C99/C102)</f>
        <v>1001.9023825868937</v>
      </c>
      <c r="D103" s="378">
        <f>IF(LN_IC18=0,0,LN_IC15/LN_IC18)</f>
        <v>3337.6616389289393</v>
      </c>
      <c r="E103" s="378">
        <f t="shared" si="10"/>
        <v>2335.7592563420458</v>
      </c>
      <c r="F103" s="362">
        <f t="shared" si="11"/>
        <v>2.331324185806563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659</v>
      </c>
      <c r="C104" s="378">
        <f>C61-C103</f>
        <v>7409.3452442226244</v>
      </c>
      <c r="D104" s="378">
        <f>LN_IB18-LN_IC19</f>
        <v>4166.0997606352621</v>
      </c>
      <c r="E104" s="378">
        <f t="shared" si="10"/>
        <v>-3243.2454835873623</v>
      </c>
      <c r="F104" s="362">
        <f t="shared" si="11"/>
        <v>-0.43772362829445099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660</v>
      </c>
      <c r="C105" s="378">
        <f>C32-C103</f>
        <v>4402.057151623887</v>
      </c>
      <c r="D105" s="378">
        <f>LN_IA16-LN_IC19</f>
        <v>1957.0750119553368</v>
      </c>
      <c r="E105" s="378">
        <f t="shared" si="10"/>
        <v>-2444.9821396685502</v>
      </c>
      <c r="F105" s="362">
        <f t="shared" si="11"/>
        <v>-0.5554180819225879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645</v>
      </c>
      <c r="C106" s="361">
        <f>C105*C102</f>
        <v>558478.64244122838</v>
      </c>
      <c r="D106" s="361">
        <f>LN_IC21*LN_IC18</f>
        <v>272503.70715317788</v>
      </c>
      <c r="E106" s="361">
        <f t="shared" si="10"/>
        <v>-285974.9352880505</v>
      </c>
      <c r="F106" s="362">
        <f t="shared" si="11"/>
        <v>-0.5120606475441809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661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636</v>
      </c>
      <c r="C109" s="361">
        <f>C83+C98</f>
        <v>3222487</v>
      </c>
      <c r="D109" s="361">
        <f>LN_IC1+LN_IC14</f>
        <v>3911673</v>
      </c>
      <c r="E109" s="361">
        <f>D109-C109</f>
        <v>689186</v>
      </c>
      <c r="F109" s="362">
        <f>IF(C109=0,0,E109/C109)</f>
        <v>0.21386773631670197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637</v>
      </c>
      <c r="C110" s="361">
        <f>C84+C99</f>
        <v>250966</v>
      </c>
      <c r="D110" s="361">
        <f>LN_IC2+LN_IC15</f>
        <v>680119</v>
      </c>
      <c r="E110" s="361">
        <f>D110-C110</f>
        <v>429153</v>
      </c>
      <c r="F110" s="362">
        <f>IF(C110=0,0,E110/C110)</f>
        <v>1.7100045424479811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638</v>
      </c>
      <c r="C111" s="361">
        <f>C109-C110</f>
        <v>2971521</v>
      </c>
      <c r="D111" s="361">
        <f>LN_IC23-LN_IC24</f>
        <v>3231554</v>
      </c>
      <c r="E111" s="361">
        <f>D111-C111</f>
        <v>260033</v>
      </c>
      <c r="F111" s="362">
        <f>IF(C111=0,0,E111/C111)</f>
        <v>8.7508383753639965E-2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647</v>
      </c>
      <c r="C113" s="361">
        <f>C92+C106</f>
        <v>1031038.3531800957</v>
      </c>
      <c r="D113" s="361">
        <f>LN_IC10+LN_IC22</f>
        <v>743621.4873807535</v>
      </c>
      <c r="E113" s="361">
        <f>D113-C113</f>
        <v>-287416.86579934217</v>
      </c>
      <c r="F113" s="362">
        <f>IF(C113=0,0,E113/C113)</f>
        <v>-0.27876447555306205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333</v>
      </c>
      <c r="B115" s="356" t="s">
        <v>662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663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620</v>
      </c>
      <c r="C118" s="361">
        <v>3259950</v>
      </c>
      <c r="D118" s="361">
        <v>2952316</v>
      </c>
      <c r="E118" s="361">
        <f t="shared" ref="E118:E130" si="12">D118-C118</f>
        <v>-307634</v>
      </c>
      <c r="F118" s="362">
        <f t="shared" ref="F118:F130" si="13">IF(C118=0,0,E118/C118)</f>
        <v>-9.4367705026150703E-2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621</v>
      </c>
      <c r="C119" s="361">
        <v>1005381</v>
      </c>
      <c r="D119" s="361">
        <v>791153</v>
      </c>
      <c r="E119" s="361">
        <f t="shared" si="12"/>
        <v>-214228</v>
      </c>
      <c r="F119" s="362">
        <f t="shared" si="13"/>
        <v>-0.21308140893850191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622</v>
      </c>
      <c r="C120" s="366">
        <f>IF(C118=0,0,C119/C118)</f>
        <v>0.30840380987438459</v>
      </c>
      <c r="D120" s="366">
        <f>IF(LN_ID1=0,0,LN_1D2/LN_ID1)</f>
        <v>0.26797707291495898</v>
      </c>
      <c r="E120" s="367">
        <f t="shared" si="12"/>
        <v>-4.0426736959425613E-2</v>
      </c>
      <c r="F120" s="362">
        <f t="shared" si="13"/>
        <v>-0.13108377933428175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223</v>
      </c>
      <c r="D121" s="369">
        <v>194</v>
      </c>
      <c r="E121" s="369">
        <f t="shared" si="12"/>
        <v>-29</v>
      </c>
      <c r="F121" s="362">
        <f t="shared" si="13"/>
        <v>-0.13004484304932734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623</v>
      </c>
      <c r="C122" s="372">
        <v>0.84930000000000005</v>
      </c>
      <c r="D122" s="372">
        <v>0.94869999999999999</v>
      </c>
      <c r="E122" s="373">
        <f t="shared" si="12"/>
        <v>9.9399999999999933E-2</v>
      </c>
      <c r="F122" s="362">
        <f t="shared" si="13"/>
        <v>0.11703756034381246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624</v>
      </c>
      <c r="C123" s="376">
        <f>C121*C122</f>
        <v>189.3939</v>
      </c>
      <c r="D123" s="376">
        <f>LN_ID4*LN_ID5</f>
        <v>184.0478</v>
      </c>
      <c r="E123" s="376">
        <f t="shared" si="12"/>
        <v>-5.346100000000007</v>
      </c>
      <c r="F123" s="362">
        <f t="shared" si="13"/>
        <v>-2.8227413871302121E-2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625</v>
      </c>
      <c r="C124" s="378">
        <f>IF(C123=0,0,C119/C123)</f>
        <v>5308.4127841498594</v>
      </c>
      <c r="D124" s="378">
        <f>IF(LN_ID6=0,0,LN_1D2/LN_ID6)</f>
        <v>4298.6278564590284</v>
      </c>
      <c r="E124" s="378">
        <f t="shared" si="12"/>
        <v>-1009.784927690831</v>
      </c>
      <c r="F124" s="362">
        <f t="shared" si="13"/>
        <v>-0.19022351289370343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664</v>
      </c>
      <c r="C125" s="378">
        <f>C48-C124</f>
        <v>3595.8457023412248</v>
      </c>
      <c r="D125" s="378">
        <f>LN_IB7-LN_ID7</f>
        <v>2818.0986913611287</v>
      </c>
      <c r="E125" s="378">
        <f t="shared" si="12"/>
        <v>-777.74701098009609</v>
      </c>
      <c r="F125" s="362">
        <f t="shared" si="13"/>
        <v>-0.21629042939014642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665</v>
      </c>
      <c r="C126" s="378">
        <f>C21-C124</f>
        <v>4131.7271162418419</v>
      </c>
      <c r="D126" s="378">
        <f>LN_IA7-LN_ID7</f>
        <v>5182.2740272590272</v>
      </c>
      <c r="E126" s="378">
        <f t="shared" si="12"/>
        <v>1050.5469110171853</v>
      </c>
      <c r="F126" s="362">
        <f t="shared" si="13"/>
        <v>0.25426338222761119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642</v>
      </c>
      <c r="C127" s="391">
        <f>C126*C123</f>
        <v>782523.91228079575</v>
      </c>
      <c r="D127" s="391">
        <f>LN_ID9*LN_ID6</f>
        <v>953786.13371416391</v>
      </c>
      <c r="E127" s="391">
        <f t="shared" si="12"/>
        <v>171262.22143336816</v>
      </c>
      <c r="F127" s="362">
        <f t="shared" si="13"/>
        <v>0.21885877063385323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762</v>
      </c>
      <c r="D128" s="369">
        <v>602</v>
      </c>
      <c r="E128" s="369">
        <f t="shared" si="12"/>
        <v>-160</v>
      </c>
      <c r="F128" s="362">
        <f t="shared" si="13"/>
        <v>-0.20997375328083989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626</v>
      </c>
      <c r="C129" s="378">
        <f>IF(C128=0,0,C119/C128)</f>
        <v>1319.3976377952756</v>
      </c>
      <c r="D129" s="378">
        <f>IF(LN_ID11=0,0,LN_1D2/LN_ID11)</f>
        <v>1314.2076411960134</v>
      </c>
      <c r="E129" s="378">
        <f t="shared" si="12"/>
        <v>-5.1899965992622583</v>
      </c>
      <c r="F129" s="362">
        <f t="shared" si="13"/>
        <v>-3.9336106497316345E-3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627</v>
      </c>
      <c r="C130" s="379">
        <f>IF(C121=0,0,C128/C121)</f>
        <v>3.4170403587443947</v>
      </c>
      <c r="D130" s="379">
        <f>IF(LN_ID4=0,0,LN_ID11/LN_ID4)</f>
        <v>3.1030927835051547</v>
      </c>
      <c r="E130" s="379">
        <f t="shared" si="12"/>
        <v>-0.31394757523924</v>
      </c>
      <c r="F130" s="362">
        <f t="shared" si="13"/>
        <v>-9.1877046297047918E-2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666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629</v>
      </c>
      <c r="C133" s="361">
        <v>3851898</v>
      </c>
      <c r="D133" s="361">
        <v>5112045</v>
      </c>
      <c r="E133" s="361">
        <f t="shared" ref="E133:E141" si="14">D133-C133</f>
        <v>1260147</v>
      </c>
      <c r="F133" s="362">
        <f t="shared" ref="F133:F141" si="15">IF(C133=0,0,E133/C133)</f>
        <v>0.32714962857271923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630</v>
      </c>
      <c r="C134" s="361">
        <v>932748</v>
      </c>
      <c r="D134" s="361">
        <v>1211754</v>
      </c>
      <c r="E134" s="361">
        <f t="shared" si="14"/>
        <v>279006</v>
      </c>
      <c r="F134" s="362">
        <f t="shared" si="15"/>
        <v>0.29912259259735746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631</v>
      </c>
      <c r="C135" s="366">
        <f>IF(C133=0,0,C134/C133)</f>
        <v>0.24215282959206086</v>
      </c>
      <c r="D135" s="366">
        <f>IF(LN_ID14=0,0,LN_ID15/LN_ID14)</f>
        <v>0.23703899320135094</v>
      </c>
      <c r="E135" s="367">
        <f t="shared" si="14"/>
        <v>-5.1138363907099194E-3</v>
      </c>
      <c r="F135" s="362">
        <f t="shared" si="15"/>
        <v>-2.1118218603205535E-2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632</v>
      </c>
      <c r="C136" s="366">
        <f>IF(C118=0,0,C133/C118)</f>
        <v>1.181581926103161</v>
      </c>
      <c r="D136" s="366">
        <f>IF(LN_ID1=0,0,LN_ID14/LN_ID1)</f>
        <v>1.7315372067217736</v>
      </c>
      <c r="E136" s="367">
        <f t="shared" si="14"/>
        <v>0.54995528061861254</v>
      </c>
      <c r="F136" s="362">
        <f t="shared" si="15"/>
        <v>0.46543982136926937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633</v>
      </c>
      <c r="C137" s="376">
        <f>C136*C121</f>
        <v>263.4927695210049</v>
      </c>
      <c r="D137" s="376">
        <f>LN_ID17*LN_ID4</f>
        <v>335.91821810402405</v>
      </c>
      <c r="E137" s="376">
        <f t="shared" si="14"/>
        <v>72.425448583019147</v>
      </c>
      <c r="F137" s="362">
        <f t="shared" si="15"/>
        <v>0.27486692980106842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634</v>
      </c>
      <c r="C138" s="378">
        <f>IF(C137=0,0,C134/C137)</f>
        <v>3539.937743626183</v>
      </c>
      <c r="D138" s="378">
        <f>IF(LN_ID18=0,0,LN_ID15/LN_ID18)</f>
        <v>3607.2887229496891</v>
      </c>
      <c r="E138" s="378">
        <f t="shared" si="14"/>
        <v>67.350979323506181</v>
      </c>
      <c r="F138" s="362">
        <f t="shared" si="15"/>
        <v>1.9026034976116359E-2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667</v>
      </c>
      <c r="C139" s="378">
        <f>C61-C138</f>
        <v>4871.3098831833349</v>
      </c>
      <c r="D139" s="378">
        <f>LN_IB18-LN_ID19</f>
        <v>3896.4726766145122</v>
      </c>
      <c r="E139" s="378">
        <f t="shared" si="14"/>
        <v>-974.83720656882269</v>
      </c>
      <c r="F139" s="362">
        <f t="shared" si="15"/>
        <v>-0.20011808526781297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668</v>
      </c>
      <c r="C140" s="378">
        <f>C32-C138</f>
        <v>1864.0217905845975</v>
      </c>
      <c r="D140" s="378">
        <f>LN_IA16-LN_ID19</f>
        <v>1687.4479279345869</v>
      </c>
      <c r="E140" s="378">
        <f t="shared" si="14"/>
        <v>-176.5738626500106</v>
      </c>
      <c r="F140" s="362">
        <f t="shared" si="15"/>
        <v>-9.4727359702502845E-2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645</v>
      </c>
      <c r="C141" s="353">
        <f>C140*C137</f>
        <v>491156.26404863823</v>
      </c>
      <c r="D141" s="353">
        <f>LN_ID21*LN_ID18</f>
        <v>566844.50109511404</v>
      </c>
      <c r="E141" s="353">
        <f t="shared" si="14"/>
        <v>75688.237046475813</v>
      </c>
      <c r="F141" s="362">
        <f t="shared" si="15"/>
        <v>0.15410215156897716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669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636</v>
      </c>
      <c r="C144" s="361">
        <f>C118+C133</f>
        <v>7111848</v>
      </c>
      <c r="D144" s="361">
        <f>LN_ID1+LN_ID14</f>
        <v>8064361</v>
      </c>
      <c r="E144" s="361">
        <f>D144-C144</f>
        <v>952513</v>
      </c>
      <c r="F144" s="362">
        <f>IF(C144=0,0,E144/C144)</f>
        <v>0.13393326179074694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637</v>
      </c>
      <c r="C145" s="361">
        <f>C119+C134</f>
        <v>1938129</v>
      </c>
      <c r="D145" s="361">
        <f>LN_1D2+LN_ID15</f>
        <v>2002907</v>
      </c>
      <c r="E145" s="361">
        <f>D145-C145</f>
        <v>64778</v>
      </c>
      <c r="F145" s="362">
        <f>IF(C145=0,0,E145/C145)</f>
        <v>3.342295585071995E-2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638</v>
      </c>
      <c r="C146" s="361">
        <f>C144-C145</f>
        <v>5173719</v>
      </c>
      <c r="D146" s="361">
        <f>LN_ID23-LN_ID24</f>
        <v>6061454</v>
      </c>
      <c r="E146" s="361">
        <f>D146-C146</f>
        <v>887735</v>
      </c>
      <c r="F146" s="362">
        <f>IF(C146=0,0,E146/C146)</f>
        <v>0.17158546878947234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647</v>
      </c>
      <c r="C148" s="361">
        <f>C127+C141</f>
        <v>1273680.1763294339</v>
      </c>
      <c r="D148" s="361">
        <f>LN_ID10+LN_ID22</f>
        <v>1520630.634809278</v>
      </c>
      <c r="E148" s="361">
        <f>D148-C148</f>
        <v>246950.45847984403</v>
      </c>
      <c r="F148" s="415">
        <f>IF(C148=0,0,E148/C148)</f>
        <v>0.19388733770790115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354</v>
      </c>
      <c r="B150" s="356" t="s">
        <v>670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671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620</v>
      </c>
      <c r="C153" s="361">
        <v>2271146</v>
      </c>
      <c r="D153" s="361">
        <v>2591672</v>
      </c>
      <c r="E153" s="361">
        <f t="shared" ref="E153:E165" si="16">D153-C153</f>
        <v>320526</v>
      </c>
      <c r="F153" s="362">
        <f t="shared" ref="F153:F165" si="17">IF(C153=0,0,E153/C153)</f>
        <v>0.14112963235300593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621</v>
      </c>
      <c r="C154" s="361">
        <v>760368</v>
      </c>
      <c r="D154" s="361">
        <v>743895</v>
      </c>
      <c r="E154" s="361">
        <f t="shared" si="16"/>
        <v>-16473</v>
      </c>
      <c r="F154" s="362">
        <f t="shared" si="17"/>
        <v>-2.1664509816299474E-2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622</v>
      </c>
      <c r="C155" s="366">
        <f>IF(C153=0,0,C154/C153)</f>
        <v>0.33479485686961563</v>
      </c>
      <c r="D155" s="366">
        <f>IF(LN_IE1=0,0,LN_IE2/LN_IE1)</f>
        <v>0.28703284983593602</v>
      </c>
      <c r="E155" s="367">
        <f t="shared" si="16"/>
        <v>-4.776200703367961E-2</v>
      </c>
      <c r="F155" s="362">
        <f t="shared" si="17"/>
        <v>-0.14266051599556176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148</v>
      </c>
      <c r="D156" s="419">
        <v>183</v>
      </c>
      <c r="E156" s="419">
        <f t="shared" si="16"/>
        <v>35</v>
      </c>
      <c r="F156" s="362">
        <f t="shared" si="17"/>
        <v>0.23648648648648649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623</v>
      </c>
      <c r="C157" s="372">
        <v>0.95279999999999998</v>
      </c>
      <c r="D157" s="372">
        <v>0.90800000000000003</v>
      </c>
      <c r="E157" s="373">
        <f t="shared" si="16"/>
        <v>-4.4799999999999951E-2</v>
      </c>
      <c r="F157" s="362">
        <f t="shared" si="17"/>
        <v>-4.7019311502938657E-2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624</v>
      </c>
      <c r="C158" s="376">
        <f>C156*C157</f>
        <v>141.01439999999999</v>
      </c>
      <c r="D158" s="376">
        <f>LN_IE4*LN_IE5</f>
        <v>166.16400000000002</v>
      </c>
      <c r="E158" s="376">
        <f t="shared" si="16"/>
        <v>25.149600000000021</v>
      </c>
      <c r="F158" s="362">
        <f t="shared" si="17"/>
        <v>0.17834774320920432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625</v>
      </c>
      <c r="C159" s="378">
        <f>IF(C158=0,0,C154/C158)</f>
        <v>5392.1301654299141</v>
      </c>
      <c r="D159" s="378">
        <f>IF(LN_IE6=0,0,LN_IE2/LN_IE6)</f>
        <v>4476.8722466960344</v>
      </c>
      <c r="E159" s="378">
        <f t="shared" si="16"/>
        <v>-915.25791873387971</v>
      </c>
      <c r="F159" s="362">
        <f t="shared" si="17"/>
        <v>-0.16973958169663478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672</v>
      </c>
      <c r="C160" s="378">
        <f>C48-C159</f>
        <v>3512.12832106117</v>
      </c>
      <c r="D160" s="378">
        <f>LN_IB7-LN_IE7</f>
        <v>2639.8543011241227</v>
      </c>
      <c r="E160" s="378">
        <f t="shared" si="16"/>
        <v>-872.27401993704734</v>
      </c>
      <c r="F160" s="362">
        <f t="shared" si="17"/>
        <v>-0.2483605210852588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673</v>
      </c>
      <c r="C161" s="378">
        <f>C21-C159</f>
        <v>4048.0097349617872</v>
      </c>
      <c r="D161" s="378">
        <f>LN_IA7-LN_IE7</f>
        <v>5004.0296370220212</v>
      </c>
      <c r="E161" s="378">
        <f t="shared" si="16"/>
        <v>956.01990206023402</v>
      </c>
      <c r="F161" s="362">
        <f t="shared" si="17"/>
        <v>0.23617035646018741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642</v>
      </c>
      <c r="C162" s="391">
        <f>C161*C158</f>
        <v>570827.66396979545</v>
      </c>
      <c r="D162" s="391">
        <f>LN_IE9*LN_IE6</f>
        <v>831489.58060612716</v>
      </c>
      <c r="E162" s="391">
        <f t="shared" si="16"/>
        <v>260661.91663633171</v>
      </c>
      <c r="F162" s="362">
        <f t="shared" si="17"/>
        <v>0.45663854975697932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490</v>
      </c>
      <c r="D163" s="369">
        <v>552</v>
      </c>
      <c r="E163" s="419">
        <f t="shared" si="16"/>
        <v>62</v>
      </c>
      <c r="F163" s="362">
        <f t="shared" si="17"/>
        <v>0.12653061224489795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626</v>
      </c>
      <c r="C164" s="378">
        <f>IF(C163=0,0,C154/C163)</f>
        <v>1551.7714285714285</v>
      </c>
      <c r="D164" s="378">
        <f>IF(LN_IE11=0,0,LN_IE2/LN_IE11)</f>
        <v>1347.6358695652175</v>
      </c>
      <c r="E164" s="378">
        <f t="shared" si="16"/>
        <v>-204.135559006211</v>
      </c>
      <c r="F164" s="362">
        <f t="shared" si="17"/>
        <v>-0.13155001777171502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627</v>
      </c>
      <c r="C165" s="379">
        <f>IF(C156=0,0,C163/C156)</f>
        <v>3.310810810810811</v>
      </c>
      <c r="D165" s="379">
        <f>IF(LN_IE4=0,0,LN_IE11/LN_IE4)</f>
        <v>3.0163934426229506</v>
      </c>
      <c r="E165" s="379">
        <f t="shared" si="16"/>
        <v>-0.29441736818786035</v>
      </c>
      <c r="F165" s="362">
        <f t="shared" si="17"/>
        <v>-8.8926062228170066E-2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674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629</v>
      </c>
      <c r="C168" s="424">
        <v>2518791</v>
      </c>
      <c r="D168" s="424">
        <v>3504293</v>
      </c>
      <c r="E168" s="424">
        <f t="shared" ref="E168:E176" si="18">D168-C168</f>
        <v>985502</v>
      </c>
      <c r="F168" s="362">
        <f t="shared" ref="F168:F176" si="19">IF(C168=0,0,E168/C168)</f>
        <v>0.39125993383333513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630</v>
      </c>
      <c r="C169" s="424">
        <v>347112</v>
      </c>
      <c r="D169" s="424">
        <v>522404</v>
      </c>
      <c r="E169" s="424">
        <f t="shared" si="18"/>
        <v>175292</v>
      </c>
      <c r="F169" s="362">
        <f t="shared" si="19"/>
        <v>0.50500126760238773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631</v>
      </c>
      <c r="C170" s="366">
        <f>IF(C168=0,0,C169/C168)</f>
        <v>0.13780897263806327</v>
      </c>
      <c r="D170" s="366">
        <f>IF(LN_IE14=0,0,LN_IE15/LN_IE14)</f>
        <v>0.14907543404618279</v>
      </c>
      <c r="E170" s="367">
        <f t="shared" si="18"/>
        <v>1.1266461408119516E-2</v>
      </c>
      <c r="F170" s="362">
        <f t="shared" si="19"/>
        <v>8.175419344943062E-2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632</v>
      </c>
      <c r="C171" s="366">
        <f>IF(C153=0,0,C168/C153)</f>
        <v>1.1090396654376249</v>
      </c>
      <c r="D171" s="366">
        <f>IF(LN_IE1=0,0,LN_IE14/LN_IE1)</f>
        <v>1.3521359956043821</v>
      </c>
      <c r="E171" s="367">
        <f t="shared" si="18"/>
        <v>0.24309633016675725</v>
      </c>
      <c r="F171" s="362">
        <f t="shared" si="19"/>
        <v>0.21919534327100187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633</v>
      </c>
      <c r="C172" s="376">
        <f>C171*C156</f>
        <v>164.13787048476848</v>
      </c>
      <c r="D172" s="376">
        <f>LN_IE17*LN_IE4</f>
        <v>247.44088719560193</v>
      </c>
      <c r="E172" s="376">
        <f t="shared" si="18"/>
        <v>83.303016710833447</v>
      </c>
      <c r="F172" s="362">
        <f t="shared" si="19"/>
        <v>0.50751856634184689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634</v>
      </c>
      <c r="C173" s="378">
        <f>IF(C172=0,0,C169/C172)</f>
        <v>2114.7587633178841</v>
      </c>
      <c r="D173" s="378">
        <f>IF(LN_IE18=0,0,LN_IE15/LN_IE18)</f>
        <v>2111.2274770783529</v>
      </c>
      <c r="E173" s="378">
        <f t="shared" si="18"/>
        <v>-3.531286239531255</v>
      </c>
      <c r="F173" s="362">
        <f t="shared" si="19"/>
        <v>-1.6698293445021382E-3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675</v>
      </c>
      <c r="C174" s="378">
        <f>C61-C173</f>
        <v>6296.4888634916333</v>
      </c>
      <c r="D174" s="378">
        <f>LN_IB18-LN_IE19</f>
        <v>5392.533922485849</v>
      </c>
      <c r="E174" s="378">
        <f t="shared" si="18"/>
        <v>-903.95494100578435</v>
      </c>
      <c r="F174" s="362">
        <f t="shared" si="19"/>
        <v>-0.14356492334118229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676</v>
      </c>
      <c r="C175" s="378">
        <f>C32-C173</f>
        <v>3289.2007708928963</v>
      </c>
      <c r="D175" s="378">
        <f>LN_IA16-LN_IE19</f>
        <v>3183.5091738059232</v>
      </c>
      <c r="E175" s="378">
        <f t="shared" si="18"/>
        <v>-105.69159708697316</v>
      </c>
      <c r="F175" s="362">
        <f t="shared" si="19"/>
        <v>-3.2132911442277756E-2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645</v>
      </c>
      <c r="C176" s="353">
        <f>C175*C172</f>
        <v>539882.41013121884</v>
      </c>
      <c r="D176" s="353">
        <f>LN_IE21*LN_IE18</f>
        <v>787730.33436187531</v>
      </c>
      <c r="E176" s="353">
        <f t="shared" si="18"/>
        <v>247847.92423065647</v>
      </c>
      <c r="F176" s="362">
        <f t="shared" si="19"/>
        <v>0.45907760575199485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677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636</v>
      </c>
      <c r="C179" s="361">
        <f>C153+C168</f>
        <v>4789937</v>
      </c>
      <c r="D179" s="361">
        <f>LN_IE1+LN_IE14</f>
        <v>6095965</v>
      </c>
      <c r="E179" s="361">
        <f>D179-C179</f>
        <v>1306028</v>
      </c>
      <c r="F179" s="362">
        <f>IF(C179=0,0,E179/C179)</f>
        <v>0.27266078864920351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637</v>
      </c>
      <c r="C180" s="361">
        <f>C154+C169</f>
        <v>1107480</v>
      </c>
      <c r="D180" s="361">
        <f>LN_IE15+LN_IE2</f>
        <v>1266299</v>
      </c>
      <c r="E180" s="361">
        <f>D180-C180</f>
        <v>158819</v>
      </c>
      <c r="F180" s="362">
        <f>IF(C180=0,0,E180/C180)</f>
        <v>0.1434057499909705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638</v>
      </c>
      <c r="C181" s="361">
        <f>C179-C180</f>
        <v>3682457</v>
      </c>
      <c r="D181" s="361">
        <f>LN_IE23-LN_IE24</f>
        <v>4829666</v>
      </c>
      <c r="E181" s="361">
        <f>D181-C181</f>
        <v>1147209</v>
      </c>
      <c r="F181" s="362">
        <f>IF(C181=0,0,E181/C181)</f>
        <v>0.31153357663103737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678</v>
      </c>
      <c r="C183" s="361">
        <f>C162+C176</f>
        <v>1110710.0741010143</v>
      </c>
      <c r="D183" s="361">
        <f>LN_IE10+LN_IE22</f>
        <v>1619219.9149680026</v>
      </c>
      <c r="E183" s="353">
        <f>D183-C183</f>
        <v>508509.84086698829</v>
      </c>
      <c r="F183" s="362">
        <f>IF(C183=0,0,E183/C183)</f>
        <v>0.45782410074795227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366</v>
      </c>
      <c r="B185" s="356" t="s">
        <v>679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680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620</v>
      </c>
      <c r="C188" s="361">
        <f>C118+C153</f>
        <v>5531096</v>
      </c>
      <c r="D188" s="361">
        <f>LN_ID1+LN_IE1</f>
        <v>5543988</v>
      </c>
      <c r="E188" s="361">
        <f t="shared" ref="E188:E200" si="20">D188-C188</f>
        <v>12892</v>
      </c>
      <c r="F188" s="362">
        <f t="shared" ref="F188:F200" si="21">IF(C188=0,0,E188/C188)</f>
        <v>2.3308219564440753E-3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621</v>
      </c>
      <c r="C189" s="361">
        <f>C119+C154</f>
        <v>1765749</v>
      </c>
      <c r="D189" s="361">
        <f>LN_1D2+LN_IE2</f>
        <v>1535048</v>
      </c>
      <c r="E189" s="361">
        <f t="shared" si="20"/>
        <v>-230701</v>
      </c>
      <c r="F189" s="362">
        <f t="shared" si="21"/>
        <v>-0.13065333747888289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622</v>
      </c>
      <c r="C190" s="366">
        <f>IF(C188=0,0,C189/C188)</f>
        <v>0.31924034585550493</v>
      </c>
      <c r="D190" s="366">
        <f>IF(LN_IF1=0,0,LN_IF2/LN_IF1)</f>
        <v>0.27688515920308632</v>
      </c>
      <c r="E190" s="367">
        <f t="shared" si="20"/>
        <v>-4.2355186652418608E-2</v>
      </c>
      <c r="F190" s="362">
        <f t="shared" si="21"/>
        <v>-0.13267491782379373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371</v>
      </c>
      <c r="D191" s="369">
        <f>LN_ID4+LN_IE4</f>
        <v>377</v>
      </c>
      <c r="E191" s="369">
        <f t="shared" si="20"/>
        <v>6</v>
      </c>
      <c r="F191" s="362">
        <f t="shared" si="21"/>
        <v>1.6172506738544475E-2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623</v>
      </c>
      <c r="C192" s="372">
        <f>IF((C121+C156)=0,0,(C123+C158)/(C121+C156))</f>
        <v>0.89058840970350406</v>
      </c>
      <c r="D192" s="372">
        <f>IF((LN_ID4+LN_IE4)=0,0,(LN_ID6+LN_IE6)/(LN_ID4+LN_IE4))</f>
        <v>0.9289437665782494</v>
      </c>
      <c r="E192" s="373">
        <f t="shared" si="20"/>
        <v>3.8355356874745339E-2</v>
      </c>
      <c r="F192" s="362">
        <f t="shared" si="21"/>
        <v>4.306743323497176E-2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624</v>
      </c>
      <c r="C193" s="376">
        <f>C123+C158</f>
        <v>330.4083</v>
      </c>
      <c r="D193" s="376">
        <f>LN_IF4*LN_IF5</f>
        <v>350.21180000000004</v>
      </c>
      <c r="E193" s="376">
        <f t="shared" si="20"/>
        <v>19.803500000000042</v>
      </c>
      <c r="F193" s="362">
        <f t="shared" si="21"/>
        <v>5.9936448327720708E-2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625</v>
      </c>
      <c r="C194" s="378">
        <f>IF(C193=0,0,C189/C193)</f>
        <v>5344.1423838323672</v>
      </c>
      <c r="D194" s="378">
        <f>IF(LN_IF6=0,0,LN_IF2/LN_IF6)</f>
        <v>4383.1989670250969</v>
      </c>
      <c r="E194" s="378">
        <f t="shared" si="20"/>
        <v>-960.9434168072703</v>
      </c>
      <c r="F194" s="362">
        <f t="shared" si="21"/>
        <v>-0.17981246527308334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681</v>
      </c>
      <c r="C195" s="378">
        <f>C48-C194</f>
        <v>3560.116102658717</v>
      </c>
      <c r="D195" s="378">
        <f>LN_IB7-LN_IF7</f>
        <v>2733.5275807950602</v>
      </c>
      <c r="E195" s="378">
        <f t="shared" si="20"/>
        <v>-826.58852186365675</v>
      </c>
      <c r="F195" s="362">
        <f t="shared" si="21"/>
        <v>-0.23218021492230415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682</v>
      </c>
      <c r="C196" s="378">
        <f>C21-C194</f>
        <v>4095.9975165593341</v>
      </c>
      <c r="D196" s="378">
        <f>LN_IA7-LN_IF7</f>
        <v>5097.7029166929588</v>
      </c>
      <c r="E196" s="378">
        <f t="shared" si="20"/>
        <v>1001.7054001336246</v>
      </c>
      <c r="F196" s="362">
        <f t="shared" si="21"/>
        <v>0.24455713073162796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642</v>
      </c>
      <c r="C197" s="391">
        <f>C127+C162</f>
        <v>1353351.5762505913</v>
      </c>
      <c r="D197" s="391">
        <f>LN_IF9*LN_IF6</f>
        <v>1785275.7143202913</v>
      </c>
      <c r="E197" s="391">
        <f t="shared" si="20"/>
        <v>431924.13806969998</v>
      </c>
      <c r="F197" s="362">
        <f t="shared" si="21"/>
        <v>0.31915146488862062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1252</v>
      </c>
      <c r="D198" s="369">
        <f>LN_ID11+LN_IE11</f>
        <v>1154</v>
      </c>
      <c r="E198" s="369">
        <f t="shared" si="20"/>
        <v>-98</v>
      </c>
      <c r="F198" s="362">
        <f t="shared" si="21"/>
        <v>-7.8274760383386585E-2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626</v>
      </c>
      <c r="C199" s="432">
        <f>IF(C198=0,0,C189/C198)</f>
        <v>1410.3426517571886</v>
      </c>
      <c r="D199" s="432">
        <f>IF(LN_IF11=0,0,LN_IF2/LN_IF11)</f>
        <v>1330.1975736568459</v>
      </c>
      <c r="E199" s="432">
        <f t="shared" si="20"/>
        <v>-80.145078100342744</v>
      </c>
      <c r="F199" s="362">
        <f t="shared" si="21"/>
        <v>-5.6826671164264632E-2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627</v>
      </c>
      <c r="C200" s="379">
        <f>IF(C191=0,0,C198/C191)</f>
        <v>3.3746630727762805</v>
      </c>
      <c r="D200" s="379">
        <f>IF(LN_IF4=0,0,LN_IF11/LN_IF4)</f>
        <v>3.0610079575596818</v>
      </c>
      <c r="E200" s="379">
        <f t="shared" si="20"/>
        <v>-0.31365511521659872</v>
      </c>
      <c r="F200" s="362">
        <f t="shared" si="21"/>
        <v>-9.2944127592139075E-2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683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629</v>
      </c>
      <c r="C203" s="361">
        <f>C133+C168</f>
        <v>6370689</v>
      </c>
      <c r="D203" s="361">
        <f>LN_ID14+LN_IE14</f>
        <v>8616338</v>
      </c>
      <c r="E203" s="361">
        <f t="shared" ref="E203:E211" si="22">D203-C203</f>
        <v>2245649</v>
      </c>
      <c r="F203" s="362">
        <f t="shared" ref="F203:F211" si="23">IF(C203=0,0,E203/C203)</f>
        <v>0.3524970376045668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630</v>
      </c>
      <c r="C204" s="361">
        <f>C134+C169</f>
        <v>1279860</v>
      </c>
      <c r="D204" s="361">
        <f>LN_ID15+LN_IE15</f>
        <v>1734158</v>
      </c>
      <c r="E204" s="361">
        <f t="shared" si="22"/>
        <v>454298</v>
      </c>
      <c r="F204" s="362">
        <f t="shared" si="23"/>
        <v>0.354959136155517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631</v>
      </c>
      <c r="C205" s="366">
        <f>IF(C203=0,0,C204/C203)</f>
        <v>0.200898207399545</v>
      </c>
      <c r="D205" s="366">
        <f>IF(LN_IF14=0,0,LN_IF15/LN_IF14)</f>
        <v>0.20126392441893529</v>
      </c>
      <c r="E205" s="367">
        <f t="shared" si="22"/>
        <v>3.6571701939028256E-4</v>
      </c>
      <c r="F205" s="362">
        <f t="shared" si="23"/>
        <v>1.8204095702205397E-3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632</v>
      </c>
      <c r="C206" s="366">
        <f>IF(C188=0,0,C203/C188)</f>
        <v>1.1517950511074115</v>
      </c>
      <c r="D206" s="366">
        <f>IF(LN_IF1=0,0,LN_IF14/LN_IF1)</f>
        <v>1.5541768849427524</v>
      </c>
      <c r="E206" s="367">
        <f t="shared" si="22"/>
        <v>0.40238183383534087</v>
      </c>
      <c r="F206" s="362">
        <f t="shared" si="23"/>
        <v>0.34935193847938878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633</v>
      </c>
      <c r="C207" s="376">
        <f>C137+C172</f>
        <v>427.63064000577339</v>
      </c>
      <c r="D207" s="376">
        <f>LN_ID18+LN_IE18</f>
        <v>583.35910529962598</v>
      </c>
      <c r="E207" s="376">
        <f t="shared" si="22"/>
        <v>155.72846529385259</v>
      </c>
      <c r="F207" s="362">
        <f t="shared" si="23"/>
        <v>0.36416582612450343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634</v>
      </c>
      <c r="C208" s="378">
        <f>IF(C207=0,0,C204/C207)</f>
        <v>2992.909956084346</v>
      </c>
      <c r="D208" s="378">
        <f>IF(LN_IF18=0,0,LN_IF15/LN_IF18)</f>
        <v>2972.710949817606</v>
      </c>
      <c r="E208" s="378">
        <f t="shared" si="22"/>
        <v>-20.199006266740071</v>
      </c>
      <c r="F208" s="362">
        <f t="shared" si="23"/>
        <v>-6.7489522114345972E-3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684</v>
      </c>
      <c r="C209" s="378">
        <f>C61-C208</f>
        <v>5418.3376707251718</v>
      </c>
      <c r="D209" s="378">
        <f>LN_IB18-LN_IF19</f>
        <v>4531.0504497465954</v>
      </c>
      <c r="E209" s="378">
        <f t="shared" si="22"/>
        <v>-887.28722097857644</v>
      </c>
      <c r="F209" s="362">
        <f t="shared" si="23"/>
        <v>-0.16375635386707543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685</v>
      </c>
      <c r="C210" s="378">
        <f>C32-C208</f>
        <v>2411.0495781264344</v>
      </c>
      <c r="D210" s="378">
        <f>LN_IA16-LN_IF19</f>
        <v>2322.0257010666701</v>
      </c>
      <c r="E210" s="378">
        <f t="shared" si="22"/>
        <v>-89.023877059764345</v>
      </c>
      <c r="F210" s="362">
        <f t="shared" si="23"/>
        <v>-3.692328762851179E-2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645</v>
      </c>
      <c r="C211" s="391">
        <f>C141+C176</f>
        <v>1031038.6741798571</v>
      </c>
      <c r="D211" s="353">
        <f>LN_IF21*LN_IF18</f>
        <v>1354574.8354569895</v>
      </c>
      <c r="E211" s="353">
        <f t="shared" si="22"/>
        <v>323536.16127713234</v>
      </c>
      <c r="F211" s="362">
        <f t="shared" si="23"/>
        <v>0.31379633895352194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686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636</v>
      </c>
      <c r="C214" s="361">
        <f>C188+C203</f>
        <v>11901785</v>
      </c>
      <c r="D214" s="361">
        <f>LN_IF1+LN_IF14</f>
        <v>14160326</v>
      </c>
      <c r="E214" s="361">
        <f>D214-C214</f>
        <v>2258541</v>
      </c>
      <c r="F214" s="362">
        <f>IF(C214=0,0,E214/C214)</f>
        <v>0.18976489661004631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637</v>
      </c>
      <c r="C215" s="361">
        <f>C189+C204</f>
        <v>3045609</v>
      </c>
      <c r="D215" s="361">
        <f>LN_IF2+LN_IF15</f>
        <v>3269206</v>
      </c>
      <c r="E215" s="361">
        <f>D215-C215</f>
        <v>223597</v>
      </c>
      <c r="F215" s="362">
        <f>IF(C215=0,0,E215/C215)</f>
        <v>7.3416187041737788E-2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638</v>
      </c>
      <c r="C216" s="361">
        <f>C214-C215</f>
        <v>8856176</v>
      </c>
      <c r="D216" s="361">
        <f>LN_IF23-LN_IF24</f>
        <v>10891120</v>
      </c>
      <c r="E216" s="361">
        <f>D216-C216</f>
        <v>2034944</v>
      </c>
      <c r="F216" s="362">
        <f>IF(C216=0,0,E216/C216)</f>
        <v>0.22977682467015109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378</v>
      </c>
      <c r="B218" s="356" t="s">
        <v>687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688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620</v>
      </c>
      <c r="C221" s="361">
        <v>69552</v>
      </c>
      <c r="D221" s="361">
        <v>163314</v>
      </c>
      <c r="E221" s="361">
        <f t="shared" ref="E221:E230" si="24">D221-C221</f>
        <v>93762</v>
      </c>
      <c r="F221" s="362">
        <f t="shared" ref="F221:F230" si="25">IF(C221=0,0,E221/C221)</f>
        <v>1.3480848861283643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621</v>
      </c>
      <c r="C222" s="361">
        <v>67675</v>
      </c>
      <c r="D222" s="361">
        <v>161130</v>
      </c>
      <c r="E222" s="361">
        <f t="shared" si="24"/>
        <v>93455</v>
      </c>
      <c r="F222" s="362">
        <f t="shared" si="25"/>
        <v>1.3809383080901367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622</v>
      </c>
      <c r="C223" s="366">
        <f>IF(C221=0,0,C222/C221)</f>
        <v>0.97301299746951919</v>
      </c>
      <c r="D223" s="366">
        <f>IF(LN_IG1=0,0,LN_IG2/LN_IG1)</f>
        <v>0.98662698850067965</v>
      </c>
      <c r="E223" s="367">
        <f t="shared" si="24"/>
        <v>1.3613991031160455E-2</v>
      </c>
      <c r="F223" s="362">
        <f t="shared" si="25"/>
        <v>1.3991581886948977E-2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8</v>
      </c>
      <c r="D224" s="369">
        <v>11</v>
      </c>
      <c r="E224" s="369">
        <f t="shared" si="24"/>
        <v>3</v>
      </c>
      <c r="F224" s="362">
        <f t="shared" si="25"/>
        <v>0.375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623</v>
      </c>
      <c r="C225" s="372">
        <v>0.66390000000000005</v>
      </c>
      <c r="D225" s="372">
        <v>0.77580000000000005</v>
      </c>
      <c r="E225" s="373">
        <f t="shared" si="24"/>
        <v>0.1119</v>
      </c>
      <c r="F225" s="362">
        <f t="shared" si="25"/>
        <v>0.16854948034342521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624</v>
      </c>
      <c r="C226" s="376">
        <f>C224*C225</f>
        <v>5.3112000000000004</v>
      </c>
      <c r="D226" s="376">
        <f>LN_IG3*LN_IG4</f>
        <v>8.5338000000000012</v>
      </c>
      <c r="E226" s="376">
        <f t="shared" si="24"/>
        <v>3.2226000000000008</v>
      </c>
      <c r="F226" s="362">
        <f t="shared" si="25"/>
        <v>0.60675553547220973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625</v>
      </c>
      <c r="C227" s="378">
        <f>IF(C226=0,0,C222/C226)</f>
        <v>12741.941557463473</v>
      </c>
      <c r="D227" s="378">
        <f>IF(LN_IG5=0,0,LN_IG2/LN_IG5)</f>
        <v>18881.389299022707</v>
      </c>
      <c r="E227" s="378">
        <f t="shared" si="24"/>
        <v>6139.4477415592337</v>
      </c>
      <c r="F227" s="362">
        <f t="shared" si="25"/>
        <v>0.48182984625000963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16</v>
      </c>
      <c r="D228" s="369">
        <v>29</v>
      </c>
      <c r="E228" s="369">
        <f t="shared" si="24"/>
        <v>13</v>
      </c>
      <c r="F228" s="362">
        <f t="shared" si="25"/>
        <v>0.8125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626</v>
      </c>
      <c r="C229" s="378">
        <f>IF(C228=0,0,C222/C228)</f>
        <v>4229.6875</v>
      </c>
      <c r="D229" s="378">
        <f>IF(LN_IG6=0,0,LN_IG2/LN_IG6)</f>
        <v>5556.2068965517237</v>
      </c>
      <c r="E229" s="378">
        <f t="shared" si="24"/>
        <v>1326.5193965517237</v>
      </c>
      <c r="F229" s="362">
        <f t="shared" si="25"/>
        <v>0.31362113549800635</v>
      </c>
      <c r="Q229" s="330"/>
      <c r="U229" s="375"/>
    </row>
    <row r="230" spans="1:21" ht="11.25" customHeight="1" x14ac:dyDescent="0.2">
      <c r="A230" s="364">
        <v>10</v>
      </c>
      <c r="B230" s="360" t="s">
        <v>627</v>
      </c>
      <c r="C230" s="379">
        <f>IF(C224=0,0,C228/C224)</f>
        <v>2</v>
      </c>
      <c r="D230" s="379">
        <f>IF(LN_IG3=0,0,LN_IG6/LN_IG3)</f>
        <v>2.6363636363636362</v>
      </c>
      <c r="E230" s="379">
        <f t="shared" si="24"/>
        <v>0.63636363636363624</v>
      </c>
      <c r="F230" s="362">
        <f t="shared" si="25"/>
        <v>0.31818181818181812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689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629</v>
      </c>
      <c r="C233" s="361">
        <v>140523</v>
      </c>
      <c r="D233" s="361">
        <v>200223</v>
      </c>
      <c r="E233" s="361">
        <f>D233-C233</f>
        <v>59700</v>
      </c>
      <c r="F233" s="362">
        <f>IF(C233=0,0,E233/C233)</f>
        <v>0.42484148502380392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630</v>
      </c>
      <c r="C234" s="361">
        <v>40440</v>
      </c>
      <c r="D234" s="361">
        <v>55611</v>
      </c>
      <c r="E234" s="361">
        <f>D234-C234</f>
        <v>15171</v>
      </c>
      <c r="F234" s="362">
        <f>IF(C234=0,0,E234/C234)</f>
        <v>0.37514836795252227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690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636</v>
      </c>
      <c r="C237" s="361">
        <f>C221+C233</f>
        <v>210075</v>
      </c>
      <c r="D237" s="361">
        <f>LN_IG1+LN_IG9</f>
        <v>363537</v>
      </c>
      <c r="E237" s="361">
        <f>D237-C237</f>
        <v>153462</v>
      </c>
      <c r="F237" s="362">
        <f>IF(C237=0,0,E237/C237)</f>
        <v>0.73051053195287396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637</v>
      </c>
      <c r="C238" s="361">
        <f>C222+C234</f>
        <v>108115</v>
      </c>
      <c r="D238" s="361">
        <f>LN_IG2+LN_IG10</f>
        <v>216741</v>
      </c>
      <c r="E238" s="361">
        <f>D238-C238</f>
        <v>108626</v>
      </c>
      <c r="F238" s="362">
        <f>IF(C238=0,0,E238/C238)</f>
        <v>1.004726448688896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638</v>
      </c>
      <c r="C239" s="361">
        <f>C237-C238</f>
        <v>101960</v>
      </c>
      <c r="D239" s="361">
        <f>LN_IG13-LN_IG14</f>
        <v>146796</v>
      </c>
      <c r="E239" s="361">
        <f>D239-C239</f>
        <v>44836</v>
      </c>
      <c r="F239" s="362">
        <f>IF(C239=0,0,E239/C239)</f>
        <v>0.43974107493134562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382</v>
      </c>
      <c r="B241" s="356" t="s">
        <v>691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692</v>
      </c>
      <c r="C243" s="361">
        <v>457560</v>
      </c>
      <c r="D243" s="361">
        <v>453530</v>
      </c>
      <c r="E243" s="353">
        <f>D243-C243</f>
        <v>-4030</v>
      </c>
      <c r="F243" s="415">
        <f>IF(C243=0,0,E243/C243)</f>
        <v>-8.8075880758807581E-3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693</v>
      </c>
      <c r="C244" s="361">
        <v>53061849</v>
      </c>
      <c r="D244" s="361">
        <v>51745114</v>
      </c>
      <c r="E244" s="353">
        <f>D244-C244</f>
        <v>-1316735</v>
      </c>
      <c r="F244" s="415">
        <f>IF(C244=0,0,E244/C244)</f>
        <v>-2.4815098320452422E-2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694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695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696</v>
      </c>
      <c r="C248" s="353">
        <v>942411</v>
      </c>
      <c r="D248" s="353">
        <v>760089</v>
      </c>
      <c r="E248" s="353">
        <f>D248-C248</f>
        <v>-182322</v>
      </c>
      <c r="F248" s="362">
        <f>IF(C248=0,0,E248/C248)</f>
        <v>-0.19346336152697707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697</v>
      </c>
      <c r="C249" s="353">
        <v>3537228</v>
      </c>
      <c r="D249" s="353">
        <v>2999367</v>
      </c>
      <c r="E249" s="353">
        <f>D249-C249</f>
        <v>-537861</v>
      </c>
      <c r="F249" s="362">
        <f>IF(C249=0,0,E249/C249)</f>
        <v>-0.15205720411576523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698</v>
      </c>
      <c r="C250" s="353">
        <f>C248+C249</f>
        <v>4479639</v>
      </c>
      <c r="D250" s="353">
        <f>LN_IH4+LN_IH5</f>
        <v>3759456</v>
      </c>
      <c r="E250" s="353">
        <f>D250-C250</f>
        <v>-720183</v>
      </c>
      <c r="F250" s="362">
        <f>IF(C250=0,0,E250/C250)</f>
        <v>-0.16076808867857431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699</v>
      </c>
      <c r="C251" s="353">
        <f>C250*C313</f>
        <v>1774414.1946289085</v>
      </c>
      <c r="D251" s="353">
        <f>LN_IH6*LN_III10</f>
        <v>1393212.8437099664</v>
      </c>
      <c r="E251" s="353">
        <f>D251-C251</f>
        <v>-381201.35091894213</v>
      </c>
      <c r="F251" s="362">
        <f>IF(C251=0,0,E251/C251)</f>
        <v>-0.21483222579757627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700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636</v>
      </c>
      <c r="C254" s="353">
        <f>C188+C203</f>
        <v>11901785</v>
      </c>
      <c r="D254" s="353">
        <f>LN_IF23</f>
        <v>14160326</v>
      </c>
      <c r="E254" s="353">
        <f>D254-C254</f>
        <v>2258541</v>
      </c>
      <c r="F254" s="362">
        <f>IF(C254=0,0,E254/C254)</f>
        <v>0.18976489661004631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637</v>
      </c>
      <c r="C255" s="353">
        <f>C189+C204</f>
        <v>3045609</v>
      </c>
      <c r="D255" s="353">
        <f>LN_IF24</f>
        <v>3269206</v>
      </c>
      <c r="E255" s="353">
        <f>D255-C255</f>
        <v>223597</v>
      </c>
      <c r="F255" s="362">
        <f>IF(C255=0,0,E255/C255)</f>
        <v>7.3416187041737788E-2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701</v>
      </c>
      <c r="C256" s="353">
        <f>C254*C313</f>
        <v>4714374.5836263644</v>
      </c>
      <c r="D256" s="353">
        <f>LN_IH8*LN_III10</f>
        <v>5247660.3142369995</v>
      </c>
      <c r="E256" s="353">
        <f>D256-C256</f>
        <v>533285.73061063513</v>
      </c>
      <c r="F256" s="362">
        <f>IF(C256=0,0,E256/C256)</f>
        <v>0.11311908316806343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702</v>
      </c>
      <c r="C257" s="353">
        <f>C256-C255</f>
        <v>1668765.5836263644</v>
      </c>
      <c r="D257" s="353">
        <f>LN_IH10-LN_IH9</f>
        <v>1978454.3142369995</v>
      </c>
      <c r="E257" s="353">
        <f>D257-C257</f>
        <v>309688.73061063513</v>
      </c>
      <c r="F257" s="362">
        <f>IF(C257=0,0,E257/C257)</f>
        <v>0.18557952875421613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703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704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705</v>
      </c>
      <c r="C261" s="361">
        <f>C15+C42+C188+C221</f>
        <v>56413431</v>
      </c>
      <c r="D261" s="361">
        <f>LN_IA1+LN_IB1+LN_IF1+LN_IG1</f>
        <v>55607893</v>
      </c>
      <c r="E261" s="361">
        <f t="shared" ref="E261:E274" si="26">D261-C261</f>
        <v>-805538</v>
      </c>
      <c r="F261" s="415">
        <f t="shared" ref="F261:F274" si="27">IF(C261=0,0,E261/C261)</f>
        <v>-1.4279188230901964E-2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706</v>
      </c>
      <c r="C262" s="361">
        <f>C16+C43+C189+C222</f>
        <v>26410507</v>
      </c>
      <c r="D262" s="361">
        <f>+LN_IA2+LN_IB2+LN_IF2+LN_IG2</f>
        <v>23973631</v>
      </c>
      <c r="E262" s="361">
        <f t="shared" si="26"/>
        <v>-2436876</v>
      </c>
      <c r="F262" s="415">
        <f t="shared" si="27"/>
        <v>-9.2269186653629931E-2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707</v>
      </c>
      <c r="C263" s="366">
        <f>IF(C261=0,0,C262/C261)</f>
        <v>0.46815991390419065</v>
      </c>
      <c r="D263" s="366">
        <f>IF(LN_IIA1=0,0,LN_IIA2/LN_IIA1)</f>
        <v>0.43111921179966306</v>
      </c>
      <c r="E263" s="367">
        <f t="shared" si="26"/>
        <v>-3.704070210452759E-2</v>
      </c>
      <c r="F263" s="371">
        <f t="shared" si="27"/>
        <v>-7.911976443183473E-2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708</v>
      </c>
      <c r="C264" s="369">
        <f>C18+C45+C191+C224</f>
        <v>2703</v>
      </c>
      <c r="D264" s="369">
        <f>LN_IA4+LN_IB4+LN_IF4+LN_IG3</f>
        <v>2685</v>
      </c>
      <c r="E264" s="369">
        <f t="shared" si="26"/>
        <v>-18</v>
      </c>
      <c r="F264" s="415">
        <f t="shared" si="27"/>
        <v>-6.6592674805771362E-3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709</v>
      </c>
      <c r="C265" s="439">
        <f>IF(C264=0,0,C266/C264)</f>
        <v>1.1042657417684054</v>
      </c>
      <c r="D265" s="439">
        <f>IF(LN_IIA4=0,0,LN_IIA6/LN_IIA4)</f>
        <v>1.0768874487895719</v>
      </c>
      <c r="E265" s="439">
        <f t="shared" si="26"/>
        <v>-2.7378292978833541E-2</v>
      </c>
      <c r="F265" s="415">
        <f t="shared" si="27"/>
        <v>-2.4793210495681131E-2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710</v>
      </c>
      <c r="C266" s="376">
        <f>C20+C47+C193+C226</f>
        <v>2984.8303000000001</v>
      </c>
      <c r="D266" s="376">
        <f>LN_IA6+LN_IB6+LN_IF6+LN_IG5</f>
        <v>2891.4428000000003</v>
      </c>
      <c r="E266" s="376">
        <f t="shared" si="26"/>
        <v>-93.387499999999818</v>
      </c>
      <c r="F266" s="415">
        <f t="shared" si="27"/>
        <v>-3.1287373355865428E-2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711</v>
      </c>
      <c r="C267" s="361">
        <f>C27+C56+C203+C233</f>
        <v>73329474</v>
      </c>
      <c r="D267" s="361">
        <f>LN_IA11+LN_IB13+LN_IF14+LN_IG9</f>
        <v>82823877</v>
      </c>
      <c r="E267" s="361">
        <f t="shared" si="26"/>
        <v>9494403</v>
      </c>
      <c r="F267" s="415">
        <f t="shared" si="27"/>
        <v>0.12947594578409222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632</v>
      </c>
      <c r="C268" s="366">
        <f>IF(C261=0,0,C267/C261)</f>
        <v>1.2998584326487783</v>
      </c>
      <c r="D268" s="366">
        <f>IF(LN_IIA1=0,0,LN_IIA7/LN_IIA1)</f>
        <v>1.4894266358914192</v>
      </c>
      <c r="E268" s="367">
        <f t="shared" si="26"/>
        <v>0.1895682032426409</v>
      </c>
      <c r="F268" s="371">
        <f t="shared" si="27"/>
        <v>0.14583757621693424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712</v>
      </c>
      <c r="C269" s="361">
        <f>C28+C57+C204+C234</f>
        <v>24981504</v>
      </c>
      <c r="D269" s="361">
        <f>LN_IA12+LN_IB14+LN_IF15+LN_IG10</f>
        <v>27327651</v>
      </c>
      <c r="E269" s="361">
        <f t="shared" si="26"/>
        <v>2346147</v>
      </c>
      <c r="F269" s="415">
        <f t="shared" si="27"/>
        <v>9.3915362341674871E-2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631</v>
      </c>
      <c r="C270" s="366">
        <f>IF(C267=0,0,C269/C267)</f>
        <v>0.34067480151296325</v>
      </c>
      <c r="D270" s="366">
        <f>IF(LN_IIA7=0,0,LN_IIA9/LN_IIA7)</f>
        <v>0.32994894696851729</v>
      </c>
      <c r="E270" s="367">
        <f t="shared" si="26"/>
        <v>-1.0725854544445967E-2</v>
      </c>
      <c r="F270" s="371">
        <f t="shared" si="27"/>
        <v>-3.1484144106965394E-2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713</v>
      </c>
      <c r="C271" s="353">
        <f>C261+C267</f>
        <v>129742905</v>
      </c>
      <c r="D271" s="353">
        <f>LN_IIA1+LN_IIA7</f>
        <v>138431770</v>
      </c>
      <c r="E271" s="353">
        <f t="shared" si="26"/>
        <v>8688865</v>
      </c>
      <c r="F271" s="415">
        <f t="shared" si="27"/>
        <v>6.696986629056903E-2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714</v>
      </c>
      <c r="C272" s="353">
        <f>C262+C269</f>
        <v>51392011</v>
      </c>
      <c r="D272" s="353">
        <f>LN_IIA2+LN_IIA9</f>
        <v>51301282</v>
      </c>
      <c r="E272" s="353">
        <f t="shared" si="26"/>
        <v>-90729</v>
      </c>
      <c r="F272" s="415">
        <f t="shared" si="27"/>
        <v>-1.7654300393109739E-3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715</v>
      </c>
      <c r="C273" s="366">
        <f>IF(C271=0,0,C272/C271)</f>
        <v>0.39610652312741107</v>
      </c>
      <c r="D273" s="366">
        <f>IF(LN_IIA11=0,0,LN_IIA12/LN_IIA11)</f>
        <v>0.37058893345075339</v>
      </c>
      <c r="E273" s="367">
        <f t="shared" si="26"/>
        <v>-2.5517589676657682E-2</v>
      </c>
      <c r="F273" s="371">
        <f t="shared" si="27"/>
        <v>-6.4421028654581713E-2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12355</v>
      </c>
      <c r="D274" s="421">
        <f>LN_IA8+LN_IB10+LN_IF11+LN_IG6</f>
        <v>11914</v>
      </c>
      <c r="E274" s="442">
        <f t="shared" si="26"/>
        <v>-441</v>
      </c>
      <c r="F274" s="371">
        <f t="shared" si="27"/>
        <v>-3.5694050991501414E-2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716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717</v>
      </c>
      <c r="C277" s="361">
        <f>C15+C188+C221</f>
        <v>41642051</v>
      </c>
      <c r="D277" s="361">
        <f>LN_IA1+LN_IF1+LN_IG1</f>
        <v>43251509</v>
      </c>
      <c r="E277" s="361">
        <f t="shared" ref="E277:E291" si="28">D277-C277</f>
        <v>1609458</v>
      </c>
      <c r="F277" s="415">
        <f t="shared" ref="F277:F291" si="29">IF(C277=0,0,E277/C277)</f>
        <v>3.8649825389244157E-2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718</v>
      </c>
      <c r="C278" s="361">
        <f>C16+C189+C222</f>
        <v>19250737</v>
      </c>
      <c r="D278" s="361">
        <f>LN_IA2+LN_IF2+LN_IG2</f>
        <v>18751471</v>
      </c>
      <c r="E278" s="361">
        <f t="shared" si="28"/>
        <v>-499266</v>
      </c>
      <c r="F278" s="415">
        <f t="shared" si="29"/>
        <v>-2.5934903167603402E-2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719</v>
      </c>
      <c r="C279" s="366">
        <f>IF(C277=0,0,C278/C277)</f>
        <v>0.4622907983086616</v>
      </c>
      <c r="D279" s="366">
        <f>IF(D277=0,0,LN_IIB2/D277)</f>
        <v>0.43354489666476148</v>
      </c>
      <c r="E279" s="367">
        <f t="shared" si="28"/>
        <v>-2.8745901643900118E-2</v>
      </c>
      <c r="F279" s="371">
        <f t="shared" si="29"/>
        <v>-6.218142725113706E-2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720</v>
      </c>
      <c r="C280" s="369">
        <f>C18+C191+C224</f>
        <v>1909</v>
      </c>
      <c r="D280" s="369">
        <f>LN_IA4+LN_IF4+LN_IG3</f>
        <v>1942</v>
      </c>
      <c r="E280" s="369">
        <f t="shared" si="28"/>
        <v>33</v>
      </c>
      <c r="F280" s="415">
        <f t="shared" si="29"/>
        <v>1.7286537454164485E-2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721</v>
      </c>
      <c r="C281" s="439">
        <f>IF(C280=0,0,C282/C280)</f>
        <v>1.142350183342064</v>
      </c>
      <c r="D281" s="439">
        <f>IF(LN_IIB4=0,0,LN_IIB6/LN_IIB4)</f>
        <v>1.1110484037075179</v>
      </c>
      <c r="E281" s="439">
        <f t="shared" si="28"/>
        <v>-3.1301779634546056E-2</v>
      </c>
      <c r="F281" s="415">
        <f t="shared" si="29"/>
        <v>-2.7401212072264439E-2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722</v>
      </c>
      <c r="C282" s="376">
        <f>C20+C193+C226</f>
        <v>2180.7465000000002</v>
      </c>
      <c r="D282" s="376">
        <f>LN_IA6+LN_IF6+LN_IG5</f>
        <v>2157.6559999999999</v>
      </c>
      <c r="E282" s="376">
        <f t="shared" si="28"/>
        <v>-23.090500000000247</v>
      </c>
      <c r="F282" s="415">
        <f t="shared" si="29"/>
        <v>-1.0588346696876617E-2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723</v>
      </c>
      <c r="C283" s="361">
        <f>C27+C203+C233</f>
        <v>35916017</v>
      </c>
      <c r="D283" s="361">
        <f>LN_IA11+LN_IF14+LN_IG9</f>
        <v>42665786</v>
      </c>
      <c r="E283" s="361">
        <f t="shared" si="28"/>
        <v>6749769</v>
      </c>
      <c r="F283" s="415">
        <f t="shared" si="29"/>
        <v>0.18793200259371745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724</v>
      </c>
      <c r="C284" s="366">
        <f>IF(C277=0,0,C283/C277)</f>
        <v>0.86249394872505203</v>
      </c>
      <c r="D284" s="366">
        <f>IF(D277=0,0,LN_IIB7/D277)</f>
        <v>0.98645774416795495</v>
      </c>
      <c r="E284" s="367">
        <f t="shared" si="28"/>
        <v>0.12396379544290292</v>
      </c>
      <c r="F284" s="371">
        <f t="shared" si="29"/>
        <v>0.14372714802944131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725</v>
      </c>
      <c r="C285" s="361">
        <f>C28+C204+C234</f>
        <v>8065893</v>
      </c>
      <c r="D285" s="361">
        <f>LN_IA12+LN_IF15+LN_IG10</f>
        <v>9208014</v>
      </c>
      <c r="E285" s="361">
        <f t="shared" si="28"/>
        <v>1142121</v>
      </c>
      <c r="F285" s="415">
        <f t="shared" si="29"/>
        <v>0.14159882854880421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726</v>
      </c>
      <c r="C286" s="366">
        <f>IF(C283=0,0,C285/C283)</f>
        <v>0.22457648909120406</v>
      </c>
      <c r="D286" s="366">
        <f>IF(LN_IIB7=0,0,LN_IIB9/LN_IIB7)</f>
        <v>0.21581728272860132</v>
      </c>
      <c r="E286" s="367">
        <f t="shared" si="28"/>
        <v>-8.759206362602745E-3</v>
      </c>
      <c r="F286" s="371">
        <f t="shared" si="29"/>
        <v>-3.9003220675720388E-2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727</v>
      </c>
      <c r="C287" s="353">
        <f>C277+C283</f>
        <v>77558068</v>
      </c>
      <c r="D287" s="353">
        <f>D277+LN_IIB7</f>
        <v>85917295</v>
      </c>
      <c r="E287" s="353">
        <f t="shared" si="28"/>
        <v>8359227</v>
      </c>
      <c r="F287" s="415">
        <f t="shared" si="29"/>
        <v>0.1077802376407829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728</v>
      </c>
      <c r="C288" s="353">
        <f>C278+C285</f>
        <v>27316630</v>
      </c>
      <c r="D288" s="353">
        <f>LN_IIB2+LN_IIB9</f>
        <v>27959485</v>
      </c>
      <c r="E288" s="353">
        <f t="shared" si="28"/>
        <v>642855</v>
      </c>
      <c r="F288" s="415">
        <f t="shared" si="29"/>
        <v>2.3533466609900269E-2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729</v>
      </c>
      <c r="C289" s="366">
        <f>IF(C287=0,0,C288/C287)</f>
        <v>0.35220874764441013</v>
      </c>
      <c r="D289" s="366">
        <f>IF(LN_IIB11=0,0,LN_IIB12/LN_IIB11)</f>
        <v>0.32542324569226722</v>
      </c>
      <c r="E289" s="367">
        <f t="shared" si="28"/>
        <v>-2.6785501952142909E-2</v>
      </c>
      <c r="F289" s="371">
        <f t="shared" si="29"/>
        <v>-7.605007578967217E-2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9953</v>
      </c>
      <c r="D290" s="421">
        <f>LN_IA8+LN_IF11+LN_IG6</f>
        <v>9652</v>
      </c>
      <c r="E290" s="442">
        <f t="shared" si="28"/>
        <v>-301</v>
      </c>
      <c r="F290" s="371">
        <f t="shared" si="29"/>
        <v>-3.0242138048829498E-2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730</v>
      </c>
      <c r="C291" s="361">
        <f>C287-C288</f>
        <v>50241438</v>
      </c>
      <c r="D291" s="429">
        <f>LN_IIB11-LN_IIB12</f>
        <v>57957810</v>
      </c>
      <c r="E291" s="353">
        <f t="shared" si="28"/>
        <v>7716372</v>
      </c>
      <c r="F291" s="415">
        <f t="shared" si="29"/>
        <v>0.15358581097937524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627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618</v>
      </c>
      <c r="C294" s="379">
        <f>IF(C18=0,0,C22/C18)</f>
        <v>5.6764705882352944</v>
      </c>
      <c r="D294" s="379">
        <f>IF(LN_IA4=0,0,LN_IA8/LN_IA4)</f>
        <v>5.4498069498069501</v>
      </c>
      <c r="E294" s="379">
        <f t="shared" ref="E294:E300" si="30">D294-C294</f>
        <v>-0.22666363842834425</v>
      </c>
      <c r="F294" s="415">
        <f t="shared" ref="F294:F300" si="31">IF(C294=0,0,E294/C294)</f>
        <v>-3.9930381899293807E-2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639</v>
      </c>
      <c r="C295" s="379">
        <f>IF(C45=0,0,C51/C45)</f>
        <v>3.0251889168765742</v>
      </c>
      <c r="D295" s="379">
        <f>IF(LN_IB4=0,0,(LN_IB10)/(LN_IB4))</f>
        <v>3.0444145356662182</v>
      </c>
      <c r="E295" s="379">
        <f t="shared" si="30"/>
        <v>1.9225618789644017E-2</v>
      </c>
      <c r="F295" s="415">
        <f t="shared" si="31"/>
        <v>6.3551795666017272E-3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654</v>
      </c>
      <c r="C296" s="379">
        <f>IF(C86=0,0,C93/C86)</f>
        <v>3.263157894736842</v>
      </c>
      <c r="D296" s="379">
        <f>IF(LN_IC4=0,0,LN_IC11/LN_IC4)</f>
        <v>3.7397260273972601</v>
      </c>
      <c r="E296" s="379">
        <f t="shared" si="30"/>
        <v>0.47656813266041809</v>
      </c>
      <c r="F296" s="415">
        <f t="shared" si="31"/>
        <v>0.14604507291206362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3.4170403587443947</v>
      </c>
      <c r="D297" s="379">
        <f>IF(LN_ID4=0,0,LN_ID11/LN_ID4)</f>
        <v>3.1030927835051547</v>
      </c>
      <c r="E297" s="379">
        <f t="shared" si="30"/>
        <v>-0.31394757523924</v>
      </c>
      <c r="F297" s="415">
        <f t="shared" si="31"/>
        <v>-9.1877046297047918E-2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731</v>
      </c>
      <c r="C298" s="379">
        <f>IF(C156=0,0,C163/C156)</f>
        <v>3.310810810810811</v>
      </c>
      <c r="D298" s="379">
        <f>IF(LN_IE4=0,0,LN_IE11/LN_IE4)</f>
        <v>3.0163934426229506</v>
      </c>
      <c r="E298" s="379">
        <f t="shared" si="30"/>
        <v>-0.29441736818786035</v>
      </c>
      <c r="F298" s="415">
        <f t="shared" si="31"/>
        <v>-8.8926062228170066E-2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430</v>
      </c>
      <c r="C299" s="379">
        <f>IF(C224=0,0,C228/C224)</f>
        <v>2</v>
      </c>
      <c r="D299" s="379">
        <f>IF(LN_IG3=0,0,LN_IG6/LN_IG3)</f>
        <v>2.6363636363636362</v>
      </c>
      <c r="E299" s="379">
        <f t="shared" si="30"/>
        <v>0.63636363636363624</v>
      </c>
      <c r="F299" s="415">
        <f t="shared" si="31"/>
        <v>0.31818181818181812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732</v>
      </c>
      <c r="C300" s="379">
        <f>IF(C264=0,0,C274/C264)</f>
        <v>4.570847206807251</v>
      </c>
      <c r="D300" s="379">
        <f>IF(LN_IIA4=0,0,LN_IIA14/LN_IIA4)</f>
        <v>4.4372439478584731</v>
      </c>
      <c r="E300" s="379">
        <f t="shared" si="30"/>
        <v>-0.13360325894877789</v>
      </c>
      <c r="F300" s="415">
        <f t="shared" si="31"/>
        <v>-2.9229430104293536E-2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733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727</v>
      </c>
      <c r="C304" s="353">
        <f>C35+C66+C214+C221+C233</f>
        <v>129742905</v>
      </c>
      <c r="D304" s="353">
        <f>LN_IIA11</f>
        <v>138431770</v>
      </c>
      <c r="E304" s="353">
        <f t="shared" ref="E304:E316" si="32">D304-C304</f>
        <v>8688865</v>
      </c>
      <c r="F304" s="362">
        <f>IF(C304=0,0,E304/C304)</f>
        <v>6.696986629056903E-2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730</v>
      </c>
      <c r="C305" s="353">
        <f>C291</f>
        <v>50241438</v>
      </c>
      <c r="D305" s="353">
        <f>LN_IIB14</f>
        <v>57957810</v>
      </c>
      <c r="E305" s="353">
        <f t="shared" si="32"/>
        <v>7716372</v>
      </c>
      <c r="F305" s="362">
        <f>IF(C305=0,0,E305/C305)</f>
        <v>0.15358581097937524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734</v>
      </c>
      <c r="C306" s="353">
        <f>C250</f>
        <v>4479639</v>
      </c>
      <c r="D306" s="353">
        <f>LN_IH6</f>
        <v>3759456</v>
      </c>
      <c r="E306" s="353">
        <f t="shared" si="32"/>
        <v>-720183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735</v>
      </c>
      <c r="C307" s="353">
        <f>C73-C74</f>
        <v>22512589</v>
      </c>
      <c r="D307" s="353">
        <f>LN_IB32-LN_IB33</f>
        <v>24339115</v>
      </c>
      <c r="E307" s="353">
        <f t="shared" si="32"/>
        <v>1826526</v>
      </c>
      <c r="F307" s="362">
        <f t="shared" ref="F307:F316" si="33">IF(C307=0,0,E307/C307)</f>
        <v>8.1133538217217041E-2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736</v>
      </c>
      <c r="C308" s="353">
        <v>1117229</v>
      </c>
      <c r="D308" s="353">
        <v>1074105</v>
      </c>
      <c r="E308" s="353">
        <f t="shared" si="32"/>
        <v>-43124</v>
      </c>
      <c r="F308" s="362">
        <f t="shared" si="33"/>
        <v>-3.8599069662531134E-2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737</v>
      </c>
      <c r="C309" s="353">
        <f>C305+C307+C308+C306</f>
        <v>78350895</v>
      </c>
      <c r="D309" s="353">
        <f>LN_III2+LN_III3+LN_III4+LN_III5</f>
        <v>87130486</v>
      </c>
      <c r="E309" s="353">
        <f t="shared" si="32"/>
        <v>8779591</v>
      </c>
      <c r="F309" s="362">
        <f t="shared" si="33"/>
        <v>0.11205476338209028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738</v>
      </c>
      <c r="C310" s="353">
        <f>C304-C309</f>
        <v>51392010</v>
      </c>
      <c r="D310" s="353">
        <f>LN_III1-LN_III6</f>
        <v>51301284</v>
      </c>
      <c r="E310" s="353">
        <f t="shared" si="32"/>
        <v>-90726</v>
      </c>
      <c r="F310" s="362">
        <f t="shared" si="33"/>
        <v>-1.7653716988302267E-3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739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740</v>
      </c>
      <c r="C312" s="353">
        <f>C310+C311</f>
        <v>51392010</v>
      </c>
      <c r="D312" s="353">
        <f>LN_III7+LN_III8</f>
        <v>51301284</v>
      </c>
      <c r="E312" s="353">
        <f t="shared" si="32"/>
        <v>-90726</v>
      </c>
      <c r="F312" s="362">
        <f t="shared" si="33"/>
        <v>-1.7653716988302267E-3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741</v>
      </c>
      <c r="C313" s="448">
        <f>IF(C304=0,0,C312/C304)</f>
        <v>0.39610651541986053</v>
      </c>
      <c r="D313" s="448">
        <f>IF(LN_III1=0,0,LN_III9/LN_III1)</f>
        <v>0.37058894789830399</v>
      </c>
      <c r="E313" s="448">
        <f t="shared" si="32"/>
        <v>-2.5517567521556539E-2</v>
      </c>
      <c r="F313" s="362">
        <f t="shared" si="33"/>
        <v>-6.4420973975923404E-2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699</v>
      </c>
      <c r="C314" s="353">
        <f>C306*C313</f>
        <v>1774414.1946289085</v>
      </c>
      <c r="D314" s="353">
        <f>D313*LN_III5</f>
        <v>1393212.8437099664</v>
      </c>
      <c r="E314" s="353">
        <f t="shared" si="32"/>
        <v>-381201.35091894213</v>
      </c>
      <c r="F314" s="362">
        <f t="shared" si="33"/>
        <v>-0.21483222579757627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702</v>
      </c>
      <c r="C315" s="353">
        <f>(C214*C313)-C215</f>
        <v>1668765.5836263644</v>
      </c>
      <c r="D315" s="353">
        <f>D313*LN_IH8-LN_IH9</f>
        <v>1978454.3142369995</v>
      </c>
      <c r="E315" s="353">
        <f t="shared" si="32"/>
        <v>309688.73061063513</v>
      </c>
      <c r="F315" s="362">
        <f t="shared" si="33"/>
        <v>0.18557952875421613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742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743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744</v>
      </c>
      <c r="C318" s="353">
        <f>C314+C315+C316</f>
        <v>3443179.7782552727</v>
      </c>
      <c r="D318" s="353">
        <f>D314+D315+D316</f>
        <v>3371667.1579469657</v>
      </c>
      <c r="E318" s="353">
        <f>D318-C318</f>
        <v>-71512.620308307</v>
      </c>
      <c r="F318" s="362">
        <f>IF(C318=0,0,E318/C318)</f>
        <v>-2.0769354176604703E-2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745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491156.26404863823</v>
      </c>
      <c r="D322" s="353">
        <f>LN_ID22</f>
        <v>566844.50109511404</v>
      </c>
      <c r="E322" s="353">
        <f>LN_IV2-C322</f>
        <v>75688.237046475813</v>
      </c>
      <c r="F322" s="362">
        <f>IF(C322=0,0,E322/C322)</f>
        <v>0.15410215156897716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731</v>
      </c>
      <c r="C323" s="353">
        <f>C162+C176</f>
        <v>1110710.0741010143</v>
      </c>
      <c r="D323" s="353">
        <f>LN_IE10+LN_IE22</f>
        <v>1619219.9149680026</v>
      </c>
      <c r="E323" s="353">
        <f>LN_IV3-C323</f>
        <v>508509.84086698829</v>
      </c>
      <c r="F323" s="362">
        <f>IF(C323=0,0,E323/C323)</f>
        <v>0.45782410074795227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746</v>
      </c>
      <c r="C324" s="353">
        <f>C92+C106</f>
        <v>1031038.3531800957</v>
      </c>
      <c r="D324" s="353">
        <f>LN_IC10+LN_IC22</f>
        <v>743621.4873807535</v>
      </c>
      <c r="E324" s="353">
        <f>LN_IV1-C324</f>
        <v>-287416.86579934217</v>
      </c>
      <c r="F324" s="362">
        <f>IF(C324=0,0,E324/C324)</f>
        <v>-0.27876447555306205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747</v>
      </c>
      <c r="C325" s="429">
        <f>C324+C322+C323</f>
        <v>2632904.6913297484</v>
      </c>
      <c r="D325" s="429">
        <f>LN_IV1+LN_IV2+LN_IV3</f>
        <v>2929685.9034438701</v>
      </c>
      <c r="E325" s="353">
        <f>LN_IV4-C325</f>
        <v>296781.21211412176</v>
      </c>
      <c r="F325" s="362">
        <f>IF(C325=0,0,E325/C325)</f>
        <v>0.11272007417945404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748</v>
      </c>
      <c r="B327" s="446" t="s">
        <v>749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750</v>
      </c>
      <c r="C329" s="431">
        <v>1967108</v>
      </c>
      <c r="D329" s="431">
        <v>1654961</v>
      </c>
      <c r="E329" s="431">
        <f t="shared" ref="E329:E335" si="34">D329-C329</f>
        <v>-312147</v>
      </c>
      <c r="F329" s="462">
        <f t="shared" ref="F329:F335" si="35">IF(C329=0,0,E329/C329)</f>
        <v>-0.15868320397253227</v>
      </c>
    </row>
    <row r="330" spans="1:22" s="333" customFormat="1" ht="11.25" customHeight="1" x14ac:dyDescent="0.2">
      <c r="A330" s="364">
        <v>2</v>
      </c>
      <c r="B330" s="360" t="s">
        <v>751</v>
      </c>
      <c r="C330" s="429">
        <v>4145549</v>
      </c>
      <c r="D330" s="429">
        <v>4774811</v>
      </c>
      <c r="E330" s="431">
        <f t="shared" si="34"/>
        <v>629262</v>
      </c>
      <c r="F330" s="463">
        <f t="shared" si="35"/>
        <v>0.15179219929616078</v>
      </c>
    </row>
    <row r="331" spans="1:22" s="333" customFormat="1" ht="11.25" customHeight="1" x14ac:dyDescent="0.2">
      <c r="A331" s="339">
        <v>3</v>
      </c>
      <c r="B331" s="360" t="s">
        <v>752</v>
      </c>
      <c r="C331" s="429">
        <v>55537559</v>
      </c>
      <c r="D331" s="429">
        <v>56076094</v>
      </c>
      <c r="E331" s="431">
        <f t="shared" si="34"/>
        <v>538535</v>
      </c>
      <c r="F331" s="462">
        <f t="shared" si="35"/>
        <v>9.6967711526536483E-3</v>
      </c>
    </row>
    <row r="332" spans="1:22" s="333" customFormat="1" ht="11.25" customHeight="1" x14ac:dyDescent="0.2">
      <c r="A332" s="364">
        <v>4</v>
      </c>
      <c r="B332" s="360" t="s">
        <v>753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754</v>
      </c>
      <c r="C333" s="429">
        <v>129742905</v>
      </c>
      <c r="D333" s="429">
        <v>138431770</v>
      </c>
      <c r="E333" s="431">
        <f t="shared" si="34"/>
        <v>8688865</v>
      </c>
      <c r="F333" s="462">
        <f t="shared" si="35"/>
        <v>6.696986629056903E-2</v>
      </c>
    </row>
    <row r="334" spans="1:22" s="333" customFormat="1" ht="11.25" customHeight="1" x14ac:dyDescent="0.2">
      <c r="A334" s="339">
        <v>6</v>
      </c>
      <c r="B334" s="360" t="s">
        <v>755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756</v>
      </c>
      <c r="C335" s="429">
        <v>4479639</v>
      </c>
      <c r="D335" s="429">
        <v>3759456</v>
      </c>
      <c r="E335" s="429">
        <f t="shared" si="34"/>
        <v>-720183</v>
      </c>
      <c r="F335" s="462">
        <f t="shared" si="35"/>
        <v>-0.16076808867857431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FILING&amp;RESSENT-SHARON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609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757</v>
      </c>
      <c r="B5" s="710"/>
      <c r="C5" s="710"/>
      <c r="D5" s="710"/>
      <c r="E5" s="710"/>
    </row>
    <row r="6" spans="1:5" s="338" customFormat="1" ht="15.75" customHeight="1" x14ac:dyDescent="0.25">
      <c r="A6" s="710" t="s">
        <v>758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759</v>
      </c>
      <c r="D9" s="494" t="s">
        <v>760</v>
      </c>
      <c r="E9" s="495" t="s">
        <v>761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762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763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639</v>
      </c>
      <c r="C14" s="513">
        <v>14771380</v>
      </c>
      <c r="D14" s="513">
        <v>12356384</v>
      </c>
      <c r="E14" s="514">
        <f t="shared" ref="E14:E22" si="0">D14-C14</f>
        <v>-2414996</v>
      </c>
    </row>
    <row r="15" spans="1:5" s="506" customFormat="1" x14ac:dyDescent="0.2">
      <c r="A15" s="512">
        <v>2</v>
      </c>
      <c r="B15" s="511" t="s">
        <v>618</v>
      </c>
      <c r="C15" s="513">
        <v>36041403</v>
      </c>
      <c r="D15" s="515">
        <v>37544207</v>
      </c>
      <c r="E15" s="514">
        <f t="shared" si="0"/>
        <v>1502804</v>
      </c>
    </row>
    <row r="16" spans="1:5" s="506" customFormat="1" x14ac:dyDescent="0.2">
      <c r="A16" s="512">
        <v>3</v>
      </c>
      <c r="B16" s="511" t="s">
        <v>764</v>
      </c>
      <c r="C16" s="513">
        <v>5531096</v>
      </c>
      <c r="D16" s="515">
        <v>5543988</v>
      </c>
      <c r="E16" s="514">
        <f t="shared" si="0"/>
        <v>12892</v>
      </c>
    </row>
    <row r="17" spans="1:5" s="506" customFormat="1" x14ac:dyDescent="0.2">
      <c r="A17" s="512">
        <v>4</v>
      </c>
      <c r="B17" s="511" t="s">
        <v>114</v>
      </c>
      <c r="C17" s="513">
        <v>3259950</v>
      </c>
      <c r="D17" s="515">
        <v>2952316</v>
      </c>
      <c r="E17" s="514">
        <f t="shared" si="0"/>
        <v>-307634</v>
      </c>
    </row>
    <row r="18" spans="1:5" s="506" customFormat="1" x14ac:dyDescent="0.2">
      <c r="A18" s="512">
        <v>5</v>
      </c>
      <c r="B18" s="511" t="s">
        <v>731</v>
      </c>
      <c r="C18" s="513">
        <v>2271146</v>
      </c>
      <c r="D18" s="515">
        <v>2591672</v>
      </c>
      <c r="E18" s="514">
        <f t="shared" si="0"/>
        <v>320526</v>
      </c>
    </row>
    <row r="19" spans="1:5" s="506" customFormat="1" x14ac:dyDescent="0.2">
      <c r="A19" s="512">
        <v>6</v>
      </c>
      <c r="B19" s="511" t="s">
        <v>430</v>
      </c>
      <c r="C19" s="513">
        <v>69552</v>
      </c>
      <c r="D19" s="515">
        <v>163314</v>
      </c>
      <c r="E19" s="514">
        <f t="shared" si="0"/>
        <v>93762</v>
      </c>
    </row>
    <row r="20" spans="1:5" s="506" customFormat="1" x14ac:dyDescent="0.2">
      <c r="A20" s="512">
        <v>7</v>
      </c>
      <c r="B20" s="511" t="s">
        <v>746</v>
      </c>
      <c r="C20" s="513">
        <v>998989</v>
      </c>
      <c r="D20" s="515">
        <v>1345419</v>
      </c>
      <c r="E20" s="514">
        <f t="shared" si="0"/>
        <v>346430</v>
      </c>
    </row>
    <row r="21" spans="1:5" s="506" customFormat="1" x14ac:dyDescent="0.2">
      <c r="A21" s="512"/>
      <c r="B21" s="516" t="s">
        <v>765</v>
      </c>
      <c r="C21" s="517">
        <f>SUM(C15+C16+C19)</f>
        <v>41642051</v>
      </c>
      <c r="D21" s="517">
        <f>SUM(D15+D16+D19)</f>
        <v>43251509</v>
      </c>
      <c r="E21" s="517">
        <f t="shared" si="0"/>
        <v>1609458</v>
      </c>
    </row>
    <row r="22" spans="1:5" s="506" customFormat="1" x14ac:dyDescent="0.2">
      <c r="A22" s="512"/>
      <c r="B22" s="516" t="s">
        <v>705</v>
      </c>
      <c r="C22" s="517">
        <f>SUM(C14+C21)</f>
        <v>56413431</v>
      </c>
      <c r="D22" s="517">
        <f>SUM(D14+D21)</f>
        <v>55607893</v>
      </c>
      <c r="E22" s="517">
        <f t="shared" si="0"/>
        <v>-805538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766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639</v>
      </c>
      <c r="C25" s="513">
        <v>37413457</v>
      </c>
      <c r="D25" s="513">
        <v>40158091</v>
      </c>
      <c r="E25" s="514">
        <f t="shared" ref="E25:E33" si="1">D25-C25</f>
        <v>2744634</v>
      </c>
    </row>
    <row r="26" spans="1:5" s="506" customFormat="1" x14ac:dyDescent="0.2">
      <c r="A26" s="512">
        <v>2</v>
      </c>
      <c r="B26" s="511" t="s">
        <v>618</v>
      </c>
      <c r="C26" s="513">
        <v>29404805</v>
      </c>
      <c r="D26" s="515">
        <v>33849225</v>
      </c>
      <c r="E26" s="514">
        <f t="shared" si="1"/>
        <v>4444420</v>
      </c>
    </row>
    <row r="27" spans="1:5" s="506" customFormat="1" x14ac:dyDescent="0.2">
      <c r="A27" s="512">
        <v>3</v>
      </c>
      <c r="B27" s="511" t="s">
        <v>764</v>
      </c>
      <c r="C27" s="513">
        <v>6370689</v>
      </c>
      <c r="D27" s="515">
        <v>8616338</v>
      </c>
      <c r="E27" s="514">
        <f t="shared" si="1"/>
        <v>2245649</v>
      </c>
    </row>
    <row r="28" spans="1:5" s="506" customFormat="1" x14ac:dyDescent="0.2">
      <c r="A28" s="512">
        <v>4</v>
      </c>
      <c r="B28" s="511" t="s">
        <v>114</v>
      </c>
      <c r="C28" s="513">
        <v>3851898</v>
      </c>
      <c r="D28" s="515">
        <v>5112045</v>
      </c>
      <c r="E28" s="514">
        <f t="shared" si="1"/>
        <v>1260147</v>
      </c>
    </row>
    <row r="29" spans="1:5" s="506" customFormat="1" x14ac:dyDescent="0.2">
      <c r="A29" s="512">
        <v>5</v>
      </c>
      <c r="B29" s="511" t="s">
        <v>731</v>
      </c>
      <c r="C29" s="513">
        <v>2518791</v>
      </c>
      <c r="D29" s="515">
        <v>3504293</v>
      </c>
      <c r="E29" s="514">
        <f t="shared" si="1"/>
        <v>985502</v>
      </c>
    </row>
    <row r="30" spans="1:5" s="506" customFormat="1" x14ac:dyDescent="0.2">
      <c r="A30" s="512">
        <v>6</v>
      </c>
      <c r="B30" s="511" t="s">
        <v>430</v>
      </c>
      <c r="C30" s="513">
        <v>140523</v>
      </c>
      <c r="D30" s="515">
        <v>200223</v>
      </c>
      <c r="E30" s="514">
        <f t="shared" si="1"/>
        <v>59700</v>
      </c>
    </row>
    <row r="31" spans="1:5" s="506" customFormat="1" x14ac:dyDescent="0.2">
      <c r="A31" s="512">
        <v>7</v>
      </c>
      <c r="B31" s="511" t="s">
        <v>746</v>
      </c>
      <c r="C31" s="514">
        <v>2223498</v>
      </c>
      <c r="D31" s="518">
        <v>2566254</v>
      </c>
      <c r="E31" s="514">
        <f t="shared" si="1"/>
        <v>342756</v>
      </c>
    </row>
    <row r="32" spans="1:5" s="506" customFormat="1" x14ac:dyDescent="0.2">
      <c r="A32" s="512"/>
      <c r="B32" s="516" t="s">
        <v>767</v>
      </c>
      <c r="C32" s="517">
        <f>SUM(C26+C27+C30)</f>
        <v>35916017</v>
      </c>
      <c r="D32" s="517">
        <f>SUM(D26+D27+D30)</f>
        <v>42665786</v>
      </c>
      <c r="E32" s="517">
        <f t="shared" si="1"/>
        <v>6749769</v>
      </c>
    </row>
    <row r="33" spans="1:5" s="506" customFormat="1" x14ac:dyDescent="0.2">
      <c r="A33" s="512"/>
      <c r="B33" s="516" t="s">
        <v>711</v>
      </c>
      <c r="C33" s="517">
        <f>SUM(C25+C32)</f>
        <v>73329474</v>
      </c>
      <c r="D33" s="517">
        <f>SUM(D25+D32)</f>
        <v>82823877</v>
      </c>
      <c r="E33" s="517">
        <f t="shared" si="1"/>
        <v>9494403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636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768</v>
      </c>
      <c r="C36" s="514">
        <f t="shared" ref="C36:D42" si="2">C14+C25</f>
        <v>52184837</v>
      </c>
      <c r="D36" s="514">
        <f t="shared" si="2"/>
        <v>52514475</v>
      </c>
      <c r="E36" s="514">
        <f t="shared" ref="E36:E44" si="3">D36-C36</f>
        <v>329638</v>
      </c>
    </row>
    <row r="37" spans="1:5" s="506" customFormat="1" x14ac:dyDescent="0.2">
      <c r="A37" s="512">
        <v>2</v>
      </c>
      <c r="B37" s="511" t="s">
        <v>769</v>
      </c>
      <c r="C37" s="514">
        <f t="shared" si="2"/>
        <v>65446208</v>
      </c>
      <c r="D37" s="514">
        <f t="shared" si="2"/>
        <v>71393432</v>
      </c>
      <c r="E37" s="514">
        <f t="shared" si="3"/>
        <v>5947224</v>
      </c>
    </row>
    <row r="38" spans="1:5" s="506" customFormat="1" x14ac:dyDescent="0.2">
      <c r="A38" s="512">
        <v>3</v>
      </c>
      <c r="B38" s="511" t="s">
        <v>770</v>
      </c>
      <c r="C38" s="514">
        <f t="shared" si="2"/>
        <v>11901785</v>
      </c>
      <c r="D38" s="514">
        <f t="shared" si="2"/>
        <v>14160326</v>
      </c>
      <c r="E38" s="514">
        <f t="shared" si="3"/>
        <v>2258541</v>
      </c>
    </row>
    <row r="39" spans="1:5" s="506" customFormat="1" x14ac:dyDescent="0.2">
      <c r="A39" s="512">
        <v>4</v>
      </c>
      <c r="B39" s="511" t="s">
        <v>771</v>
      </c>
      <c r="C39" s="514">
        <f t="shared" si="2"/>
        <v>7111848</v>
      </c>
      <c r="D39" s="514">
        <f t="shared" si="2"/>
        <v>8064361</v>
      </c>
      <c r="E39" s="514">
        <f t="shared" si="3"/>
        <v>952513</v>
      </c>
    </row>
    <row r="40" spans="1:5" s="506" customFormat="1" x14ac:dyDescent="0.2">
      <c r="A40" s="512">
        <v>5</v>
      </c>
      <c r="B40" s="511" t="s">
        <v>772</v>
      </c>
      <c r="C40" s="514">
        <f t="shared" si="2"/>
        <v>4789937</v>
      </c>
      <c r="D40" s="514">
        <f t="shared" si="2"/>
        <v>6095965</v>
      </c>
      <c r="E40" s="514">
        <f t="shared" si="3"/>
        <v>1306028</v>
      </c>
    </row>
    <row r="41" spans="1:5" s="506" customFormat="1" x14ac:dyDescent="0.2">
      <c r="A41" s="512">
        <v>6</v>
      </c>
      <c r="B41" s="511" t="s">
        <v>773</v>
      </c>
      <c r="C41" s="514">
        <f t="shared" si="2"/>
        <v>210075</v>
      </c>
      <c r="D41" s="514">
        <f t="shared" si="2"/>
        <v>363537</v>
      </c>
      <c r="E41" s="514">
        <f t="shared" si="3"/>
        <v>153462</v>
      </c>
    </row>
    <row r="42" spans="1:5" s="506" customFormat="1" x14ac:dyDescent="0.2">
      <c r="A42" s="512">
        <v>7</v>
      </c>
      <c r="B42" s="511" t="s">
        <v>774</v>
      </c>
      <c r="C42" s="514">
        <f t="shared" si="2"/>
        <v>3222487</v>
      </c>
      <c r="D42" s="514">
        <f t="shared" si="2"/>
        <v>3911673</v>
      </c>
      <c r="E42" s="514">
        <f t="shared" si="3"/>
        <v>689186</v>
      </c>
    </row>
    <row r="43" spans="1:5" s="506" customFormat="1" x14ac:dyDescent="0.2">
      <c r="A43" s="512"/>
      <c r="B43" s="516" t="s">
        <v>775</v>
      </c>
      <c r="C43" s="517">
        <f>SUM(C37+C38+C41)</f>
        <v>77558068</v>
      </c>
      <c r="D43" s="517">
        <f>SUM(D37+D38+D41)</f>
        <v>85917295</v>
      </c>
      <c r="E43" s="517">
        <f t="shared" si="3"/>
        <v>8359227</v>
      </c>
    </row>
    <row r="44" spans="1:5" s="506" customFormat="1" x14ac:dyDescent="0.2">
      <c r="A44" s="512"/>
      <c r="B44" s="516" t="s">
        <v>713</v>
      </c>
      <c r="C44" s="517">
        <f>SUM(C36+C43)</f>
        <v>129742905</v>
      </c>
      <c r="D44" s="517">
        <f>SUM(D36+D43)</f>
        <v>138431770</v>
      </c>
      <c r="E44" s="517">
        <f t="shared" si="3"/>
        <v>8688865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333</v>
      </c>
      <c r="B46" s="509" t="s">
        <v>776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639</v>
      </c>
      <c r="C47" s="513">
        <v>7159770</v>
      </c>
      <c r="D47" s="513">
        <v>5222160</v>
      </c>
      <c r="E47" s="514">
        <f t="shared" ref="E47:E55" si="4">D47-C47</f>
        <v>-1937610</v>
      </c>
    </row>
    <row r="48" spans="1:5" s="506" customFormat="1" x14ac:dyDescent="0.2">
      <c r="A48" s="512">
        <v>2</v>
      </c>
      <c r="B48" s="511" t="s">
        <v>618</v>
      </c>
      <c r="C48" s="513">
        <v>17417313</v>
      </c>
      <c r="D48" s="515">
        <v>17055293</v>
      </c>
      <c r="E48" s="514">
        <f t="shared" si="4"/>
        <v>-362020</v>
      </c>
    </row>
    <row r="49" spans="1:5" s="506" customFormat="1" x14ac:dyDescent="0.2">
      <c r="A49" s="512">
        <v>3</v>
      </c>
      <c r="B49" s="511" t="s">
        <v>764</v>
      </c>
      <c r="C49" s="513">
        <v>1765749</v>
      </c>
      <c r="D49" s="515">
        <v>1535048</v>
      </c>
      <c r="E49" s="514">
        <f t="shared" si="4"/>
        <v>-230701</v>
      </c>
    </row>
    <row r="50" spans="1:5" s="506" customFormat="1" x14ac:dyDescent="0.2">
      <c r="A50" s="512">
        <v>4</v>
      </c>
      <c r="B50" s="511" t="s">
        <v>114</v>
      </c>
      <c r="C50" s="513">
        <v>1005381</v>
      </c>
      <c r="D50" s="515">
        <v>791153</v>
      </c>
      <c r="E50" s="514">
        <f t="shared" si="4"/>
        <v>-214228</v>
      </c>
    </row>
    <row r="51" spans="1:5" s="506" customFormat="1" x14ac:dyDescent="0.2">
      <c r="A51" s="512">
        <v>5</v>
      </c>
      <c r="B51" s="511" t="s">
        <v>731</v>
      </c>
      <c r="C51" s="513">
        <v>760368</v>
      </c>
      <c r="D51" s="515">
        <v>743895</v>
      </c>
      <c r="E51" s="514">
        <f t="shared" si="4"/>
        <v>-16473</v>
      </c>
    </row>
    <row r="52" spans="1:5" s="506" customFormat="1" x14ac:dyDescent="0.2">
      <c r="A52" s="512">
        <v>6</v>
      </c>
      <c r="B52" s="511" t="s">
        <v>430</v>
      </c>
      <c r="C52" s="513">
        <v>67675</v>
      </c>
      <c r="D52" s="515">
        <v>161130</v>
      </c>
      <c r="E52" s="514">
        <f t="shared" si="4"/>
        <v>93455</v>
      </c>
    </row>
    <row r="53" spans="1:5" s="506" customFormat="1" x14ac:dyDescent="0.2">
      <c r="A53" s="512">
        <v>7</v>
      </c>
      <c r="B53" s="511" t="s">
        <v>746</v>
      </c>
      <c r="C53" s="513">
        <v>123857</v>
      </c>
      <c r="D53" s="515">
        <v>215382</v>
      </c>
      <c r="E53" s="514">
        <f t="shared" si="4"/>
        <v>91525</v>
      </c>
    </row>
    <row r="54" spans="1:5" s="506" customFormat="1" x14ac:dyDescent="0.2">
      <c r="A54" s="512"/>
      <c r="B54" s="516" t="s">
        <v>777</v>
      </c>
      <c r="C54" s="517">
        <f>SUM(C48+C49+C52)</f>
        <v>19250737</v>
      </c>
      <c r="D54" s="517">
        <f>SUM(D48+D49+D52)</f>
        <v>18751471</v>
      </c>
      <c r="E54" s="517">
        <f t="shared" si="4"/>
        <v>-499266</v>
      </c>
    </row>
    <row r="55" spans="1:5" s="506" customFormat="1" x14ac:dyDescent="0.2">
      <c r="A55" s="512"/>
      <c r="B55" s="516" t="s">
        <v>706</v>
      </c>
      <c r="C55" s="517">
        <f>SUM(C47+C54)</f>
        <v>26410507</v>
      </c>
      <c r="D55" s="517">
        <f>SUM(D47+D54)</f>
        <v>23973631</v>
      </c>
      <c r="E55" s="517">
        <f t="shared" si="4"/>
        <v>-2436876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354</v>
      </c>
      <c r="B57" s="509" t="s">
        <v>778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639</v>
      </c>
      <c r="C58" s="513">
        <v>16915611</v>
      </c>
      <c r="D58" s="513">
        <v>18119637</v>
      </c>
      <c r="E58" s="514">
        <f t="shared" ref="E58:E66" si="5">D58-C58</f>
        <v>1204026</v>
      </c>
    </row>
    <row r="59" spans="1:5" s="506" customFormat="1" x14ac:dyDescent="0.2">
      <c r="A59" s="512">
        <v>2</v>
      </c>
      <c r="B59" s="511" t="s">
        <v>618</v>
      </c>
      <c r="C59" s="513">
        <v>6745593</v>
      </c>
      <c r="D59" s="515">
        <v>7418245</v>
      </c>
      <c r="E59" s="514">
        <f t="shared" si="5"/>
        <v>672652</v>
      </c>
    </row>
    <row r="60" spans="1:5" s="506" customFormat="1" x14ac:dyDescent="0.2">
      <c r="A60" s="512">
        <v>3</v>
      </c>
      <c r="B60" s="511" t="s">
        <v>764</v>
      </c>
      <c r="C60" s="513">
        <f>C61+C62</f>
        <v>1279860</v>
      </c>
      <c r="D60" s="515">
        <f>D61+D62</f>
        <v>1734158</v>
      </c>
      <c r="E60" s="514">
        <f t="shared" si="5"/>
        <v>454298</v>
      </c>
    </row>
    <row r="61" spans="1:5" s="506" customFormat="1" x14ac:dyDescent="0.2">
      <c r="A61" s="512">
        <v>4</v>
      </c>
      <c r="B61" s="511" t="s">
        <v>114</v>
      </c>
      <c r="C61" s="513">
        <v>932748</v>
      </c>
      <c r="D61" s="515">
        <v>1211754</v>
      </c>
      <c r="E61" s="514">
        <f t="shared" si="5"/>
        <v>279006</v>
      </c>
    </row>
    <row r="62" spans="1:5" s="506" customFormat="1" x14ac:dyDescent="0.2">
      <c r="A62" s="512">
        <v>5</v>
      </c>
      <c r="B62" s="511" t="s">
        <v>731</v>
      </c>
      <c r="C62" s="513">
        <v>347112</v>
      </c>
      <c r="D62" s="515">
        <v>522404</v>
      </c>
      <c r="E62" s="514">
        <f t="shared" si="5"/>
        <v>175292</v>
      </c>
    </row>
    <row r="63" spans="1:5" s="506" customFormat="1" x14ac:dyDescent="0.2">
      <c r="A63" s="512">
        <v>6</v>
      </c>
      <c r="B63" s="511" t="s">
        <v>430</v>
      </c>
      <c r="C63" s="513">
        <v>40440</v>
      </c>
      <c r="D63" s="515">
        <v>55611</v>
      </c>
      <c r="E63" s="514">
        <f t="shared" si="5"/>
        <v>15171</v>
      </c>
    </row>
    <row r="64" spans="1:5" s="506" customFormat="1" x14ac:dyDescent="0.2">
      <c r="A64" s="512">
        <v>7</v>
      </c>
      <c r="B64" s="511" t="s">
        <v>746</v>
      </c>
      <c r="C64" s="513">
        <v>127109</v>
      </c>
      <c r="D64" s="515">
        <v>464737</v>
      </c>
      <c r="E64" s="514">
        <f t="shared" si="5"/>
        <v>337628</v>
      </c>
    </row>
    <row r="65" spans="1:5" s="506" customFormat="1" x14ac:dyDescent="0.2">
      <c r="A65" s="512"/>
      <c r="B65" s="516" t="s">
        <v>779</v>
      </c>
      <c r="C65" s="517">
        <f>SUM(C59+C60+C63)</f>
        <v>8065893</v>
      </c>
      <c r="D65" s="517">
        <f>SUM(D59+D60+D63)</f>
        <v>9208014</v>
      </c>
      <c r="E65" s="517">
        <f t="shared" si="5"/>
        <v>1142121</v>
      </c>
    </row>
    <row r="66" spans="1:5" s="506" customFormat="1" x14ac:dyDescent="0.2">
      <c r="A66" s="512"/>
      <c r="B66" s="516" t="s">
        <v>712</v>
      </c>
      <c r="C66" s="517">
        <f>SUM(C58+C65)</f>
        <v>24981504</v>
      </c>
      <c r="D66" s="517">
        <f>SUM(D58+D65)</f>
        <v>27327651</v>
      </c>
      <c r="E66" s="517">
        <f t="shared" si="5"/>
        <v>2346147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366</v>
      </c>
      <c r="B68" s="521" t="s">
        <v>637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768</v>
      </c>
      <c r="C69" s="514">
        <f t="shared" ref="C69:D75" si="6">C47+C58</f>
        <v>24075381</v>
      </c>
      <c r="D69" s="514">
        <f t="shared" si="6"/>
        <v>23341797</v>
      </c>
      <c r="E69" s="514">
        <f t="shared" ref="E69:E77" si="7">D69-C69</f>
        <v>-733584</v>
      </c>
    </row>
    <row r="70" spans="1:5" s="506" customFormat="1" x14ac:dyDescent="0.2">
      <c r="A70" s="512">
        <v>2</v>
      </c>
      <c r="B70" s="511" t="s">
        <v>769</v>
      </c>
      <c r="C70" s="514">
        <f t="shared" si="6"/>
        <v>24162906</v>
      </c>
      <c r="D70" s="514">
        <f t="shared" si="6"/>
        <v>24473538</v>
      </c>
      <c r="E70" s="514">
        <f t="shared" si="7"/>
        <v>310632</v>
      </c>
    </row>
    <row r="71" spans="1:5" s="506" customFormat="1" x14ac:dyDescent="0.2">
      <c r="A71" s="512">
        <v>3</v>
      </c>
      <c r="B71" s="511" t="s">
        <v>770</v>
      </c>
      <c r="C71" s="514">
        <f t="shared" si="6"/>
        <v>3045609</v>
      </c>
      <c r="D71" s="514">
        <f t="shared" si="6"/>
        <v>3269206</v>
      </c>
      <c r="E71" s="514">
        <f t="shared" si="7"/>
        <v>223597</v>
      </c>
    </row>
    <row r="72" spans="1:5" s="506" customFormat="1" x14ac:dyDescent="0.2">
      <c r="A72" s="512">
        <v>4</v>
      </c>
      <c r="B72" s="511" t="s">
        <v>771</v>
      </c>
      <c r="C72" s="514">
        <f t="shared" si="6"/>
        <v>1938129</v>
      </c>
      <c r="D72" s="514">
        <f t="shared" si="6"/>
        <v>2002907</v>
      </c>
      <c r="E72" s="514">
        <f t="shared" si="7"/>
        <v>64778</v>
      </c>
    </row>
    <row r="73" spans="1:5" s="506" customFormat="1" x14ac:dyDescent="0.2">
      <c r="A73" s="512">
        <v>5</v>
      </c>
      <c r="B73" s="511" t="s">
        <v>772</v>
      </c>
      <c r="C73" s="514">
        <f t="shared" si="6"/>
        <v>1107480</v>
      </c>
      <c r="D73" s="514">
        <f t="shared" si="6"/>
        <v>1266299</v>
      </c>
      <c r="E73" s="514">
        <f t="shared" si="7"/>
        <v>158819</v>
      </c>
    </row>
    <row r="74" spans="1:5" s="506" customFormat="1" x14ac:dyDescent="0.2">
      <c r="A74" s="512">
        <v>6</v>
      </c>
      <c r="B74" s="511" t="s">
        <v>773</v>
      </c>
      <c r="C74" s="514">
        <f t="shared" si="6"/>
        <v>108115</v>
      </c>
      <c r="D74" s="514">
        <f t="shared" si="6"/>
        <v>216741</v>
      </c>
      <c r="E74" s="514">
        <f t="shared" si="7"/>
        <v>108626</v>
      </c>
    </row>
    <row r="75" spans="1:5" s="506" customFormat="1" x14ac:dyDescent="0.2">
      <c r="A75" s="512">
        <v>7</v>
      </c>
      <c r="B75" s="511" t="s">
        <v>774</v>
      </c>
      <c r="C75" s="514">
        <f t="shared" si="6"/>
        <v>250966</v>
      </c>
      <c r="D75" s="514">
        <f t="shared" si="6"/>
        <v>680119</v>
      </c>
      <c r="E75" s="514">
        <f t="shared" si="7"/>
        <v>429153</v>
      </c>
    </row>
    <row r="76" spans="1:5" s="506" customFormat="1" x14ac:dyDescent="0.2">
      <c r="A76" s="512"/>
      <c r="B76" s="516" t="s">
        <v>780</v>
      </c>
      <c r="C76" s="517">
        <f>SUM(C70+C71+C74)</f>
        <v>27316630</v>
      </c>
      <c r="D76" s="517">
        <f>SUM(D70+D71+D74)</f>
        <v>27959485</v>
      </c>
      <c r="E76" s="517">
        <f t="shared" si="7"/>
        <v>642855</v>
      </c>
    </row>
    <row r="77" spans="1:5" s="506" customFormat="1" x14ac:dyDescent="0.2">
      <c r="A77" s="512"/>
      <c r="B77" s="516" t="s">
        <v>714</v>
      </c>
      <c r="C77" s="517">
        <f>SUM(C69+C76)</f>
        <v>51392011</v>
      </c>
      <c r="D77" s="517">
        <f>SUM(D69+D76)</f>
        <v>51301282</v>
      </c>
      <c r="E77" s="517">
        <f t="shared" si="7"/>
        <v>-90729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781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782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639</v>
      </c>
      <c r="C83" s="523">
        <f t="shared" ref="C83:D89" si="8">IF(C$44=0,0,C14/C$44)</f>
        <v>0.11385115818086546</v>
      </c>
      <c r="D83" s="523">
        <f t="shared" si="8"/>
        <v>8.9259741459637484E-2</v>
      </c>
      <c r="E83" s="523">
        <f t="shared" ref="E83:E91" si="9">D83-C83</f>
        <v>-2.4591416721227971E-2</v>
      </c>
    </row>
    <row r="84" spans="1:5" s="506" customFormat="1" x14ac:dyDescent="0.2">
      <c r="A84" s="512">
        <v>2</v>
      </c>
      <c r="B84" s="511" t="s">
        <v>618</v>
      </c>
      <c r="C84" s="523">
        <f t="shared" si="8"/>
        <v>0.27779093585117431</v>
      </c>
      <c r="D84" s="523">
        <f t="shared" si="8"/>
        <v>0.27121091495109828</v>
      </c>
      <c r="E84" s="523">
        <f t="shared" si="9"/>
        <v>-6.5800209000760335E-3</v>
      </c>
    </row>
    <row r="85" spans="1:5" s="506" customFormat="1" x14ac:dyDescent="0.2">
      <c r="A85" s="512">
        <v>3</v>
      </c>
      <c r="B85" s="511" t="s">
        <v>764</v>
      </c>
      <c r="C85" s="523">
        <f t="shared" si="8"/>
        <v>4.2631202068429096E-2</v>
      </c>
      <c r="D85" s="523">
        <f t="shared" si="8"/>
        <v>4.0048523543403367E-2</v>
      </c>
      <c r="E85" s="523">
        <f t="shared" si="9"/>
        <v>-2.5826785250257292E-3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2.5126229445841374E-2</v>
      </c>
      <c r="D86" s="523">
        <f t="shared" si="8"/>
        <v>2.1326867380226374E-2</v>
      </c>
      <c r="E86" s="523">
        <f t="shared" si="9"/>
        <v>-3.7993620656150001E-3</v>
      </c>
    </row>
    <row r="87" spans="1:5" s="506" customFormat="1" x14ac:dyDescent="0.2">
      <c r="A87" s="512">
        <v>5</v>
      </c>
      <c r="B87" s="511" t="s">
        <v>731</v>
      </c>
      <c r="C87" s="523">
        <f t="shared" si="8"/>
        <v>1.7504972622587725E-2</v>
      </c>
      <c r="D87" s="523">
        <f t="shared" si="8"/>
        <v>1.8721656163176992E-2</v>
      </c>
      <c r="E87" s="523">
        <f t="shared" si="9"/>
        <v>1.2166835405892674E-3</v>
      </c>
    </row>
    <row r="88" spans="1:5" s="506" customFormat="1" x14ac:dyDescent="0.2">
      <c r="A88" s="512">
        <v>6</v>
      </c>
      <c r="B88" s="511" t="s">
        <v>430</v>
      </c>
      <c r="C88" s="523">
        <f t="shared" si="8"/>
        <v>5.3607555650152889E-4</v>
      </c>
      <c r="D88" s="523">
        <f t="shared" si="8"/>
        <v>1.1797436383281091E-3</v>
      </c>
      <c r="E88" s="523">
        <f t="shared" si="9"/>
        <v>6.4366808182658025E-4</v>
      </c>
    </row>
    <row r="89" spans="1:5" s="506" customFormat="1" x14ac:dyDescent="0.2">
      <c r="A89" s="512">
        <v>7</v>
      </c>
      <c r="B89" s="511" t="s">
        <v>746</v>
      </c>
      <c r="C89" s="523">
        <f t="shared" si="8"/>
        <v>7.6997582257002798E-3</v>
      </c>
      <c r="D89" s="523">
        <f t="shared" si="8"/>
        <v>9.7190045319799061E-3</v>
      </c>
      <c r="E89" s="523">
        <f t="shared" si="9"/>
        <v>2.0192463062796264E-3</v>
      </c>
    </row>
    <row r="90" spans="1:5" s="506" customFormat="1" x14ac:dyDescent="0.2">
      <c r="A90" s="512"/>
      <c r="B90" s="516" t="s">
        <v>783</v>
      </c>
      <c r="C90" s="524">
        <f>SUM(C84+C85+C88)</f>
        <v>0.32095821347610493</v>
      </c>
      <c r="D90" s="524">
        <f>SUM(D84+D85+D88)</f>
        <v>0.31243918213282978</v>
      </c>
      <c r="E90" s="525">
        <f t="shared" si="9"/>
        <v>-8.5190313432751408E-3</v>
      </c>
    </row>
    <row r="91" spans="1:5" s="506" customFormat="1" x14ac:dyDescent="0.2">
      <c r="A91" s="512"/>
      <c r="B91" s="516" t="s">
        <v>784</v>
      </c>
      <c r="C91" s="524">
        <f>SUM(C83+C90)</f>
        <v>0.43480937165697037</v>
      </c>
      <c r="D91" s="524">
        <f>SUM(D83+D90)</f>
        <v>0.40169892359246728</v>
      </c>
      <c r="E91" s="525">
        <f t="shared" si="9"/>
        <v>-3.3110448064503084E-2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785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639</v>
      </c>
      <c r="C95" s="523">
        <f t="shared" ref="C95:D101" si="10">IF(C$44=0,0,C25/C$44)</f>
        <v>0.28836611142628571</v>
      </c>
      <c r="D95" s="523">
        <f t="shared" si="10"/>
        <v>0.29009302561110067</v>
      </c>
      <c r="E95" s="523">
        <f t="shared" ref="E95:E103" si="11">D95-C95</f>
        <v>1.7269141848149649E-3</v>
      </c>
    </row>
    <row r="96" spans="1:5" s="506" customFormat="1" x14ac:dyDescent="0.2">
      <c r="A96" s="512">
        <v>2</v>
      </c>
      <c r="B96" s="511" t="s">
        <v>618</v>
      </c>
      <c r="C96" s="523">
        <f t="shared" si="10"/>
        <v>0.2266390212243205</v>
      </c>
      <c r="D96" s="523">
        <f t="shared" si="10"/>
        <v>0.24451919526854277</v>
      </c>
      <c r="E96" s="523">
        <f t="shared" si="11"/>
        <v>1.7880174044222263E-2</v>
      </c>
    </row>
    <row r="97" spans="1:5" s="506" customFormat="1" x14ac:dyDescent="0.2">
      <c r="A97" s="512">
        <v>3</v>
      </c>
      <c r="B97" s="511" t="s">
        <v>764</v>
      </c>
      <c r="C97" s="523">
        <f t="shared" si="10"/>
        <v>4.9102407565176684E-2</v>
      </c>
      <c r="D97" s="523">
        <f t="shared" si="10"/>
        <v>6.2242489567243126E-2</v>
      </c>
      <c r="E97" s="523">
        <f t="shared" si="11"/>
        <v>1.3140082002066442E-2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2.9688698584327211E-2</v>
      </c>
      <c r="D98" s="523">
        <f t="shared" si="10"/>
        <v>3.6928264371682888E-2</v>
      </c>
      <c r="E98" s="523">
        <f t="shared" si="11"/>
        <v>7.2395657873556771E-3</v>
      </c>
    </row>
    <row r="99" spans="1:5" s="506" customFormat="1" x14ac:dyDescent="0.2">
      <c r="A99" s="512">
        <v>5</v>
      </c>
      <c r="B99" s="511" t="s">
        <v>731</v>
      </c>
      <c r="C99" s="523">
        <f t="shared" si="10"/>
        <v>1.9413708980849473E-2</v>
      </c>
      <c r="D99" s="523">
        <f t="shared" si="10"/>
        <v>2.5314225195560237E-2</v>
      </c>
      <c r="E99" s="523">
        <f t="shared" si="11"/>
        <v>5.9005162147107645E-3</v>
      </c>
    </row>
    <row r="100" spans="1:5" s="506" customFormat="1" x14ac:dyDescent="0.2">
      <c r="A100" s="512">
        <v>6</v>
      </c>
      <c r="B100" s="511" t="s">
        <v>430</v>
      </c>
      <c r="C100" s="523">
        <f t="shared" si="10"/>
        <v>1.0830881272467269E-3</v>
      </c>
      <c r="D100" s="523">
        <f t="shared" si="10"/>
        <v>1.4463659606461724E-3</v>
      </c>
      <c r="E100" s="523">
        <f t="shared" si="11"/>
        <v>3.6327783339944555E-4</v>
      </c>
    </row>
    <row r="101" spans="1:5" s="506" customFormat="1" x14ac:dyDescent="0.2">
      <c r="A101" s="512">
        <v>7</v>
      </c>
      <c r="B101" s="511" t="s">
        <v>746</v>
      </c>
      <c r="C101" s="523">
        <f t="shared" si="10"/>
        <v>1.7137723253537449E-2</v>
      </c>
      <c r="D101" s="523">
        <f t="shared" si="10"/>
        <v>1.8538042242759737E-2</v>
      </c>
      <c r="E101" s="523">
        <f t="shared" si="11"/>
        <v>1.4003189892222885E-3</v>
      </c>
    </row>
    <row r="102" spans="1:5" s="506" customFormat="1" x14ac:dyDescent="0.2">
      <c r="A102" s="512"/>
      <c r="B102" s="516" t="s">
        <v>786</v>
      </c>
      <c r="C102" s="524">
        <f>SUM(C96+C97+C100)</f>
        <v>0.27682451691674392</v>
      </c>
      <c r="D102" s="524">
        <f>SUM(D96+D97+D100)</f>
        <v>0.3082080507964321</v>
      </c>
      <c r="E102" s="525">
        <f t="shared" si="11"/>
        <v>3.1383533879688175E-2</v>
      </c>
    </row>
    <row r="103" spans="1:5" s="506" customFormat="1" x14ac:dyDescent="0.2">
      <c r="A103" s="512"/>
      <c r="B103" s="516" t="s">
        <v>787</v>
      </c>
      <c r="C103" s="524">
        <f>SUM(C95+C102)</f>
        <v>0.56519062834302969</v>
      </c>
      <c r="D103" s="524">
        <f>SUM(D95+D102)</f>
        <v>0.59830107640753272</v>
      </c>
      <c r="E103" s="525">
        <f t="shared" si="11"/>
        <v>3.3110448064503029E-2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788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789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639</v>
      </c>
      <c r="C109" s="523">
        <f t="shared" ref="C109:D115" si="12">IF(C$77=0,0,C47/C$77)</f>
        <v>0.13931678991896232</v>
      </c>
      <c r="D109" s="523">
        <f t="shared" si="12"/>
        <v>0.10179394737152962</v>
      </c>
      <c r="E109" s="523">
        <f t="shared" ref="E109:E117" si="13">D109-C109</f>
        <v>-3.7522842547432697E-2</v>
      </c>
    </row>
    <row r="110" spans="1:5" s="506" customFormat="1" x14ac:dyDescent="0.2">
      <c r="A110" s="512">
        <v>2</v>
      </c>
      <c r="B110" s="511" t="s">
        <v>618</v>
      </c>
      <c r="C110" s="523">
        <f t="shared" si="12"/>
        <v>0.33891090582152933</v>
      </c>
      <c r="D110" s="523">
        <f t="shared" si="12"/>
        <v>0.33245354375354597</v>
      </c>
      <c r="E110" s="523">
        <f t="shared" si="13"/>
        <v>-6.4573620679833632E-3</v>
      </c>
    </row>
    <row r="111" spans="1:5" s="506" customFormat="1" x14ac:dyDescent="0.2">
      <c r="A111" s="512">
        <v>3</v>
      </c>
      <c r="B111" s="511" t="s">
        <v>764</v>
      </c>
      <c r="C111" s="523">
        <f t="shared" si="12"/>
        <v>3.4358433648373869E-2</v>
      </c>
      <c r="D111" s="523">
        <f t="shared" si="12"/>
        <v>2.9922215199222505E-2</v>
      </c>
      <c r="E111" s="523">
        <f t="shared" si="13"/>
        <v>-4.4362184491513641E-3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1.9562982269753951E-2</v>
      </c>
      <c r="D112" s="523">
        <f t="shared" si="12"/>
        <v>1.5421700377780033E-2</v>
      </c>
      <c r="E112" s="523">
        <f t="shared" si="13"/>
        <v>-4.1412818919739185E-3</v>
      </c>
    </row>
    <row r="113" spans="1:5" s="506" customFormat="1" x14ac:dyDescent="0.2">
      <c r="A113" s="512">
        <v>5</v>
      </c>
      <c r="B113" s="511" t="s">
        <v>731</v>
      </c>
      <c r="C113" s="523">
        <f t="shared" si="12"/>
        <v>1.4795451378619918E-2</v>
      </c>
      <c r="D113" s="523">
        <f t="shared" si="12"/>
        <v>1.4500514821442474E-2</v>
      </c>
      <c r="E113" s="523">
        <f t="shared" si="13"/>
        <v>-2.9493655717744392E-4</v>
      </c>
    </row>
    <row r="114" spans="1:5" s="506" customFormat="1" x14ac:dyDescent="0.2">
      <c r="A114" s="512">
        <v>6</v>
      </c>
      <c r="B114" s="511" t="s">
        <v>430</v>
      </c>
      <c r="C114" s="523">
        <f t="shared" si="12"/>
        <v>1.3168389149044975E-3</v>
      </c>
      <c r="D114" s="523">
        <f t="shared" si="12"/>
        <v>3.1408571816977206E-3</v>
      </c>
      <c r="E114" s="523">
        <f t="shared" si="13"/>
        <v>1.8240182667932231E-3</v>
      </c>
    </row>
    <row r="115" spans="1:5" s="506" customFormat="1" x14ac:dyDescent="0.2">
      <c r="A115" s="512">
        <v>7</v>
      </c>
      <c r="B115" s="511" t="s">
        <v>746</v>
      </c>
      <c r="C115" s="523">
        <f t="shared" si="12"/>
        <v>2.410043849033267E-3</v>
      </c>
      <c r="D115" s="523">
        <f t="shared" si="12"/>
        <v>4.1983746137182303E-3</v>
      </c>
      <c r="E115" s="523">
        <f t="shared" si="13"/>
        <v>1.7883307646849632E-3</v>
      </c>
    </row>
    <row r="116" spans="1:5" s="506" customFormat="1" x14ac:dyDescent="0.2">
      <c r="A116" s="512"/>
      <c r="B116" s="516" t="s">
        <v>783</v>
      </c>
      <c r="C116" s="524">
        <f>SUM(C110+C111+C114)</f>
        <v>0.37458617838480768</v>
      </c>
      <c r="D116" s="524">
        <f>SUM(D110+D111+D114)</f>
        <v>0.36551661613446618</v>
      </c>
      <c r="E116" s="525">
        <f t="shared" si="13"/>
        <v>-9.0695622503415008E-3</v>
      </c>
    </row>
    <row r="117" spans="1:5" s="506" customFormat="1" x14ac:dyDescent="0.2">
      <c r="A117" s="512"/>
      <c r="B117" s="516" t="s">
        <v>784</v>
      </c>
      <c r="C117" s="524">
        <f>SUM(C109+C116)</f>
        <v>0.51390296830377002</v>
      </c>
      <c r="D117" s="524">
        <f>SUM(D109+D116)</f>
        <v>0.46731056350599581</v>
      </c>
      <c r="E117" s="525">
        <f t="shared" si="13"/>
        <v>-4.6592404797774212E-2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333</v>
      </c>
      <c r="B119" s="522" t="s">
        <v>790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639</v>
      </c>
      <c r="C121" s="523">
        <f t="shared" ref="C121:D127" si="14">IF(C$77=0,0,C58/C$77)</f>
        <v>0.32914864919374337</v>
      </c>
      <c r="D121" s="523">
        <f t="shared" si="14"/>
        <v>0.35320047167632185</v>
      </c>
      <c r="E121" s="523">
        <f t="shared" ref="E121:E129" si="15">D121-C121</f>
        <v>2.4051822482578478E-2</v>
      </c>
    </row>
    <row r="122" spans="1:5" s="506" customFormat="1" x14ac:dyDescent="0.2">
      <c r="A122" s="512">
        <v>2</v>
      </c>
      <c r="B122" s="511" t="s">
        <v>618</v>
      </c>
      <c r="C122" s="523">
        <f t="shared" si="14"/>
        <v>0.13125761901008309</v>
      </c>
      <c r="D122" s="523">
        <f t="shared" si="14"/>
        <v>0.14460155206257808</v>
      </c>
      <c r="E122" s="523">
        <f t="shared" si="15"/>
        <v>1.3343933052494983E-2</v>
      </c>
    </row>
    <row r="123" spans="1:5" s="506" customFormat="1" x14ac:dyDescent="0.2">
      <c r="A123" s="512">
        <v>3</v>
      </c>
      <c r="B123" s="511" t="s">
        <v>764</v>
      </c>
      <c r="C123" s="523">
        <f t="shared" si="14"/>
        <v>2.4903870759211973E-2</v>
      </c>
      <c r="D123" s="523">
        <f t="shared" si="14"/>
        <v>3.3803404757019526E-2</v>
      </c>
      <c r="E123" s="523">
        <f t="shared" si="15"/>
        <v>8.899533997807553E-3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1.8149669216096641E-2</v>
      </c>
      <c r="D124" s="523">
        <f t="shared" si="14"/>
        <v>2.3620345394097558E-2</v>
      </c>
      <c r="E124" s="523">
        <f t="shared" si="15"/>
        <v>5.4706761780009168E-3</v>
      </c>
    </row>
    <row r="125" spans="1:5" s="506" customFormat="1" x14ac:dyDescent="0.2">
      <c r="A125" s="512">
        <v>5</v>
      </c>
      <c r="B125" s="511" t="s">
        <v>731</v>
      </c>
      <c r="C125" s="523">
        <f t="shared" si="14"/>
        <v>6.7542015431153301E-3</v>
      </c>
      <c r="D125" s="523">
        <f t="shared" si="14"/>
        <v>1.0183059362921963E-2</v>
      </c>
      <c r="E125" s="523">
        <f t="shared" si="15"/>
        <v>3.4288578198066327E-3</v>
      </c>
    </row>
    <row r="126" spans="1:5" s="506" customFormat="1" x14ac:dyDescent="0.2">
      <c r="A126" s="512">
        <v>6</v>
      </c>
      <c r="B126" s="511" t="s">
        <v>430</v>
      </c>
      <c r="C126" s="523">
        <f t="shared" si="14"/>
        <v>7.8689273319154608E-4</v>
      </c>
      <c r="D126" s="523">
        <f t="shared" si="14"/>
        <v>1.0840079980847263E-3</v>
      </c>
      <c r="E126" s="523">
        <f t="shared" si="15"/>
        <v>2.9711526489318023E-4</v>
      </c>
    </row>
    <row r="127" spans="1:5" s="506" customFormat="1" x14ac:dyDescent="0.2">
      <c r="A127" s="512">
        <v>7</v>
      </c>
      <c r="B127" s="511" t="s">
        <v>746</v>
      </c>
      <c r="C127" s="523">
        <f t="shared" si="14"/>
        <v>2.4733221667468898E-3</v>
      </c>
      <c r="D127" s="523">
        <f t="shared" si="14"/>
        <v>9.0589743936613509E-3</v>
      </c>
      <c r="E127" s="523">
        <f t="shared" si="15"/>
        <v>6.5856522269144612E-3</v>
      </c>
    </row>
    <row r="128" spans="1:5" s="506" customFormat="1" x14ac:dyDescent="0.2">
      <c r="A128" s="512"/>
      <c r="B128" s="516" t="s">
        <v>786</v>
      </c>
      <c r="C128" s="524">
        <f>SUM(C122+C123+C126)</f>
        <v>0.15694838250248661</v>
      </c>
      <c r="D128" s="524">
        <f>SUM(D122+D123+D126)</f>
        <v>0.17948896481768234</v>
      </c>
      <c r="E128" s="525">
        <f t="shared" si="15"/>
        <v>2.2540582315195734E-2</v>
      </c>
    </row>
    <row r="129" spans="1:5" s="506" customFormat="1" x14ac:dyDescent="0.2">
      <c r="A129" s="512"/>
      <c r="B129" s="516" t="s">
        <v>787</v>
      </c>
      <c r="C129" s="524">
        <f>SUM(C121+C128)</f>
        <v>0.48609703169622998</v>
      </c>
      <c r="D129" s="524">
        <f>SUM(D121+D128)</f>
        <v>0.53268943649400424</v>
      </c>
      <c r="E129" s="525">
        <f t="shared" si="15"/>
        <v>4.6592404797774267E-2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791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792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793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639</v>
      </c>
      <c r="C137" s="530">
        <v>794</v>
      </c>
      <c r="D137" s="530">
        <v>743</v>
      </c>
      <c r="E137" s="531">
        <f t="shared" ref="E137:E145" si="16">D137-C137</f>
        <v>-51</v>
      </c>
    </row>
    <row r="138" spans="1:5" s="506" customFormat="1" x14ac:dyDescent="0.2">
      <c r="A138" s="512">
        <v>2</v>
      </c>
      <c r="B138" s="511" t="s">
        <v>618</v>
      </c>
      <c r="C138" s="530">
        <v>1530</v>
      </c>
      <c r="D138" s="530">
        <v>1554</v>
      </c>
      <c r="E138" s="531">
        <f t="shared" si="16"/>
        <v>24</v>
      </c>
    </row>
    <row r="139" spans="1:5" s="506" customFormat="1" x14ac:dyDescent="0.2">
      <c r="A139" s="512">
        <v>3</v>
      </c>
      <c r="B139" s="511" t="s">
        <v>764</v>
      </c>
      <c r="C139" s="530">
        <f>C140+C141</f>
        <v>371</v>
      </c>
      <c r="D139" s="530">
        <f>D140+D141</f>
        <v>377</v>
      </c>
      <c r="E139" s="531">
        <f t="shared" si="16"/>
        <v>6</v>
      </c>
    </row>
    <row r="140" spans="1:5" s="506" customFormat="1" x14ac:dyDescent="0.2">
      <c r="A140" s="512">
        <v>4</v>
      </c>
      <c r="B140" s="511" t="s">
        <v>114</v>
      </c>
      <c r="C140" s="530">
        <v>223</v>
      </c>
      <c r="D140" s="530">
        <v>194</v>
      </c>
      <c r="E140" s="531">
        <f t="shared" si="16"/>
        <v>-29</v>
      </c>
    </row>
    <row r="141" spans="1:5" s="506" customFormat="1" x14ac:dyDescent="0.2">
      <c r="A141" s="512">
        <v>5</v>
      </c>
      <c r="B141" s="511" t="s">
        <v>731</v>
      </c>
      <c r="C141" s="530">
        <v>148</v>
      </c>
      <c r="D141" s="530">
        <v>183</v>
      </c>
      <c r="E141" s="531">
        <f t="shared" si="16"/>
        <v>35</v>
      </c>
    </row>
    <row r="142" spans="1:5" s="506" customFormat="1" x14ac:dyDescent="0.2">
      <c r="A142" s="512">
        <v>6</v>
      </c>
      <c r="B142" s="511" t="s">
        <v>430</v>
      </c>
      <c r="C142" s="530">
        <v>8</v>
      </c>
      <c r="D142" s="530">
        <v>11</v>
      </c>
      <c r="E142" s="531">
        <f t="shared" si="16"/>
        <v>3</v>
      </c>
    </row>
    <row r="143" spans="1:5" s="506" customFormat="1" x14ac:dyDescent="0.2">
      <c r="A143" s="512">
        <v>7</v>
      </c>
      <c r="B143" s="511" t="s">
        <v>746</v>
      </c>
      <c r="C143" s="530">
        <v>57</v>
      </c>
      <c r="D143" s="530">
        <v>73</v>
      </c>
      <c r="E143" s="531">
        <f t="shared" si="16"/>
        <v>16</v>
      </c>
    </row>
    <row r="144" spans="1:5" s="506" customFormat="1" x14ac:dyDescent="0.2">
      <c r="A144" s="512"/>
      <c r="B144" s="516" t="s">
        <v>794</v>
      </c>
      <c r="C144" s="532">
        <f>SUM(C138+C139+C142)</f>
        <v>1909</v>
      </c>
      <c r="D144" s="532">
        <f>SUM(D138+D139+D142)</f>
        <v>1942</v>
      </c>
      <c r="E144" s="533">
        <f t="shared" si="16"/>
        <v>33</v>
      </c>
    </row>
    <row r="145" spans="1:5" s="506" customFormat="1" x14ac:dyDescent="0.2">
      <c r="A145" s="512"/>
      <c r="B145" s="516" t="s">
        <v>708</v>
      </c>
      <c r="C145" s="532">
        <f>SUM(C137+C144)</f>
        <v>2703</v>
      </c>
      <c r="D145" s="532">
        <f>SUM(D137+D144)</f>
        <v>2685</v>
      </c>
      <c r="E145" s="533">
        <f t="shared" si="16"/>
        <v>-18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639</v>
      </c>
      <c r="C149" s="534">
        <v>2402</v>
      </c>
      <c r="D149" s="534">
        <v>2262</v>
      </c>
      <c r="E149" s="531">
        <f t="shared" ref="E149:E157" si="17">D149-C149</f>
        <v>-140</v>
      </c>
    </row>
    <row r="150" spans="1:5" s="506" customFormat="1" x14ac:dyDescent="0.2">
      <c r="A150" s="512">
        <v>2</v>
      </c>
      <c r="B150" s="511" t="s">
        <v>618</v>
      </c>
      <c r="C150" s="534">
        <v>8685</v>
      </c>
      <c r="D150" s="534">
        <v>8469</v>
      </c>
      <c r="E150" s="531">
        <f t="shared" si="17"/>
        <v>-216</v>
      </c>
    </row>
    <row r="151" spans="1:5" s="506" customFormat="1" x14ac:dyDescent="0.2">
      <c r="A151" s="512">
        <v>3</v>
      </c>
      <c r="B151" s="511" t="s">
        <v>764</v>
      </c>
      <c r="C151" s="534">
        <f>C152+C153</f>
        <v>1252</v>
      </c>
      <c r="D151" s="534">
        <f>D152+D153</f>
        <v>1154</v>
      </c>
      <c r="E151" s="531">
        <f t="shared" si="17"/>
        <v>-98</v>
      </c>
    </row>
    <row r="152" spans="1:5" s="506" customFormat="1" x14ac:dyDescent="0.2">
      <c r="A152" s="512">
        <v>4</v>
      </c>
      <c r="B152" s="511" t="s">
        <v>114</v>
      </c>
      <c r="C152" s="534">
        <v>762</v>
      </c>
      <c r="D152" s="534">
        <v>602</v>
      </c>
      <c r="E152" s="531">
        <f t="shared" si="17"/>
        <v>-160</v>
      </c>
    </row>
    <row r="153" spans="1:5" s="506" customFormat="1" x14ac:dyDescent="0.2">
      <c r="A153" s="512">
        <v>5</v>
      </c>
      <c r="B153" s="511" t="s">
        <v>731</v>
      </c>
      <c r="C153" s="535">
        <v>490</v>
      </c>
      <c r="D153" s="534">
        <v>552</v>
      </c>
      <c r="E153" s="531">
        <f t="shared" si="17"/>
        <v>62</v>
      </c>
    </row>
    <row r="154" spans="1:5" s="506" customFormat="1" x14ac:dyDescent="0.2">
      <c r="A154" s="512">
        <v>6</v>
      </c>
      <c r="B154" s="511" t="s">
        <v>430</v>
      </c>
      <c r="C154" s="534">
        <v>16</v>
      </c>
      <c r="D154" s="534">
        <v>29</v>
      </c>
      <c r="E154" s="531">
        <f t="shared" si="17"/>
        <v>13</v>
      </c>
    </row>
    <row r="155" spans="1:5" s="506" customFormat="1" x14ac:dyDescent="0.2">
      <c r="A155" s="512">
        <v>7</v>
      </c>
      <c r="B155" s="511" t="s">
        <v>746</v>
      </c>
      <c r="C155" s="534">
        <v>186</v>
      </c>
      <c r="D155" s="534">
        <v>273</v>
      </c>
      <c r="E155" s="531">
        <f t="shared" si="17"/>
        <v>87</v>
      </c>
    </row>
    <row r="156" spans="1:5" s="506" customFormat="1" x14ac:dyDescent="0.2">
      <c r="A156" s="512"/>
      <c r="B156" s="516" t="s">
        <v>795</v>
      </c>
      <c r="C156" s="532">
        <f>SUM(C150+C151+C154)</f>
        <v>9953</v>
      </c>
      <c r="D156" s="532">
        <f>SUM(D150+D151+D154)</f>
        <v>9652</v>
      </c>
      <c r="E156" s="533">
        <f t="shared" si="17"/>
        <v>-301</v>
      </c>
    </row>
    <row r="157" spans="1:5" s="506" customFormat="1" x14ac:dyDescent="0.2">
      <c r="A157" s="512"/>
      <c r="B157" s="516" t="s">
        <v>796</v>
      </c>
      <c r="C157" s="532">
        <f>SUM(C149+C156)</f>
        <v>12355</v>
      </c>
      <c r="D157" s="532">
        <f>SUM(D149+D156)</f>
        <v>11914</v>
      </c>
      <c r="E157" s="533">
        <f t="shared" si="17"/>
        <v>-441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797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639</v>
      </c>
      <c r="C161" s="536">
        <f t="shared" ref="C161:D169" si="18">IF(C137=0,0,C149/C137)</f>
        <v>3.0251889168765742</v>
      </c>
      <c r="D161" s="536">
        <f t="shared" si="18"/>
        <v>3.0444145356662182</v>
      </c>
      <c r="E161" s="537">
        <f t="shared" ref="E161:E169" si="19">D161-C161</f>
        <v>1.9225618789644017E-2</v>
      </c>
    </row>
    <row r="162" spans="1:5" s="506" customFormat="1" x14ac:dyDescent="0.2">
      <c r="A162" s="512">
        <v>2</v>
      </c>
      <c r="B162" s="511" t="s">
        <v>618</v>
      </c>
      <c r="C162" s="536">
        <f t="shared" si="18"/>
        <v>5.6764705882352944</v>
      </c>
      <c r="D162" s="536">
        <f t="shared" si="18"/>
        <v>5.4498069498069501</v>
      </c>
      <c r="E162" s="537">
        <f t="shared" si="19"/>
        <v>-0.22666363842834425</v>
      </c>
    </row>
    <row r="163" spans="1:5" s="506" customFormat="1" x14ac:dyDescent="0.2">
      <c r="A163" s="512">
        <v>3</v>
      </c>
      <c r="B163" s="511" t="s">
        <v>764</v>
      </c>
      <c r="C163" s="536">
        <f t="shared" si="18"/>
        <v>3.3746630727762805</v>
      </c>
      <c r="D163" s="536">
        <f t="shared" si="18"/>
        <v>3.0610079575596818</v>
      </c>
      <c r="E163" s="537">
        <f t="shared" si="19"/>
        <v>-0.31365511521659872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3.4170403587443947</v>
      </c>
      <c r="D164" s="536">
        <f t="shared" si="18"/>
        <v>3.1030927835051547</v>
      </c>
      <c r="E164" s="537">
        <f t="shared" si="19"/>
        <v>-0.31394757523924</v>
      </c>
    </row>
    <row r="165" spans="1:5" s="506" customFormat="1" x14ac:dyDescent="0.2">
      <c r="A165" s="512">
        <v>5</v>
      </c>
      <c r="B165" s="511" t="s">
        <v>731</v>
      </c>
      <c r="C165" s="536">
        <f t="shared" si="18"/>
        <v>3.310810810810811</v>
      </c>
      <c r="D165" s="536">
        <f t="shared" si="18"/>
        <v>3.0163934426229506</v>
      </c>
      <c r="E165" s="537">
        <f t="shared" si="19"/>
        <v>-0.29441736818786035</v>
      </c>
    </row>
    <row r="166" spans="1:5" s="506" customFormat="1" x14ac:dyDescent="0.2">
      <c r="A166" s="512">
        <v>6</v>
      </c>
      <c r="B166" s="511" t="s">
        <v>430</v>
      </c>
      <c r="C166" s="536">
        <f t="shared" si="18"/>
        <v>2</v>
      </c>
      <c r="D166" s="536">
        <f t="shared" si="18"/>
        <v>2.6363636363636362</v>
      </c>
      <c r="E166" s="537">
        <f t="shared" si="19"/>
        <v>0.63636363636363624</v>
      </c>
    </row>
    <row r="167" spans="1:5" s="506" customFormat="1" x14ac:dyDescent="0.2">
      <c r="A167" s="512">
        <v>7</v>
      </c>
      <c r="B167" s="511" t="s">
        <v>746</v>
      </c>
      <c r="C167" s="536">
        <f t="shared" si="18"/>
        <v>3.263157894736842</v>
      </c>
      <c r="D167" s="536">
        <f t="shared" si="18"/>
        <v>3.7397260273972601</v>
      </c>
      <c r="E167" s="537">
        <f t="shared" si="19"/>
        <v>0.47656813266041809</v>
      </c>
    </row>
    <row r="168" spans="1:5" s="506" customFormat="1" x14ac:dyDescent="0.2">
      <c r="A168" s="512"/>
      <c r="B168" s="516" t="s">
        <v>798</v>
      </c>
      <c r="C168" s="538">
        <f t="shared" si="18"/>
        <v>5.2137244630696697</v>
      </c>
      <c r="D168" s="538">
        <f t="shared" si="18"/>
        <v>4.9701338825952623</v>
      </c>
      <c r="E168" s="539">
        <f t="shared" si="19"/>
        <v>-0.2435905804744074</v>
      </c>
    </row>
    <row r="169" spans="1:5" s="506" customFormat="1" x14ac:dyDescent="0.2">
      <c r="A169" s="512"/>
      <c r="B169" s="516" t="s">
        <v>732</v>
      </c>
      <c r="C169" s="538">
        <f t="shared" si="18"/>
        <v>4.570847206807251</v>
      </c>
      <c r="D169" s="538">
        <f t="shared" si="18"/>
        <v>4.4372439478584731</v>
      </c>
      <c r="E169" s="539">
        <f t="shared" si="19"/>
        <v>-0.13360325894877789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333</v>
      </c>
      <c r="B171" s="509" t="s">
        <v>799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639</v>
      </c>
      <c r="C173" s="541">
        <f t="shared" ref="C173:D181" si="20">IF(C137=0,0,C203/C137)</f>
        <v>1.0126999999999999</v>
      </c>
      <c r="D173" s="541">
        <f t="shared" si="20"/>
        <v>0.98759999999999992</v>
      </c>
      <c r="E173" s="542">
        <f t="shared" ref="E173:E181" si="21">D173-C173</f>
        <v>-2.5100000000000011E-2</v>
      </c>
    </row>
    <row r="174" spans="1:5" s="506" customFormat="1" x14ac:dyDescent="0.2">
      <c r="A174" s="512">
        <v>2</v>
      </c>
      <c r="B174" s="511" t="s">
        <v>618</v>
      </c>
      <c r="C174" s="541">
        <f t="shared" si="20"/>
        <v>1.2059</v>
      </c>
      <c r="D174" s="541">
        <f t="shared" si="20"/>
        <v>1.1576</v>
      </c>
      <c r="E174" s="542">
        <f t="shared" si="21"/>
        <v>-4.830000000000001E-2</v>
      </c>
    </row>
    <row r="175" spans="1:5" s="506" customFormat="1" x14ac:dyDescent="0.2">
      <c r="A175" s="512">
        <v>0</v>
      </c>
      <c r="B175" s="511" t="s">
        <v>764</v>
      </c>
      <c r="C175" s="541">
        <f t="shared" si="20"/>
        <v>0.89058840970350406</v>
      </c>
      <c r="D175" s="541">
        <f t="shared" si="20"/>
        <v>0.9289437665782494</v>
      </c>
      <c r="E175" s="542">
        <f t="shared" si="21"/>
        <v>3.8355356874745339E-2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0.84930000000000005</v>
      </c>
      <c r="D176" s="541">
        <f t="shared" si="20"/>
        <v>0.94869999999999999</v>
      </c>
      <c r="E176" s="542">
        <f t="shared" si="21"/>
        <v>9.9399999999999933E-2</v>
      </c>
    </row>
    <row r="177" spans="1:5" s="506" customFormat="1" x14ac:dyDescent="0.2">
      <c r="A177" s="512">
        <v>5</v>
      </c>
      <c r="B177" s="511" t="s">
        <v>731</v>
      </c>
      <c r="C177" s="541">
        <f t="shared" si="20"/>
        <v>0.95279999999999998</v>
      </c>
      <c r="D177" s="541">
        <f t="shared" si="20"/>
        <v>0.90800000000000014</v>
      </c>
      <c r="E177" s="542">
        <f t="shared" si="21"/>
        <v>-4.479999999999984E-2</v>
      </c>
    </row>
    <row r="178" spans="1:5" s="506" customFormat="1" x14ac:dyDescent="0.2">
      <c r="A178" s="512">
        <v>6</v>
      </c>
      <c r="B178" s="511" t="s">
        <v>430</v>
      </c>
      <c r="C178" s="541">
        <f t="shared" si="20"/>
        <v>0.66390000000000005</v>
      </c>
      <c r="D178" s="541">
        <f t="shared" si="20"/>
        <v>0.77580000000000016</v>
      </c>
      <c r="E178" s="542">
        <f t="shared" si="21"/>
        <v>0.11190000000000011</v>
      </c>
    </row>
    <row r="179" spans="1:5" s="506" customFormat="1" x14ac:dyDescent="0.2">
      <c r="A179" s="512">
        <v>7</v>
      </c>
      <c r="B179" s="511" t="s">
        <v>746</v>
      </c>
      <c r="C179" s="541">
        <f t="shared" si="20"/>
        <v>1.1084000000000001</v>
      </c>
      <c r="D179" s="541">
        <f t="shared" si="20"/>
        <v>0.99189999999999989</v>
      </c>
      <c r="E179" s="542">
        <f t="shared" si="21"/>
        <v>-0.11650000000000016</v>
      </c>
    </row>
    <row r="180" spans="1:5" s="506" customFormat="1" x14ac:dyDescent="0.2">
      <c r="A180" s="512"/>
      <c r="B180" s="516" t="s">
        <v>800</v>
      </c>
      <c r="C180" s="543">
        <f t="shared" si="20"/>
        <v>1.142350183342064</v>
      </c>
      <c r="D180" s="543">
        <f t="shared" si="20"/>
        <v>1.1110484037075179</v>
      </c>
      <c r="E180" s="544">
        <f t="shared" si="21"/>
        <v>-3.1301779634546056E-2</v>
      </c>
    </row>
    <row r="181" spans="1:5" s="506" customFormat="1" x14ac:dyDescent="0.2">
      <c r="A181" s="512"/>
      <c r="B181" s="516" t="s">
        <v>709</v>
      </c>
      <c r="C181" s="543">
        <f t="shared" si="20"/>
        <v>1.1042657417684054</v>
      </c>
      <c r="D181" s="543">
        <f t="shared" si="20"/>
        <v>1.0768874487895717</v>
      </c>
      <c r="E181" s="544">
        <f t="shared" si="21"/>
        <v>-2.7378292978833763E-2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354</v>
      </c>
      <c r="B183" s="509" t="s">
        <v>801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802</v>
      </c>
      <c r="C185" s="513">
        <v>52184837</v>
      </c>
      <c r="D185" s="513">
        <v>52514475</v>
      </c>
      <c r="E185" s="514">
        <f>D185-C185</f>
        <v>329638</v>
      </c>
    </row>
    <row r="186" spans="1:5" s="506" customFormat="1" ht="25.5" x14ac:dyDescent="0.2">
      <c r="A186" s="512">
        <v>2</v>
      </c>
      <c r="B186" s="511" t="s">
        <v>803</v>
      </c>
      <c r="C186" s="513">
        <v>29672248</v>
      </c>
      <c r="D186" s="513">
        <v>28175360</v>
      </c>
      <c r="E186" s="514">
        <f>D186-C186</f>
        <v>-1496888</v>
      </c>
    </row>
    <row r="187" spans="1:5" s="506" customFormat="1" x14ac:dyDescent="0.2">
      <c r="A187" s="512"/>
      <c r="B187" s="511" t="s">
        <v>651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735</v>
      </c>
      <c r="C188" s="546">
        <f>+C185-C186</f>
        <v>22512589</v>
      </c>
      <c r="D188" s="546">
        <f>+D185-D186</f>
        <v>24339115</v>
      </c>
      <c r="E188" s="514">
        <f t="shared" ref="E188:E197" si="22">D188-C188</f>
        <v>1826526</v>
      </c>
    </row>
    <row r="189" spans="1:5" s="506" customFormat="1" x14ac:dyDescent="0.2">
      <c r="A189" s="512">
        <v>4</v>
      </c>
      <c r="B189" s="511" t="s">
        <v>653</v>
      </c>
      <c r="C189" s="547">
        <f>IF(C185=0,0,+C188/C185)</f>
        <v>0.43140096423028013</v>
      </c>
      <c r="D189" s="547">
        <f>IF(D185=0,0,+D188/D185)</f>
        <v>0.46347440396195527</v>
      </c>
      <c r="E189" s="523">
        <f t="shared" si="22"/>
        <v>3.2073439731675146E-2</v>
      </c>
    </row>
    <row r="190" spans="1:5" s="506" customFormat="1" x14ac:dyDescent="0.2">
      <c r="A190" s="512">
        <v>5</v>
      </c>
      <c r="B190" s="511" t="s">
        <v>750</v>
      </c>
      <c r="C190" s="513">
        <v>1967108</v>
      </c>
      <c r="D190" s="513">
        <v>1654961</v>
      </c>
      <c r="E190" s="546">
        <f t="shared" si="22"/>
        <v>-312147</v>
      </c>
    </row>
    <row r="191" spans="1:5" s="506" customFormat="1" x14ac:dyDescent="0.2">
      <c r="A191" s="512">
        <v>6</v>
      </c>
      <c r="B191" s="511" t="s">
        <v>736</v>
      </c>
      <c r="C191" s="513">
        <v>1117229</v>
      </c>
      <c r="D191" s="513">
        <v>1074105</v>
      </c>
      <c r="E191" s="546">
        <f t="shared" si="22"/>
        <v>-43124</v>
      </c>
    </row>
    <row r="192" spans="1:5" ht="29.25" x14ac:dyDescent="0.2">
      <c r="A192" s="512">
        <v>7</v>
      </c>
      <c r="B192" s="548" t="s">
        <v>804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805</v>
      </c>
      <c r="C193" s="513">
        <v>942411</v>
      </c>
      <c r="D193" s="513">
        <v>760089</v>
      </c>
      <c r="E193" s="546">
        <f t="shared" si="22"/>
        <v>-182322</v>
      </c>
    </row>
    <row r="194" spans="1:5" s="506" customFormat="1" x14ac:dyDescent="0.2">
      <c r="A194" s="512">
        <v>9</v>
      </c>
      <c r="B194" s="511" t="s">
        <v>806</v>
      </c>
      <c r="C194" s="513">
        <v>3537228</v>
      </c>
      <c r="D194" s="513">
        <v>2999367</v>
      </c>
      <c r="E194" s="546">
        <f t="shared" si="22"/>
        <v>-537861</v>
      </c>
    </row>
    <row r="195" spans="1:5" s="506" customFormat="1" x14ac:dyDescent="0.2">
      <c r="A195" s="512">
        <v>10</v>
      </c>
      <c r="B195" s="511" t="s">
        <v>807</v>
      </c>
      <c r="C195" s="513">
        <f>+C193+C194</f>
        <v>4479639</v>
      </c>
      <c r="D195" s="513">
        <f>+D193+D194</f>
        <v>3759456</v>
      </c>
      <c r="E195" s="549">
        <f t="shared" si="22"/>
        <v>-720183</v>
      </c>
    </row>
    <row r="196" spans="1:5" s="506" customFormat="1" x14ac:dyDescent="0.2">
      <c r="A196" s="512">
        <v>11</v>
      </c>
      <c r="B196" s="511" t="s">
        <v>808</v>
      </c>
      <c r="C196" s="513">
        <v>52184837</v>
      </c>
      <c r="D196" s="513">
        <v>52514475</v>
      </c>
      <c r="E196" s="546">
        <f t="shared" si="22"/>
        <v>329638</v>
      </c>
    </row>
    <row r="197" spans="1:5" s="506" customFormat="1" x14ac:dyDescent="0.2">
      <c r="A197" s="512">
        <v>12</v>
      </c>
      <c r="B197" s="511" t="s">
        <v>693</v>
      </c>
      <c r="C197" s="513">
        <v>53061849</v>
      </c>
      <c r="D197" s="513">
        <v>51745114</v>
      </c>
      <c r="E197" s="546">
        <f t="shared" si="22"/>
        <v>-1316735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809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810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639</v>
      </c>
      <c r="C203" s="553">
        <v>804.0838</v>
      </c>
      <c r="D203" s="553">
        <v>733.78679999999997</v>
      </c>
      <c r="E203" s="554">
        <f t="shared" ref="E203:E211" si="23">D203-C203</f>
        <v>-70.297000000000025</v>
      </c>
    </row>
    <row r="204" spans="1:5" s="506" customFormat="1" x14ac:dyDescent="0.2">
      <c r="A204" s="512">
        <v>2</v>
      </c>
      <c r="B204" s="511" t="s">
        <v>618</v>
      </c>
      <c r="C204" s="553">
        <v>1845.027</v>
      </c>
      <c r="D204" s="553">
        <v>1798.9104</v>
      </c>
      <c r="E204" s="554">
        <f t="shared" si="23"/>
        <v>-46.116600000000062</v>
      </c>
    </row>
    <row r="205" spans="1:5" s="506" customFormat="1" x14ac:dyDescent="0.2">
      <c r="A205" s="512">
        <v>3</v>
      </c>
      <c r="B205" s="511" t="s">
        <v>764</v>
      </c>
      <c r="C205" s="553">
        <f>C206+C207</f>
        <v>330.4083</v>
      </c>
      <c r="D205" s="553">
        <f>D206+D207</f>
        <v>350.21180000000004</v>
      </c>
      <c r="E205" s="554">
        <f t="shared" si="23"/>
        <v>19.803500000000042</v>
      </c>
    </row>
    <row r="206" spans="1:5" s="506" customFormat="1" x14ac:dyDescent="0.2">
      <c r="A206" s="512">
        <v>4</v>
      </c>
      <c r="B206" s="511" t="s">
        <v>114</v>
      </c>
      <c r="C206" s="553">
        <v>189.3939</v>
      </c>
      <c r="D206" s="553">
        <v>184.0478</v>
      </c>
      <c r="E206" s="554">
        <f t="shared" si="23"/>
        <v>-5.346100000000007</v>
      </c>
    </row>
    <row r="207" spans="1:5" s="506" customFormat="1" x14ac:dyDescent="0.2">
      <c r="A207" s="512">
        <v>5</v>
      </c>
      <c r="B207" s="511" t="s">
        <v>731</v>
      </c>
      <c r="C207" s="553">
        <v>141.01439999999999</v>
      </c>
      <c r="D207" s="553">
        <v>166.16400000000002</v>
      </c>
      <c r="E207" s="554">
        <f t="shared" si="23"/>
        <v>25.149600000000021</v>
      </c>
    </row>
    <row r="208" spans="1:5" s="506" customFormat="1" x14ac:dyDescent="0.2">
      <c r="A208" s="512">
        <v>6</v>
      </c>
      <c r="B208" s="511" t="s">
        <v>430</v>
      </c>
      <c r="C208" s="553">
        <v>5.3112000000000004</v>
      </c>
      <c r="D208" s="553">
        <v>8.5338000000000012</v>
      </c>
      <c r="E208" s="554">
        <f t="shared" si="23"/>
        <v>3.2226000000000008</v>
      </c>
    </row>
    <row r="209" spans="1:5" s="506" customFormat="1" x14ac:dyDescent="0.2">
      <c r="A209" s="512">
        <v>7</v>
      </c>
      <c r="B209" s="511" t="s">
        <v>746</v>
      </c>
      <c r="C209" s="553">
        <v>63.178800000000003</v>
      </c>
      <c r="D209" s="553">
        <v>72.408699999999996</v>
      </c>
      <c r="E209" s="554">
        <f t="shared" si="23"/>
        <v>9.2298999999999936</v>
      </c>
    </row>
    <row r="210" spans="1:5" s="506" customFormat="1" x14ac:dyDescent="0.2">
      <c r="A210" s="512"/>
      <c r="B210" s="516" t="s">
        <v>811</v>
      </c>
      <c r="C210" s="555">
        <f>C204+C205+C208</f>
        <v>2180.7465000000002</v>
      </c>
      <c r="D210" s="555">
        <f>D204+D205+D208</f>
        <v>2157.6559999999999</v>
      </c>
      <c r="E210" s="556">
        <f t="shared" si="23"/>
        <v>-23.090500000000247</v>
      </c>
    </row>
    <row r="211" spans="1:5" s="506" customFormat="1" x14ac:dyDescent="0.2">
      <c r="A211" s="512"/>
      <c r="B211" s="516" t="s">
        <v>710</v>
      </c>
      <c r="C211" s="555">
        <f>C210+C203</f>
        <v>2984.8303000000001</v>
      </c>
      <c r="D211" s="555">
        <f>D210+D203</f>
        <v>2891.4427999999998</v>
      </c>
      <c r="E211" s="556">
        <f t="shared" si="23"/>
        <v>-93.387500000000273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812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639</v>
      </c>
      <c r="C215" s="557">
        <f>IF(C14*C137=0,0,C25/C14*C137)</f>
        <v>2011.0703846221545</v>
      </c>
      <c r="D215" s="557">
        <f>IF(D14*D137=0,0,D25/D14*D137)</f>
        <v>2414.7405594549341</v>
      </c>
      <c r="E215" s="557">
        <f t="shared" ref="E215:E223" si="24">D215-C215</f>
        <v>403.67017483277959</v>
      </c>
    </row>
    <row r="216" spans="1:5" s="506" customFormat="1" x14ac:dyDescent="0.2">
      <c r="A216" s="512">
        <v>2</v>
      </c>
      <c r="B216" s="511" t="s">
        <v>618</v>
      </c>
      <c r="C216" s="557">
        <f>IF(C15*C138=0,0,C26/C15*C138)</f>
        <v>1248.2685995880904</v>
      </c>
      <c r="D216" s="557">
        <f>IF(D15*D138=0,0,D26/D15*D138)</f>
        <v>1401.0602394665041</v>
      </c>
      <c r="E216" s="557">
        <f t="shared" si="24"/>
        <v>152.79163987841366</v>
      </c>
    </row>
    <row r="217" spans="1:5" s="506" customFormat="1" x14ac:dyDescent="0.2">
      <c r="A217" s="512">
        <v>3</v>
      </c>
      <c r="B217" s="511" t="s">
        <v>764</v>
      </c>
      <c r="C217" s="557">
        <f>C218+C219</f>
        <v>427.63064000577339</v>
      </c>
      <c r="D217" s="557">
        <f>D218+D219</f>
        <v>583.35910529962598</v>
      </c>
      <c r="E217" s="557">
        <f t="shared" si="24"/>
        <v>155.72846529385259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263.4927695210049</v>
      </c>
      <c r="D218" s="557">
        <f t="shared" si="25"/>
        <v>335.91821810402405</v>
      </c>
      <c r="E218" s="557">
        <f t="shared" si="24"/>
        <v>72.425448583019147</v>
      </c>
    </row>
    <row r="219" spans="1:5" s="506" customFormat="1" x14ac:dyDescent="0.2">
      <c r="A219" s="512">
        <v>5</v>
      </c>
      <c r="B219" s="511" t="s">
        <v>731</v>
      </c>
      <c r="C219" s="557">
        <f t="shared" si="25"/>
        <v>164.13787048476848</v>
      </c>
      <c r="D219" s="557">
        <f t="shared" si="25"/>
        <v>247.44088719560193</v>
      </c>
      <c r="E219" s="557">
        <f t="shared" si="24"/>
        <v>83.303016710833447</v>
      </c>
    </row>
    <row r="220" spans="1:5" s="506" customFormat="1" x14ac:dyDescent="0.2">
      <c r="A220" s="512">
        <v>6</v>
      </c>
      <c r="B220" s="511" t="s">
        <v>430</v>
      </c>
      <c r="C220" s="557">
        <f t="shared" si="25"/>
        <v>16.163216011042099</v>
      </c>
      <c r="D220" s="557">
        <f t="shared" si="25"/>
        <v>13.48600242477681</v>
      </c>
      <c r="E220" s="557">
        <f t="shared" si="24"/>
        <v>-2.6772135862652888</v>
      </c>
    </row>
    <row r="221" spans="1:5" s="506" customFormat="1" x14ac:dyDescent="0.2">
      <c r="A221" s="512">
        <v>7</v>
      </c>
      <c r="B221" s="511" t="s">
        <v>746</v>
      </c>
      <c r="C221" s="557">
        <f t="shared" si="25"/>
        <v>126.86764919333446</v>
      </c>
      <c r="D221" s="557">
        <f t="shared" si="25"/>
        <v>139.24029763218743</v>
      </c>
      <c r="E221" s="557">
        <f t="shared" si="24"/>
        <v>12.372648438852977</v>
      </c>
    </row>
    <row r="222" spans="1:5" s="506" customFormat="1" x14ac:dyDescent="0.2">
      <c r="A222" s="512"/>
      <c r="B222" s="516" t="s">
        <v>813</v>
      </c>
      <c r="C222" s="558">
        <f>C216+C218+C219+C220</f>
        <v>1692.0624556049058</v>
      </c>
      <c r="D222" s="558">
        <f>D216+D218+D219+D220</f>
        <v>1997.9053471909069</v>
      </c>
      <c r="E222" s="558">
        <f t="shared" si="24"/>
        <v>305.84289158600109</v>
      </c>
    </row>
    <row r="223" spans="1:5" s="506" customFormat="1" x14ac:dyDescent="0.2">
      <c r="A223" s="512"/>
      <c r="B223" s="516" t="s">
        <v>814</v>
      </c>
      <c r="C223" s="558">
        <f>C215+C222</f>
        <v>3703.1328402270601</v>
      </c>
      <c r="D223" s="558">
        <f>D215+D222</f>
        <v>4412.645906645841</v>
      </c>
      <c r="E223" s="558">
        <f t="shared" si="24"/>
        <v>709.51306641878091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815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639</v>
      </c>
      <c r="C227" s="560">
        <f t="shared" ref="C227:D235" si="26">IF(C203=0,0,C47/C203)</f>
        <v>8904.2584864910841</v>
      </c>
      <c r="D227" s="560">
        <f t="shared" si="26"/>
        <v>7116.7265478201571</v>
      </c>
      <c r="E227" s="560">
        <f t="shared" ref="E227:E235" si="27">D227-C227</f>
        <v>-1787.531938670927</v>
      </c>
    </row>
    <row r="228" spans="1:5" s="506" customFormat="1" x14ac:dyDescent="0.2">
      <c r="A228" s="512">
        <v>2</v>
      </c>
      <c r="B228" s="511" t="s">
        <v>618</v>
      </c>
      <c r="C228" s="560">
        <f t="shared" si="26"/>
        <v>9440.1399003917013</v>
      </c>
      <c r="D228" s="560">
        <f t="shared" si="26"/>
        <v>9480.9018837180556</v>
      </c>
      <c r="E228" s="560">
        <f t="shared" si="27"/>
        <v>40.761983326354311</v>
      </c>
    </row>
    <row r="229" spans="1:5" s="506" customFormat="1" x14ac:dyDescent="0.2">
      <c r="A229" s="512">
        <v>3</v>
      </c>
      <c r="B229" s="511" t="s">
        <v>764</v>
      </c>
      <c r="C229" s="560">
        <f t="shared" si="26"/>
        <v>5344.1423838323672</v>
      </c>
      <c r="D229" s="560">
        <f t="shared" si="26"/>
        <v>4383.1989670250969</v>
      </c>
      <c r="E229" s="560">
        <f t="shared" si="27"/>
        <v>-960.9434168072703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5308.4127841498594</v>
      </c>
      <c r="D230" s="560">
        <f t="shared" si="26"/>
        <v>4298.6278564590284</v>
      </c>
      <c r="E230" s="560">
        <f t="shared" si="27"/>
        <v>-1009.784927690831</v>
      </c>
    </row>
    <row r="231" spans="1:5" s="506" customFormat="1" x14ac:dyDescent="0.2">
      <c r="A231" s="512">
        <v>5</v>
      </c>
      <c r="B231" s="511" t="s">
        <v>731</v>
      </c>
      <c r="C231" s="560">
        <f t="shared" si="26"/>
        <v>5392.1301654299141</v>
      </c>
      <c r="D231" s="560">
        <f t="shared" si="26"/>
        <v>4476.8722466960344</v>
      </c>
      <c r="E231" s="560">
        <f t="shared" si="27"/>
        <v>-915.25791873387971</v>
      </c>
    </row>
    <row r="232" spans="1:5" s="506" customFormat="1" x14ac:dyDescent="0.2">
      <c r="A232" s="512">
        <v>6</v>
      </c>
      <c r="B232" s="511" t="s">
        <v>430</v>
      </c>
      <c r="C232" s="560">
        <f t="shared" si="26"/>
        <v>12741.941557463473</v>
      </c>
      <c r="D232" s="560">
        <f t="shared" si="26"/>
        <v>18881.389299022707</v>
      </c>
      <c r="E232" s="560">
        <f t="shared" si="27"/>
        <v>6139.4477415592337</v>
      </c>
    </row>
    <row r="233" spans="1:5" s="506" customFormat="1" x14ac:dyDescent="0.2">
      <c r="A233" s="512">
        <v>7</v>
      </c>
      <c r="B233" s="511" t="s">
        <v>746</v>
      </c>
      <c r="C233" s="560">
        <f t="shared" si="26"/>
        <v>1960.4202675581048</v>
      </c>
      <c r="D233" s="560">
        <f t="shared" si="26"/>
        <v>2974.5320658981586</v>
      </c>
      <c r="E233" s="560">
        <f t="shared" si="27"/>
        <v>1014.1117983400538</v>
      </c>
    </row>
    <row r="234" spans="1:5" x14ac:dyDescent="0.2">
      <c r="A234" s="512"/>
      <c r="B234" s="516" t="s">
        <v>816</v>
      </c>
      <c r="C234" s="561">
        <f t="shared" si="26"/>
        <v>8827.5904604226107</v>
      </c>
      <c r="D234" s="561">
        <f t="shared" si="26"/>
        <v>8690.6675577571223</v>
      </c>
      <c r="E234" s="561">
        <f t="shared" si="27"/>
        <v>-136.92290266548844</v>
      </c>
    </row>
    <row r="235" spans="1:5" s="506" customFormat="1" x14ac:dyDescent="0.2">
      <c r="A235" s="512"/>
      <c r="B235" s="516" t="s">
        <v>817</v>
      </c>
      <c r="C235" s="561">
        <f t="shared" si="26"/>
        <v>8848.2440693529534</v>
      </c>
      <c r="D235" s="561">
        <f t="shared" si="26"/>
        <v>8291.2347427381246</v>
      </c>
      <c r="E235" s="561">
        <f t="shared" si="27"/>
        <v>-557.00932661482875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333</v>
      </c>
      <c r="B237" s="509" t="s">
        <v>818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639</v>
      </c>
      <c r="C239" s="560">
        <f t="shared" ref="C239:D247" si="28">IF(C215=0,0,C58/C215)</f>
        <v>8411.2476268095179</v>
      </c>
      <c r="D239" s="560">
        <f t="shared" si="28"/>
        <v>7503.7613995642014</v>
      </c>
      <c r="E239" s="562">
        <f t="shared" ref="E239:E247" si="29">D239-C239</f>
        <v>-907.48622724531651</v>
      </c>
    </row>
    <row r="240" spans="1:5" s="506" customFormat="1" x14ac:dyDescent="0.2">
      <c r="A240" s="512">
        <v>2</v>
      </c>
      <c r="B240" s="511" t="s">
        <v>618</v>
      </c>
      <c r="C240" s="560">
        <f t="shared" si="28"/>
        <v>5403.9595342107805</v>
      </c>
      <c r="D240" s="560">
        <f t="shared" si="28"/>
        <v>5294.7366508842761</v>
      </c>
      <c r="E240" s="562">
        <f t="shared" si="29"/>
        <v>-109.22288332650442</v>
      </c>
    </row>
    <row r="241" spans="1:5" x14ac:dyDescent="0.2">
      <c r="A241" s="512">
        <v>3</v>
      </c>
      <c r="B241" s="511" t="s">
        <v>764</v>
      </c>
      <c r="C241" s="560">
        <f t="shared" si="28"/>
        <v>2992.909956084346</v>
      </c>
      <c r="D241" s="560">
        <f t="shared" si="28"/>
        <v>2972.710949817606</v>
      </c>
      <c r="E241" s="562">
        <f t="shared" si="29"/>
        <v>-20.199006266740071</v>
      </c>
    </row>
    <row r="242" spans="1:5" x14ac:dyDescent="0.2">
      <c r="A242" s="512">
        <v>4</v>
      </c>
      <c r="B242" s="511" t="s">
        <v>114</v>
      </c>
      <c r="C242" s="560">
        <f t="shared" si="28"/>
        <v>3539.937743626183</v>
      </c>
      <c r="D242" s="560">
        <f t="shared" si="28"/>
        <v>3607.2887229496891</v>
      </c>
      <c r="E242" s="562">
        <f t="shared" si="29"/>
        <v>67.350979323506181</v>
      </c>
    </row>
    <row r="243" spans="1:5" x14ac:dyDescent="0.2">
      <c r="A243" s="512">
        <v>5</v>
      </c>
      <c r="B243" s="511" t="s">
        <v>731</v>
      </c>
      <c r="C243" s="560">
        <f t="shared" si="28"/>
        <v>2114.7587633178841</v>
      </c>
      <c r="D243" s="560">
        <f t="shared" si="28"/>
        <v>2111.2274770783529</v>
      </c>
      <c r="E243" s="562">
        <f t="shared" si="29"/>
        <v>-3.531286239531255</v>
      </c>
    </row>
    <row r="244" spans="1:5" x14ac:dyDescent="0.2">
      <c r="A244" s="512">
        <v>6</v>
      </c>
      <c r="B244" s="511" t="s">
        <v>430</v>
      </c>
      <c r="C244" s="560">
        <f t="shared" si="28"/>
        <v>2501.9773275549196</v>
      </c>
      <c r="D244" s="560">
        <f t="shared" si="28"/>
        <v>4123.6089278636136</v>
      </c>
      <c r="E244" s="562">
        <f t="shared" si="29"/>
        <v>1621.631600308694</v>
      </c>
    </row>
    <row r="245" spans="1:5" x14ac:dyDescent="0.2">
      <c r="A245" s="512">
        <v>7</v>
      </c>
      <c r="B245" s="511" t="s">
        <v>746</v>
      </c>
      <c r="C245" s="560">
        <f t="shared" si="28"/>
        <v>1001.9023825868937</v>
      </c>
      <c r="D245" s="560">
        <f t="shared" si="28"/>
        <v>3337.6616389289393</v>
      </c>
      <c r="E245" s="562">
        <f t="shared" si="29"/>
        <v>2335.7592563420458</v>
      </c>
    </row>
    <row r="246" spans="1:5" ht="25.5" x14ac:dyDescent="0.2">
      <c r="A246" s="512"/>
      <c r="B246" s="516" t="s">
        <v>819</v>
      </c>
      <c r="C246" s="561">
        <f t="shared" si="28"/>
        <v>4766.9002839002624</v>
      </c>
      <c r="D246" s="561">
        <f t="shared" si="28"/>
        <v>4608.8339534936649</v>
      </c>
      <c r="E246" s="563">
        <f t="shared" si="29"/>
        <v>-158.06633040659744</v>
      </c>
    </row>
    <row r="247" spans="1:5" x14ac:dyDescent="0.2">
      <c r="A247" s="512"/>
      <c r="B247" s="516" t="s">
        <v>820</v>
      </c>
      <c r="C247" s="561">
        <f t="shared" si="28"/>
        <v>6746.0458692235952</v>
      </c>
      <c r="D247" s="561">
        <f t="shared" si="28"/>
        <v>6193.0305712593217</v>
      </c>
      <c r="E247" s="563">
        <f t="shared" si="29"/>
        <v>-553.01529796427349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748</v>
      </c>
      <c r="B249" s="550" t="s">
        <v>745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491156.26404863823</v>
      </c>
      <c r="D251" s="546">
        <f>((IF((IF(D15=0,0,D26/D15)*D138)=0,0,D59/(IF(D15=0,0,D26/D15)*D138)))-(IF((IF(D17=0,0,D28/D17)*D140)=0,0,D61/(IF(D17=0,0,D28/D17)*D140))))*(IF(D17=0,0,D28/D17)*D140)</f>
        <v>566844.50109511404</v>
      </c>
      <c r="E251" s="546">
        <f>D251-C251</f>
        <v>75688.237046475813</v>
      </c>
    </row>
    <row r="252" spans="1:5" x14ac:dyDescent="0.2">
      <c r="A252" s="512">
        <v>2</v>
      </c>
      <c r="B252" s="511" t="s">
        <v>731</v>
      </c>
      <c r="C252" s="546">
        <f>IF(C231=0,0,(C228-C231)*C207)+IF(C243=0,0,(C240-C243)*C219)</f>
        <v>1110710.0741010143</v>
      </c>
      <c r="D252" s="546">
        <f>IF(D231=0,0,(D228-D231)*D207)+IF(D243=0,0,(D240-D243)*D219)</f>
        <v>1619219.9149680026</v>
      </c>
      <c r="E252" s="546">
        <f>D252-C252</f>
        <v>508509.84086698829</v>
      </c>
    </row>
    <row r="253" spans="1:5" x14ac:dyDescent="0.2">
      <c r="A253" s="512">
        <v>3</v>
      </c>
      <c r="B253" s="511" t="s">
        <v>746</v>
      </c>
      <c r="C253" s="546">
        <f>IF(C233=0,0,(C228-C233)*C209+IF(C221=0,0,(C240-C245)*C221))</f>
        <v>1031038.3531800957</v>
      </c>
      <c r="D253" s="546">
        <f>IF(D233=0,0,(D228-D233)*D209+IF(D221=0,0,(D240-D245)*D221))</f>
        <v>743621.4873807535</v>
      </c>
      <c r="E253" s="546">
        <f>D253-C253</f>
        <v>-287416.86579934217</v>
      </c>
    </row>
    <row r="254" spans="1:5" ht="15" customHeight="1" x14ac:dyDescent="0.2">
      <c r="A254" s="512"/>
      <c r="B254" s="516" t="s">
        <v>747</v>
      </c>
      <c r="C254" s="564">
        <f>+C251+C252+C253</f>
        <v>2632904.6913297484</v>
      </c>
      <c r="D254" s="564">
        <f>+D251+D252+D253</f>
        <v>2929685.9034438701</v>
      </c>
      <c r="E254" s="564">
        <f>D254-C254</f>
        <v>296781.21211412176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821</v>
      </c>
      <c r="B256" s="550" t="s">
        <v>822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713</v>
      </c>
      <c r="C258" s="546">
        <f>+C44</f>
        <v>129742905</v>
      </c>
      <c r="D258" s="549">
        <f>+D44</f>
        <v>138431770</v>
      </c>
      <c r="E258" s="546">
        <f t="shared" ref="E258:E271" si="30">D258-C258</f>
        <v>8688865</v>
      </c>
    </row>
    <row r="259" spans="1:5" x14ac:dyDescent="0.2">
      <c r="A259" s="512">
        <v>2</v>
      </c>
      <c r="B259" s="511" t="s">
        <v>730</v>
      </c>
      <c r="C259" s="546">
        <f>+(C43-C76)</f>
        <v>50241438</v>
      </c>
      <c r="D259" s="549">
        <f>+(D43-D76)</f>
        <v>57957810</v>
      </c>
      <c r="E259" s="546">
        <f t="shared" si="30"/>
        <v>7716372</v>
      </c>
    </row>
    <row r="260" spans="1:5" x14ac:dyDescent="0.2">
      <c r="A260" s="512">
        <v>3</v>
      </c>
      <c r="B260" s="511" t="s">
        <v>734</v>
      </c>
      <c r="C260" s="546">
        <f>C195</f>
        <v>4479639</v>
      </c>
      <c r="D260" s="546">
        <f>D195</f>
        <v>3759456</v>
      </c>
      <c r="E260" s="546">
        <f t="shared" si="30"/>
        <v>-720183</v>
      </c>
    </row>
    <row r="261" spans="1:5" x14ac:dyDescent="0.2">
      <c r="A261" s="512">
        <v>4</v>
      </c>
      <c r="B261" s="511" t="s">
        <v>735</v>
      </c>
      <c r="C261" s="546">
        <f>C188</f>
        <v>22512589</v>
      </c>
      <c r="D261" s="546">
        <f>D188</f>
        <v>24339115</v>
      </c>
      <c r="E261" s="546">
        <f t="shared" si="30"/>
        <v>1826526</v>
      </c>
    </row>
    <row r="262" spans="1:5" x14ac:dyDescent="0.2">
      <c r="A262" s="512">
        <v>5</v>
      </c>
      <c r="B262" s="511" t="s">
        <v>736</v>
      </c>
      <c r="C262" s="546">
        <f>C191</f>
        <v>1117229</v>
      </c>
      <c r="D262" s="546">
        <f>D191</f>
        <v>1074105</v>
      </c>
      <c r="E262" s="546">
        <f t="shared" si="30"/>
        <v>-43124</v>
      </c>
    </row>
    <row r="263" spans="1:5" x14ac:dyDescent="0.2">
      <c r="A263" s="512">
        <v>6</v>
      </c>
      <c r="B263" s="511" t="s">
        <v>737</v>
      </c>
      <c r="C263" s="546">
        <f>+C259+C260+C261+C262</f>
        <v>78350895</v>
      </c>
      <c r="D263" s="546">
        <f>+D259+D260+D261+D262</f>
        <v>87130486</v>
      </c>
      <c r="E263" s="546">
        <f t="shared" si="30"/>
        <v>8779591</v>
      </c>
    </row>
    <row r="264" spans="1:5" x14ac:dyDescent="0.2">
      <c r="A264" s="512">
        <v>7</v>
      </c>
      <c r="B264" s="511" t="s">
        <v>637</v>
      </c>
      <c r="C264" s="546">
        <f>+C258-C263</f>
        <v>51392010</v>
      </c>
      <c r="D264" s="546">
        <f>+D258-D263</f>
        <v>51301284</v>
      </c>
      <c r="E264" s="546">
        <f t="shared" si="30"/>
        <v>-90726</v>
      </c>
    </row>
    <row r="265" spans="1:5" x14ac:dyDescent="0.2">
      <c r="A265" s="512">
        <v>8</v>
      </c>
      <c r="B265" s="511" t="s">
        <v>823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824</v>
      </c>
      <c r="C266" s="546">
        <f>+C264+C265</f>
        <v>51392010</v>
      </c>
      <c r="D266" s="546">
        <f>+D264+D265</f>
        <v>51301284</v>
      </c>
      <c r="E266" s="565">
        <f t="shared" si="30"/>
        <v>-90726</v>
      </c>
    </row>
    <row r="267" spans="1:5" x14ac:dyDescent="0.2">
      <c r="A267" s="512">
        <v>10</v>
      </c>
      <c r="B267" s="511" t="s">
        <v>825</v>
      </c>
      <c r="C267" s="566">
        <f>IF(C258=0,0,C266/C258)</f>
        <v>0.39610651541986053</v>
      </c>
      <c r="D267" s="566">
        <f>IF(D258=0,0,D266/D258)</f>
        <v>0.37058894789830399</v>
      </c>
      <c r="E267" s="567">
        <f t="shared" si="30"/>
        <v>-2.5517567521556539E-2</v>
      </c>
    </row>
    <row r="268" spans="1:5" x14ac:dyDescent="0.2">
      <c r="A268" s="512">
        <v>11</v>
      </c>
      <c r="B268" s="511" t="s">
        <v>699</v>
      </c>
      <c r="C268" s="546">
        <f>+C260*C267</f>
        <v>1774414.1946289085</v>
      </c>
      <c r="D268" s="568">
        <f>+D260*D267</f>
        <v>1393212.8437099664</v>
      </c>
      <c r="E268" s="546">
        <f t="shared" si="30"/>
        <v>-381201.35091894213</v>
      </c>
    </row>
    <row r="269" spans="1:5" x14ac:dyDescent="0.2">
      <c r="A269" s="512">
        <v>12</v>
      </c>
      <c r="B269" s="511" t="s">
        <v>826</v>
      </c>
      <c r="C269" s="546">
        <f>((C17+C18+C28+C29)*C267)-(C50+C51+C61+C62)</f>
        <v>1668765.5836263644</v>
      </c>
      <c r="D269" s="568">
        <f>((D17+D18+D28+D29)*D267)-(D50+D51+D61+D62)</f>
        <v>1978454.3142369995</v>
      </c>
      <c r="E269" s="546">
        <f t="shared" si="30"/>
        <v>309688.73061063513</v>
      </c>
    </row>
    <row r="270" spans="1:5" s="569" customFormat="1" x14ac:dyDescent="0.2">
      <c r="A270" s="570">
        <v>13</v>
      </c>
      <c r="B270" s="571" t="s">
        <v>827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828</v>
      </c>
      <c r="C271" s="546">
        <f>+C268+C269+C270</f>
        <v>3443179.7782552727</v>
      </c>
      <c r="D271" s="546">
        <f>+D268+D269+D270</f>
        <v>3371667.1579469657</v>
      </c>
      <c r="E271" s="549">
        <f t="shared" si="30"/>
        <v>-71512.620308307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829</v>
      </c>
      <c r="B273" s="550" t="s">
        <v>830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831</v>
      </c>
      <c r="C275" s="340"/>
      <c r="D275" s="340"/>
      <c r="E275" s="520"/>
    </row>
    <row r="276" spans="1:5" x14ac:dyDescent="0.2">
      <c r="A276" s="512">
        <v>1</v>
      </c>
      <c r="B276" s="511" t="s">
        <v>639</v>
      </c>
      <c r="C276" s="547">
        <f t="shared" ref="C276:D284" si="31">IF(C14=0,0,+C47/C14)</f>
        <v>0.484705558993134</v>
      </c>
      <c r="D276" s="547">
        <f t="shared" si="31"/>
        <v>0.42262849713961625</v>
      </c>
      <c r="E276" s="574">
        <f t="shared" ref="E276:E284" si="32">D276-C276</f>
        <v>-6.2077061853517745E-2</v>
      </c>
    </row>
    <row r="277" spans="1:5" x14ac:dyDescent="0.2">
      <c r="A277" s="512">
        <v>2</v>
      </c>
      <c r="B277" s="511" t="s">
        <v>618</v>
      </c>
      <c r="C277" s="547">
        <f t="shared" si="31"/>
        <v>0.48325846249659038</v>
      </c>
      <c r="D277" s="547">
        <f t="shared" si="31"/>
        <v>0.45427229292657584</v>
      </c>
      <c r="E277" s="574">
        <f t="shared" si="32"/>
        <v>-2.8986169570014542E-2</v>
      </c>
    </row>
    <row r="278" spans="1:5" x14ac:dyDescent="0.2">
      <c r="A278" s="512">
        <v>3</v>
      </c>
      <c r="B278" s="511" t="s">
        <v>764</v>
      </c>
      <c r="C278" s="547">
        <f t="shared" si="31"/>
        <v>0.31924034585550493</v>
      </c>
      <c r="D278" s="547">
        <f t="shared" si="31"/>
        <v>0.27688515920308632</v>
      </c>
      <c r="E278" s="574">
        <f t="shared" si="32"/>
        <v>-4.2355186652418608E-2</v>
      </c>
    </row>
    <row r="279" spans="1:5" x14ac:dyDescent="0.2">
      <c r="A279" s="512">
        <v>4</v>
      </c>
      <c r="B279" s="511" t="s">
        <v>114</v>
      </c>
      <c r="C279" s="547">
        <f t="shared" si="31"/>
        <v>0.30840380987438459</v>
      </c>
      <c r="D279" s="547">
        <f t="shared" si="31"/>
        <v>0.26797707291495898</v>
      </c>
      <c r="E279" s="574">
        <f t="shared" si="32"/>
        <v>-4.0426736959425613E-2</v>
      </c>
    </row>
    <row r="280" spans="1:5" x14ac:dyDescent="0.2">
      <c r="A280" s="512">
        <v>5</v>
      </c>
      <c r="B280" s="511" t="s">
        <v>731</v>
      </c>
      <c r="C280" s="547">
        <f t="shared" si="31"/>
        <v>0.33479485686961563</v>
      </c>
      <c r="D280" s="547">
        <f t="shared" si="31"/>
        <v>0.28703284983593602</v>
      </c>
      <c r="E280" s="574">
        <f t="shared" si="32"/>
        <v>-4.776200703367961E-2</v>
      </c>
    </row>
    <row r="281" spans="1:5" x14ac:dyDescent="0.2">
      <c r="A281" s="512">
        <v>6</v>
      </c>
      <c r="B281" s="511" t="s">
        <v>430</v>
      </c>
      <c r="C281" s="547">
        <f t="shared" si="31"/>
        <v>0.97301299746951919</v>
      </c>
      <c r="D281" s="547">
        <f t="shared" si="31"/>
        <v>0.98662698850067965</v>
      </c>
      <c r="E281" s="574">
        <f t="shared" si="32"/>
        <v>1.3613991031160455E-2</v>
      </c>
    </row>
    <row r="282" spans="1:5" x14ac:dyDescent="0.2">
      <c r="A282" s="512">
        <v>7</v>
      </c>
      <c r="B282" s="511" t="s">
        <v>746</v>
      </c>
      <c r="C282" s="547">
        <f t="shared" si="31"/>
        <v>0.12398234615195963</v>
      </c>
      <c r="D282" s="547">
        <f t="shared" si="31"/>
        <v>0.16008544550062101</v>
      </c>
      <c r="E282" s="574">
        <f t="shared" si="32"/>
        <v>3.6103099348661377E-2</v>
      </c>
    </row>
    <row r="283" spans="1:5" ht="29.25" customHeight="1" x14ac:dyDescent="0.2">
      <c r="A283" s="512"/>
      <c r="B283" s="516" t="s">
        <v>832</v>
      </c>
      <c r="C283" s="575">
        <f t="shared" si="31"/>
        <v>0.4622907983086616</v>
      </c>
      <c r="D283" s="575">
        <f t="shared" si="31"/>
        <v>0.43354489666476148</v>
      </c>
      <c r="E283" s="576">
        <f t="shared" si="32"/>
        <v>-2.8745901643900118E-2</v>
      </c>
    </row>
    <row r="284" spans="1:5" x14ac:dyDescent="0.2">
      <c r="A284" s="512"/>
      <c r="B284" s="516" t="s">
        <v>833</v>
      </c>
      <c r="C284" s="575">
        <f t="shared" si="31"/>
        <v>0.46815991390419065</v>
      </c>
      <c r="D284" s="575">
        <f t="shared" si="31"/>
        <v>0.43111921179966306</v>
      </c>
      <c r="E284" s="576">
        <f t="shared" si="32"/>
        <v>-3.704070210452759E-2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834</v>
      </c>
      <c r="C286" s="520"/>
      <c r="D286" s="520"/>
      <c r="E286" s="520"/>
    </row>
    <row r="287" spans="1:5" x14ac:dyDescent="0.2">
      <c r="A287" s="512">
        <v>1</v>
      </c>
      <c r="B287" s="511" t="s">
        <v>639</v>
      </c>
      <c r="C287" s="547">
        <f t="shared" ref="C287:D295" si="33">IF(C25=0,0,+C58/C25)</f>
        <v>0.45212638329572163</v>
      </c>
      <c r="D287" s="547">
        <f t="shared" si="33"/>
        <v>0.45120762837058165</v>
      </c>
      <c r="E287" s="574">
        <f t="shared" ref="E287:E295" si="34">D287-C287</f>
        <v>-9.1875492513998624E-4</v>
      </c>
    </row>
    <row r="288" spans="1:5" x14ac:dyDescent="0.2">
      <c r="A288" s="512">
        <v>2</v>
      </c>
      <c r="B288" s="511" t="s">
        <v>618</v>
      </c>
      <c r="C288" s="547">
        <f t="shared" si="33"/>
        <v>0.22940444597405085</v>
      </c>
      <c r="D288" s="547">
        <f t="shared" si="33"/>
        <v>0.21915553458018611</v>
      </c>
      <c r="E288" s="574">
        <f t="shared" si="34"/>
        <v>-1.0248911393864746E-2</v>
      </c>
    </row>
    <row r="289" spans="1:5" x14ac:dyDescent="0.2">
      <c r="A289" s="512">
        <v>3</v>
      </c>
      <c r="B289" s="511" t="s">
        <v>764</v>
      </c>
      <c r="C289" s="547">
        <f t="shared" si="33"/>
        <v>0.200898207399545</v>
      </c>
      <c r="D289" s="547">
        <f t="shared" si="33"/>
        <v>0.20126392441893529</v>
      </c>
      <c r="E289" s="574">
        <f t="shared" si="34"/>
        <v>3.6571701939028256E-4</v>
      </c>
    </row>
    <row r="290" spans="1:5" x14ac:dyDescent="0.2">
      <c r="A290" s="512">
        <v>4</v>
      </c>
      <c r="B290" s="511" t="s">
        <v>114</v>
      </c>
      <c r="C290" s="547">
        <f t="shared" si="33"/>
        <v>0.24215282959206086</v>
      </c>
      <c r="D290" s="547">
        <f t="shared" si="33"/>
        <v>0.23703899320135094</v>
      </c>
      <c r="E290" s="574">
        <f t="shared" si="34"/>
        <v>-5.1138363907099194E-3</v>
      </c>
    </row>
    <row r="291" spans="1:5" x14ac:dyDescent="0.2">
      <c r="A291" s="512">
        <v>5</v>
      </c>
      <c r="B291" s="511" t="s">
        <v>731</v>
      </c>
      <c r="C291" s="547">
        <f t="shared" si="33"/>
        <v>0.13780897263806327</v>
      </c>
      <c r="D291" s="547">
        <f t="shared" si="33"/>
        <v>0.14907543404618279</v>
      </c>
      <c r="E291" s="574">
        <f t="shared" si="34"/>
        <v>1.1266461408119516E-2</v>
      </c>
    </row>
    <row r="292" spans="1:5" x14ac:dyDescent="0.2">
      <c r="A292" s="512">
        <v>6</v>
      </c>
      <c r="B292" s="511" t="s">
        <v>430</v>
      </c>
      <c r="C292" s="547">
        <f t="shared" si="33"/>
        <v>0.28778207126235561</v>
      </c>
      <c r="D292" s="547">
        <f t="shared" si="33"/>
        <v>0.27774531397491797</v>
      </c>
      <c r="E292" s="574">
        <f t="shared" si="34"/>
        <v>-1.0036757287437637E-2</v>
      </c>
    </row>
    <row r="293" spans="1:5" x14ac:dyDescent="0.2">
      <c r="A293" s="512">
        <v>7</v>
      </c>
      <c r="B293" s="511" t="s">
        <v>746</v>
      </c>
      <c r="C293" s="547">
        <f t="shared" si="33"/>
        <v>5.7166230866859333E-2</v>
      </c>
      <c r="D293" s="547">
        <f t="shared" si="33"/>
        <v>0.18109548002652895</v>
      </c>
      <c r="E293" s="574">
        <f t="shared" si="34"/>
        <v>0.12392924915966962</v>
      </c>
    </row>
    <row r="294" spans="1:5" ht="29.25" customHeight="1" x14ac:dyDescent="0.2">
      <c r="A294" s="512"/>
      <c r="B294" s="516" t="s">
        <v>835</v>
      </c>
      <c r="C294" s="575">
        <f t="shared" si="33"/>
        <v>0.22457648909120406</v>
      </c>
      <c r="D294" s="575">
        <f t="shared" si="33"/>
        <v>0.21581728272860132</v>
      </c>
      <c r="E294" s="576">
        <f t="shared" si="34"/>
        <v>-8.759206362602745E-3</v>
      </c>
    </row>
    <row r="295" spans="1:5" x14ac:dyDescent="0.2">
      <c r="A295" s="512"/>
      <c r="B295" s="516" t="s">
        <v>836</v>
      </c>
      <c r="C295" s="575">
        <f t="shared" si="33"/>
        <v>0.34067480151296325</v>
      </c>
      <c r="D295" s="575">
        <f t="shared" si="33"/>
        <v>0.32994894696851729</v>
      </c>
      <c r="E295" s="576">
        <f t="shared" si="34"/>
        <v>-1.0725854544445967E-2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837</v>
      </c>
      <c r="B297" s="501" t="s">
        <v>838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839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637</v>
      </c>
      <c r="C301" s="514">
        <f>+C48+C47+C50+C51+C52+C59+C58+C61+C62+C63</f>
        <v>51392011</v>
      </c>
      <c r="D301" s="514">
        <f>+D48+D47+D50+D51+D52+D59+D58+D61+D62+D63</f>
        <v>51301282</v>
      </c>
      <c r="E301" s="514">
        <f>D301-C301</f>
        <v>-90729</v>
      </c>
    </row>
    <row r="302" spans="1:5" ht="25.5" x14ac:dyDescent="0.2">
      <c r="A302" s="512">
        <v>2</v>
      </c>
      <c r="B302" s="511" t="s">
        <v>840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841</v>
      </c>
      <c r="C303" s="517">
        <f>+C301+C302</f>
        <v>51392011</v>
      </c>
      <c r="D303" s="517">
        <f>+D301+D302</f>
        <v>51301282</v>
      </c>
      <c r="E303" s="517">
        <f>D303-C303</f>
        <v>-90729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842</v>
      </c>
      <c r="C305" s="513">
        <v>4145549</v>
      </c>
      <c r="D305" s="578">
        <v>4774811</v>
      </c>
      <c r="E305" s="579">
        <f>D305-C305</f>
        <v>629262</v>
      </c>
    </row>
    <row r="306" spans="1:5" x14ac:dyDescent="0.2">
      <c r="A306" s="512">
        <v>4</v>
      </c>
      <c r="B306" s="516" t="s">
        <v>843</v>
      </c>
      <c r="C306" s="580">
        <f>+C303+C305</f>
        <v>55537560</v>
      </c>
      <c r="D306" s="580">
        <f>+D303+D305</f>
        <v>56076093</v>
      </c>
      <c r="E306" s="580">
        <f>D306-C306</f>
        <v>538533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844</v>
      </c>
      <c r="C308" s="513">
        <v>55537559</v>
      </c>
      <c r="D308" s="513">
        <v>56076094</v>
      </c>
      <c r="E308" s="514">
        <f>D308-C308</f>
        <v>538535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845</v>
      </c>
      <c r="C310" s="581">
        <f>C306-C308</f>
        <v>1</v>
      </c>
      <c r="D310" s="582">
        <f>D306-D308</f>
        <v>-1</v>
      </c>
      <c r="E310" s="580">
        <f>D310-C310</f>
        <v>-2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846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847</v>
      </c>
      <c r="C314" s="514">
        <f>+C14+C15+C16+C19+C25+C26+C27+C30</f>
        <v>129742905</v>
      </c>
      <c r="D314" s="514">
        <f>+D14+D15+D16+D19+D25+D26+D27+D30</f>
        <v>138431770</v>
      </c>
      <c r="E314" s="514">
        <f>D314-C314</f>
        <v>8688865</v>
      </c>
    </row>
    <row r="315" spans="1:5" x14ac:dyDescent="0.2">
      <c r="A315" s="512">
        <v>2</v>
      </c>
      <c r="B315" s="583" t="s">
        <v>848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849</v>
      </c>
      <c r="C316" s="581">
        <f>C314+C315</f>
        <v>129742905</v>
      </c>
      <c r="D316" s="581">
        <f>D314+D315</f>
        <v>138431770</v>
      </c>
      <c r="E316" s="517">
        <f>D316-C316</f>
        <v>8688865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850</v>
      </c>
      <c r="C318" s="513">
        <v>129742905</v>
      </c>
      <c r="D318" s="513">
        <v>138431770</v>
      </c>
      <c r="E318" s="514">
        <f>D318-C318</f>
        <v>8688865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845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851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852</v>
      </c>
      <c r="C324" s="513">
        <f>+C193+C194</f>
        <v>4479639</v>
      </c>
      <c r="D324" s="513">
        <f>+D193+D194</f>
        <v>3759456</v>
      </c>
      <c r="E324" s="514">
        <f>D324-C324</f>
        <v>-720183</v>
      </c>
    </row>
    <row r="325" spans="1:5" x14ac:dyDescent="0.2">
      <c r="A325" s="512">
        <v>2</v>
      </c>
      <c r="B325" s="511" t="s">
        <v>853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854</v>
      </c>
      <c r="C326" s="581">
        <f>C324+C325</f>
        <v>4479639</v>
      </c>
      <c r="D326" s="581">
        <f>D324+D325</f>
        <v>3759456</v>
      </c>
      <c r="E326" s="517">
        <f>D326-C326</f>
        <v>-720183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855</v>
      </c>
      <c r="C328" s="513">
        <v>4479639</v>
      </c>
      <c r="D328" s="513">
        <v>3759456</v>
      </c>
      <c r="E328" s="514">
        <f>D328-C328</f>
        <v>-720183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856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FILING&amp;RESSENT-SHARON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609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857</v>
      </c>
      <c r="B5" s="696"/>
      <c r="C5" s="697"/>
      <c r="D5" s="585"/>
    </row>
    <row r="6" spans="1:58" s="338" customFormat="1" ht="15.75" customHeight="1" x14ac:dyDescent="0.25">
      <c r="A6" s="695" t="s">
        <v>858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859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860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763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639</v>
      </c>
      <c r="C14" s="513">
        <v>12356384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618</v>
      </c>
      <c r="C15" s="515">
        <v>37544207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764</v>
      </c>
      <c r="C16" s="515">
        <v>5543988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2952316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731</v>
      </c>
      <c r="C18" s="515">
        <v>2591672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430</v>
      </c>
      <c r="C19" s="515">
        <v>163314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746</v>
      </c>
      <c r="C20" s="515">
        <v>1345419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765</v>
      </c>
      <c r="C21" s="517">
        <f>SUM(C15+C16+C19)</f>
        <v>43251509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705</v>
      </c>
      <c r="C22" s="517">
        <f>SUM(C14+C21)</f>
        <v>55607893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766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639</v>
      </c>
      <c r="C25" s="513">
        <v>40158091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618</v>
      </c>
      <c r="C26" s="515">
        <v>33849225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764</v>
      </c>
      <c r="C27" s="515">
        <v>8616338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5112045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731</v>
      </c>
      <c r="C29" s="515">
        <v>3504293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430</v>
      </c>
      <c r="C30" s="515">
        <v>200223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746</v>
      </c>
      <c r="C31" s="518">
        <v>2566254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767</v>
      </c>
      <c r="C32" s="517">
        <f>SUM(C26+C27+C30)</f>
        <v>42665786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711</v>
      </c>
      <c r="C33" s="517">
        <f>SUM(C25+C32)</f>
        <v>82823877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636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861</v>
      </c>
      <c r="C36" s="514">
        <f>SUM(C14+C25)</f>
        <v>52514475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862</v>
      </c>
      <c r="C37" s="518">
        <f>SUM(C21+C32)</f>
        <v>85917295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636</v>
      </c>
      <c r="C38" s="517">
        <f>SUM(+C36+C37)</f>
        <v>138431770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333</v>
      </c>
      <c r="B40" s="509" t="s">
        <v>776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639</v>
      </c>
      <c r="C41" s="513">
        <v>5222160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618</v>
      </c>
      <c r="C42" s="515">
        <v>17055293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764</v>
      </c>
      <c r="C43" s="515">
        <v>1535048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791153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731</v>
      </c>
      <c r="C45" s="515">
        <v>743895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430</v>
      </c>
      <c r="C46" s="515">
        <v>161130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746</v>
      </c>
      <c r="C47" s="515">
        <v>215382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777</v>
      </c>
      <c r="C48" s="517">
        <f>SUM(C42+C43+C46)</f>
        <v>18751471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706</v>
      </c>
      <c r="C49" s="517">
        <f>SUM(C41+C48)</f>
        <v>23973631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354</v>
      </c>
      <c r="B51" s="509" t="s">
        <v>778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639</v>
      </c>
      <c r="C52" s="513">
        <v>18119637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618</v>
      </c>
      <c r="C53" s="515">
        <v>7418245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764</v>
      </c>
      <c r="C54" s="515">
        <v>1734158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1211754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731</v>
      </c>
      <c r="C56" s="515">
        <v>522404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430</v>
      </c>
      <c r="C57" s="515">
        <v>55611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746</v>
      </c>
      <c r="C58" s="515">
        <v>464737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779</v>
      </c>
      <c r="C59" s="517">
        <f>SUM(C53+C54+C57)</f>
        <v>9208014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712</v>
      </c>
      <c r="C60" s="517">
        <f>SUM(C52+C59)</f>
        <v>27327651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366</v>
      </c>
      <c r="B62" s="521" t="s">
        <v>637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863</v>
      </c>
      <c r="C63" s="514">
        <f>SUM(C41+C52)</f>
        <v>23341797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864</v>
      </c>
      <c r="C64" s="518">
        <f>SUM(C48+C59)</f>
        <v>27959485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637</v>
      </c>
      <c r="C65" s="517">
        <f>SUM(+C63+C64)</f>
        <v>51301282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865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866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639</v>
      </c>
      <c r="C70" s="530">
        <v>743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618</v>
      </c>
      <c r="C71" s="530">
        <v>1554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764</v>
      </c>
      <c r="C72" s="530">
        <v>377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194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731</v>
      </c>
      <c r="C74" s="530">
        <v>183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430</v>
      </c>
      <c r="C75" s="545">
        <v>11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746</v>
      </c>
      <c r="C76" s="545">
        <v>73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794</v>
      </c>
      <c r="C77" s="532">
        <f>SUM(C71+C72+C75)</f>
        <v>1942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708</v>
      </c>
      <c r="C78" s="596">
        <f>SUM(C70+C77)</f>
        <v>2685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799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639</v>
      </c>
      <c r="C81" s="541">
        <v>0.98760000000000003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618</v>
      </c>
      <c r="C82" s="541">
        <v>1.1576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764</v>
      </c>
      <c r="C83" s="541">
        <f>((C73*C84)+(C74*C85))/(C73+C74)</f>
        <v>0.9289437665782494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0.94869999999999999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731</v>
      </c>
      <c r="C85" s="541">
        <v>0.90800000000000003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430</v>
      </c>
      <c r="C86" s="541">
        <v>0.77580000000000005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746</v>
      </c>
      <c r="C87" s="541">
        <v>0.9919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800</v>
      </c>
      <c r="C88" s="543">
        <f>((C71*C82)+(C73*C84)+(C74*C85)+(C75*C86))/(C71+C73+C74+C75)</f>
        <v>1.1110484037075183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709</v>
      </c>
      <c r="C89" s="543">
        <f>((C70*C81)+(C71*C82)+(C73*C84)+(C74*C85)+(C75*C86))/(C70+C71+C73+C74+C75)</f>
        <v>1.0768874487895719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801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802</v>
      </c>
      <c r="C92" s="513">
        <v>52514475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803</v>
      </c>
      <c r="C93" s="546">
        <v>28175360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651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735</v>
      </c>
      <c r="C95" s="513">
        <f>+C92-C93</f>
        <v>24339115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653</v>
      </c>
      <c r="C96" s="597">
        <f>(+C92-C93)/C92</f>
        <v>0.46347440396195527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750</v>
      </c>
      <c r="C98" s="513">
        <v>1654961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736</v>
      </c>
      <c r="C99" s="513">
        <v>1074105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867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805</v>
      </c>
      <c r="C103" s="513">
        <v>760089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806</v>
      </c>
      <c r="C104" s="513">
        <v>2999367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807</v>
      </c>
      <c r="C105" s="578">
        <f>+C103+C104</f>
        <v>3759456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808</v>
      </c>
      <c r="C107" s="513">
        <v>453530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693</v>
      </c>
      <c r="C108" s="513">
        <v>51745114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838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839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637</v>
      </c>
      <c r="C114" s="514">
        <f>+C65</f>
        <v>51301282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840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841</v>
      </c>
      <c r="C116" s="517">
        <f>+C114+C115</f>
        <v>51301282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842</v>
      </c>
      <c r="C118" s="578">
        <v>4774811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843</v>
      </c>
      <c r="C119" s="580">
        <f>+C116+C118</f>
        <v>56076093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844</v>
      </c>
      <c r="C121" s="513">
        <v>56076094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845</v>
      </c>
      <c r="C123" s="582">
        <f>C119-C121</f>
        <v>-1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846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847</v>
      </c>
      <c r="C127" s="514">
        <f>+C38</f>
        <v>138431770</v>
      </c>
      <c r="D127" s="588"/>
      <c r="AR127" s="507"/>
    </row>
    <row r="128" spans="1:58" s="506" customFormat="1" x14ac:dyDescent="0.2">
      <c r="A128" s="512">
        <v>2</v>
      </c>
      <c r="B128" s="583" t="s">
        <v>848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849</v>
      </c>
      <c r="C129" s="581">
        <f>C127+C128</f>
        <v>138431770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850</v>
      </c>
      <c r="C131" s="513">
        <v>138431770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845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851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852</v>
      </c>
      <c r="C137" s="513">
        <f>C105</f>
        <v>3759456</v>
      </c>
      <c r="D137" s="588"/>
      <c r="AR137" s="507"/>
    </row>
    <row r="138" spans="1:44" s="506" customFormat="1" x14ac:dyDescent="0.2">
      <c r="A138" s="512">
        <v>2</v>
      </c>
      <c r="B138" s="511" t="s">
        <v>868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854</v>
      </c>
      <c r="C139" s="581">
        <f>C137+C138</f>
        <v>3759456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869</v>
      </c>
      <c r="C141" s="513">
        <v>3759456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856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FILING&amp;RESSENT-SHARON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870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613</v>
      </c>
      <c r="D8" s="35" t="s">
        <v>613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615</v>
      </c>
      <c r="D9" s="607" t="s">
        <v>616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871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872</v>
      </c>
      <c r="C12" s="49">
        <v>71</v>
      </c>
      <c r="D12" s="49">
        <v>65</v>
      </c>
      <c r="E12" s="49">
        <f>+D12-C12</f>
        <v>-6</v>
      </c>
      <c r="F12" s="70">
        <f>IF(C12=0,0,+E12/C12)</f>
        <v>-8.4507042253521125E-2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873</v>
      </c>
      <c r="C13" s="49">
        <v>71</v>
      </c>
      <c r="D13" s="49">
        <v>65</v>
      </c>
      <c r="E13" s="49">
        <f>+D13-C13</f>
        <v>-6</v>
      </c>
      <c r="F13" s="70">
        <f>IF(C13=0,0,+E13/C13)</f>
        <v>-8.4507042253521125E-2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874</v>
      </c>
      <c r="C15" s="51">
        <v>942411</v>
      </c>
      <c r="D15" s="51">
        <v>760089</v>
      </c>
      <c r="E15" s="51">
        <f>+D15-C15</f>
        <v>-182322</v>
      </c>
      <c r="F15" s="70">
        <f>IF(C15=0,0,+E15/C15)</f>
        <v>-0.19346336152697707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875</v>
      </c>
      <c r="C16" s="27">
        <f>IF(C13=0,0,+C15/+C13)</f>
        <v>13273.394366197183</v>
      </c>
      <c r="D16" s="27">
        <f>IF(D13=0,0,+D15/+D13)</f>
        <v>11693.676923076922</v>
      </c>
      <c r="E16" s="27">
        <f>+D16-C16</f>
        <v>-1579.7174431202602</v>
      </c>
      <c r="F16" s="28">
        <f>IF(C16=0,0,+E16/C16)</f>
        <v>-0.11901382566792883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876</v>
      </c>
      <c r="C18" s="210">
        <v>0.39556999999999998</v>
      </c>
      <c r="D18" s="210">
        <v>0.40754000000000001</v>
      </c>
      <c r="E18" s="210">
        <f>+D18-C18</f>
        <v>1.1970000000000036E-2</v>
      </c>
      <c r="F18" s="70">
        <f>IF(C18=0,0,+E18/C18)</f>
        <v>3.026013095027438E-2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877</v>
      </c>
      <c r="C19" s="27">
        <f>+C15*C18</f>
        <v>372789.51926999999</v>
      </c>
      <c r="D19" s="27">
        <f>+D15*D18</f>
        <v>309766.67106000002</v>
      </c>
      <c r="E19" s="27">
        <f>+D19-C19</f>
        <v>-63022.848209999967</v>
      </c>
      <c r="F19" s="28">
        <f>IF(C19=0,0,+E19/C19)</f>
        <v>-0.16905745723058929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878</v>
      </c>
      <c r="C20" s="27">
        <f>IF(C13=0,0,+C19/C13)</f>
        <v>5250.5566094366195</v>
      </c>
      <c r="D20" s="27">
        <f>IF(D13=0,0,+D19/D13)</f>
        <v>4765.6410932307699</v>
      </c>
      <c r="E20" s="27">
        <f>+D20-C20</f>
        <v>-484.9155162058496</v>
      </c>
      <c r="F20" s="28">
        <f>IF(C20=0,0,+E20/C20)</f>
        <v>-9.2355068667258997E-2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879</v>
      </c>
      <c r="C22" s="51">
        <v>378321</v>
      </c>
      <c r="D22" s="51">
        <v>166790</v>
      </c>
      <c r="E22" s="51">
        <f>+D22-C22</f>
        <v>-211531</v>
      </c>
      <c r="F22" s="70">
        <f>IF(C22=0,0,+E22/C22)</f>
        <v>-0.55913100250845182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880</v>
      </c>
      <c r="C23" s="49">
        <v>421562</v>
      </c>
      <c r="D23" s="49">
        <v>89019</v>
      </c>
      <c r="E23" s="49">
        <f>+D23-C23</f>
        <v>-332543</v>
      </c>
      <c r="F23" s="70">
        <f>IF(C23=0,0,+E23/C23)</f>
        <v>-0.78883533145776896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881</v>
      </c>
      <c r="C24" s="49">
        <v>142528</v>
      </c>
      <c r="D24" s="49">
        <v>504280</v>
      </c>
      <c r="E24" s="49">
        <f>+D24-C24</f>
        <v>361752</v>
      </c>
      <c r="F24" s="70">
        <f>IF(C24=0,0,+E24/C24)</f>
        <v>2.5381118096093398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874</v>
      </c>
      <c r="C25" s="27">
        <f>+C22+C23+C24</f>
        <v>942411</v>
      </c>
      <c r="D25" s="27">
        <f>+D22+D23+D24</f>
        <v>760089</v>
      </c>
      <c r="E25" s="27">
        <f>+E22+E23+E24</f>
        <v>-182322</v>
      </c>
      <c r="F25" s="28">
        <f>IF(C25=0,0,+E25/C25)</f>
        <v>-0.19346336152697707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882</v>
      </c>
      <c r="C27" s="49">
        <v>144</v>
      </c>
      <c r="D27" s="49">
        <v>59</v>
      </c>
      <c r="E27" s="49">
        <f>+D27-C27</f>
        <v>-85</v>
      </c>
      <c r="F27" s="70">
        <f>IF(C27=0,0,+E27/C27)</f>
        <v>-0.59027777777777779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883</v>
      </c>
      <c r="C28" s="49">
        <v>35</v>
      </c>
      <c r="D28" s="49">
        <v>15</v>
      </c>
      <c r="E28" s="49">
        <f>+D28-C28</f>
        <v>-20</v>
      </c>
      <c r="F28" s="70">
        <f>IF(C28=0,0,+E28/C28)</f>
        <v>-0.5714285714285714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884</v>
      </c>
      <c r="C29" s="49">
        <v>125</v>
      </c>
      <c r="D29" s="49">
        <v>89</v>
      </c>
      <c r="E29" s="49">
        <f>+D29-C29</f>
        <v>-36</v>
      </c>
      <c r="F29" s="70">
        <f>IF(C29=0,0,+E29/C29)</f>
        <v>-0.28799999999999998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885</v>
      </c>
      <c r="C30" s="49">
        <v>259</v>
      </c>
      <c r="D30" s="49">
        <v>212</v>
      </c>
      <c r="E30" s="49">
        <f>+D30-C30</f>
        <v>-47</v>
      </c>
      <c r="F30" s="70">
        <f>IF(C30=0,0,+E30/C30)</f>
        <v>-0.18146718146718147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886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887</v>
      </c>
      <c r="C33" s="51">
        <v>958930</v>
      </c>
      <c r="D33" s="51">
        <v>949731</v>
      </c>
      <c r="E33" s="51">
        <f>+D33-C33</f>
        <v>-9199</v>
      </c>
      <c r="F33" s="70">
        <f>IF(C33=0,0,+E33/C33)</f>
        <v>-9.592983846578999E-3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888</v>
      </c>
      <c r="C34" s="49">
        <v>1247446</v>
      </c>
      <c r="D34" s="49">
        <v>1062787</v>
      </c>
      <c r="E34" s="49">
        <f>+D34-C34</f>
        <v>-184659</v>
      </c>
      <c r="F34" s="70">
        <f>IF(C34=0,0,+E34/C34)</f>
        <v>-0.14802965418943986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889</v>
      </c>
      <c r="C35" s="49">
        <v>1330852</v>
      </c>
      <c r="D35" s="49">
        <v>986849</v>
      </c>
      <c r="E35" s="49">
        <f>+D35-C35</f>
        <v>-344003</v>
      </c>
      <c r="F35" s="70">
        <f>IF(C35=0,0,+E35/C35)</f>
        <v>-0.25848328739784737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890</v>
      </c>
      <c r="C36" s="27">
        <f>+C33+C34+C35</f>
        <v>3537228</v>
      </c>
      <c r="D36" s="27">
        <f>+D33+D34+D35</f>
        <v>2999367</v>
      </c>
      <c r="E36" s="27">
        <f>+E33+E34+E35</f>
        <v>-537861</v>
      </c>
      <c r="F36" s="28">
        <f>IF(C36=0,0,+E36/C36)</f>
        <v>-0.15205720411576523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891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892</v>
      </c>
      <c r="C39" s="51">
        <f>+C25</f>
        <v>942411</v>
      </c>
      <c r="D39" s="51">
        <f>+D25</f>
        <v>760089</v>
      </c>
      <c r="E39" s="51">
        <f>+D39-C39</f>
        <v>-182322</v>
      </c>
      <c r="F39" s="70">
        <f>IF(C39=0,0,+E39/C39)</f>
        <v>-0.19346336152697707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893</v>
      </c>
      <c r="C40" s="49">
        <f>+C36</f>
        <v>3537228</v>
      </c>
      <c r="D40" s="49">
        <f>+D36</f>
        <v>2999367</v>
      </c>
      <c r="E40" s="49">
        <f>+D40-C40</f>
        <v>-537861</v>
      </c>
      <c r="F40" s="70">
        <f>IF(C40=0,0,+E40/C40)</f>
        <v>-0.15205720411576523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894</v>
      </c>
      <c r="C41" s="27">
        <f>+C39+C40</f>
        <v>4479639</v>
      </c>
      <c r="D41" s="27">
        <f>+D39+D40</f>
        <v>3759456</v>
      </c>
      <c r="E41" s="27">
        <f>+E39+E40</f>
        <v>-720183</v>
      </c>
      <c r="F41" s="28">
        <f>IF(C41=0,0,+E41/C41)</f>
        <v>-0.16076808867857431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895</v>
      </c>
      <c r="C43" s="51">
        <f t="shared" ref="C43:D45" si="0">+C22+C33</f>
        <v>1337251</v>
      </c>
      <c r="D43" s="51">
        <f t="shared" si="0"/>
        <v>1116521</v>
      </c>
      <c r="E43" s="51">
        <f>+D43-C43</f>
        <v>-220730</v>
      </c>
      <c r="F43" s="70">
        <f>IF(C43=0,0,+E43/C43)</f>
        <v>-0.16506250509440637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896</v>
      </c>
      <c r="C44" s="49">
        <f t="shared" si="0"/>
        <v>1669008</v>
      </c>
      <c r="D44" s="49">
        <f t="shared" si="0"/>
        <v>1151806</v>
      </c>
      <c r="E44" s="49">
        <f>+D44-C44</f>
        <v>-517202</v>
      </c>
      <c r="F44" s="70">
        <f>IF(C44=0,0,+E44/C44)</f>
        <v>-0.30988587232655568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897</v>
      </c>
      <c r="C45" s="49">
        <f t="shared" si="0"/>
        <v>1473380</v>
      </c>
      <c r="D45" s="49">
        <f t="shared" si="0"/>
        <v>1491129</v>
      </c>
      <c r="E45" s="49">
        <f>+D45-C45</f>
        <v>17749</v>
      </c>
      <c r="F45" s="70">
        <f>IF(C45=0,0,+E45/C45)</f>
        <v>1.204645101738859E-2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894</v>
      </c>
      <c r="C46" s="27">
        <f>+C43+C44+C45</f>
        <v>4479639</v>
      </c>
      <c r="D46" s="27">
        <f>+D43+D44+D45</f>
        <v>3759456</v>
      </c>
      <c r="E46" s="27">
        <f>+E43+E44+E45</f>
        <v>-720183</v>
      </c>
      <c r="F46" s="28">
        <f>IF(C46=0,0,+E46/C46)</f>
        <v>-0.16076808867857431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898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FILING&amp;RESSENT-SHARON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899</v>
      </c>
      <c r="B5" s="712"/>
      <c r="C5" s="712"/>
      <c r="D5" s="712"/>
      <c r="E5" s="712"/>
      <c r="F5" s="713"/>
    </row>
    <row r="6" spans="1:14" ht="15.75" customHeight="1" x14ac:dyDescent="0.25">
      <c r="A6" s="711" t="s">
        <v>900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615</v>
      </c>
      <c r="D9" s="35" t="s">
        <v>616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901</v>
      </c>
      <c r="D10" s="35" t="s">
        <v>901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902</v>
      </c>
      <c r="D11" s="605" t="s">
        <v>902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903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337</v>
      </c>
      <c r="C15" s="51">
        <v>52184837</v>
      </c>
      <c r="D15" s="51">
        <v>52514475</v>
      </c>
      <c r="E15" s="51">
        <f>+D15-C15</f>
        <v>329638</v>
      </c>
      <c r="F15" s="70">
        <f>+E15/C15</f>
        <v>6.3167390941548784E-3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519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904</v>
      </c>
      <c r="C17" s="51">
        <v>22512589</v>
      </c>
      <c r="D17" s="51">
        <v>24339115</v>
      </c>
      <c r="E17" s="51">
        <f>+D17-C17</f>
        <v>1826526</v>
      </c>
      <c r="F17" s="70">
        <f>+E17/C17</f>
        <v>8.1133538217217041E-2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905</v>
      </c>
      <c r="C19" s="27">
        <f>+C15-C17</f>
        <v>29672248</v>
      </c>
      <c r="D19" s="27">
        <f>+D15-D17</f>
        <v>28175360</v>
      </c>
      <c r="E19" s="27">
        <f>+D19-C19</f>
        <v>-1496888</v>
      </c>
      <c r="F19" s="28">
        <f>+E19/C19</f>
        <v>-5.0447407961809972E-2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906</v>
      </c>
      <c r="C21" s="628">
        <f>+C17/C15</f>
        <v>0.43140096423028013</v>
      </c>
      <c r="D21" s="628">
        <f>+D17/D15</f>
        <v>0.46347440396195527</v>
      </c>
      <c r="E21" s="628">
        <f>+D21-C21</f>
        <v>3.2073439731675146E-2</v>
      </c>
      <c r="F21" s="28">
        <f>+E21/C21</f>
        <v>7.4347167463803973E-2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519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519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519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519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907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FILING&amp;R&amp;12ESSENT-SHARON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908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909</v>
      </c>
      <c r="B6" s="632" t="s">
        <v>910</v>
      </c>
      <c r="C6" s="632" t="s">
        <v>911</v>
      </c>
      <c r="D6" s="632" t="s">
        <v>912</v>
      </c>
      <c r="E6" s="632" t="s">
        <v>913</v>
      </c>
    </row>
    <row r="7" spans="1:6" ht="37.5" customHeight="1" x14ac:dyDescent="0.25">
      <c r="A7" s="633" t="s">
        <v>8</v>
      </c>
      <c r="B7" s="634" t="s">
        <v>914</v>
      </c>
      <c r="C7" s="631" t="s">
        <v>915</v>
      </c>
      <c r="D7" s="631" t="s">
        <v>916</v>
      </c>
      <c r="E7" s="631" t="s">
        <v>917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918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919</v>
      </c>
      <c r="C10" s="641">
        <v>50003842</v>
      </c>
      <c r="D10" s="641">
        <v>56413431</v>
      </c>
      <c r="E10" s="641">
        <v>55607893</v>
      </c>
    </row>
    <row r="11" spans="1:6" ht="26.1" customHeight="1" x14ac:dyDescent="0.25">
      <c r="A11" s="639">
        <v>2</v>
      </c>
      <c r="B11" s="640" t="s">
        <v>920</v>
      </c>
      <c r="C11" s="641">
        <v>71084105</v>
      </c>
      <c r="D11" s="641">
        <v>73329474</v>
      </c>
      <c r="E11" s="641">
        <v>82823877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121087947</v>
      </c>
      <c r="D12" s="641">
        <f>+D11+D10</f>
        <v>129742905</v>
      </c>
      <c r="E12" s="641">
        <f>+E11+E10</f>
        <v>138431770</v>
      </c>
    </row>
    <row r="13" spans="1:6" ht="26.1" customHeight="1" x14ac:dyDescent="0.25">
      <c r="A13" s="639">
        <v>4</v>
      </c>
      <c r="B13" s="640" t="s">
        <v>496</v>
      </c>
      <c r="C13" s="641">
        <v>50495530</v>
      </c>
      <c r="D13" s="641">
        <v>55537559</v>
      </c>
      <c r="E13" s="641">
        <v>54558825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336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921</v>
      </c>
      <c r="C16" s="641">
        <v>48108598</v>
      </c>
      <c r="D16" s="641">
        <v>53061849</v>
      </c>
      <c r="E16" s="641">
        <v>51745114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922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384</v>
      </c>
      <c r="C19" s="644">
        <v>11622</v>
      </c>
      <c r="D19" s="644">
        <v>12355</v>
      </c>
      <c r="E19" s="644">
        <v>11914</v>
      </c>
    </row>
    <row r="20" spans="1:5" ht="26.1" customHeight="1" x14ac:dyDescent="0.25">
      <c r="A20" s="639">
        <v>2</v>
      </c>
      <c r="B20" s="640" t="s">
        <v>385</v>
      </c>
      <c r="C20" s="645">
        <v>2681</v>
      </c>
      <c r="D20" s="645">
        <v>2703</v>
      </c>
      <c r="E20" s="645">
        <v>2685</v>
      </c>
    </row>
    <row r="21" spans="1:5" ht="26.1" customHeight="1" x14ac:dyDescent="0.25">
      <c r="A21" s="639">
        <v>3</v>
      </c>
      <c r="B21" s="640" t="s">
        <v>923</v>
      </c>
      <c r="C21" s="646">
        <f>IF(C20=0,0,+C19/C20)</f>
        <v>4.3349496456546062</v>
      </c>
      <c r="D21" s="646">
        <f>IF(D20=0,0,+D19/D20)</f>
        <v>4.570847206807251</v>
      </c>
      <c r="E21" s="646">
        <f>IF(E20=0,0,+E19/E20)</f>
        <v>4.4372439478584731</v>
      </c>
    </row>
    <row r="22" spans="1:5" ht="26.1" customHeight="1" x14ac:dyDescent="0.25">
      <c r="A22" s="639">
        <v>4</v>
      </c>
      <c r="B22" s="640" t="s">
        <v>924</v>
      </c>
      <c r="C22" s="645">
        <f>IF(C10=0,0,C19*(C12/C10))</f>
        <v>28143.519852614525</v>
      </c>
      <c r="D22" s="645">
        <f>IF(D10=0,0,D19*(D12/D10))</f>
        <v>28414.750935375654</v>
      </c>
      <c r="E22" s="645">
        <f>IF(E10=0,0,E19*(E12/E10))</f>
        <v>29659.028940010372</v>
      </c>
    </row>
    <row r="23" spans="1:5" ht="26.1" customHeight="1" x14ac:dyDescent="0.25">
      <c r="A23" s="639">
        <v>0</v>
      </c>
      <c r="B23" s="640" t="s">
        <v>925</v>
      </c>
      <c r="C23" s="645">
        <f>IF(C10=0,0,C20*(C12/C10))</f>
        <v>6492.2368546600883</v>
      </c>
      <c r="D23" s="645">
        <f>IF(D10=0,0,D20*(D12/D10))</f>
        <v>6216.5173434496473</v>
      </c>
      <c r="E23" s="645">
        <f>IF(E10=0,0,E20*(E12/E10))</f>
        <v>6684.1105173684609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333</v>
      </c>
      <c r="B25" s="642" t="s">
        <v>926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434</v>
      </c>
      <c r="C26" s="647">
        <v>1.0572486758672137</v>
      </c>
      <c r="D26" s="647">
        <v>1.1042657417684054</v>
      </c>
      <c r="E26" s="647">
        <v>1.0768874487895719</v>
      </c>
    </row>
    <row r="27" spans="1:5" ht="26.1" customHeight="1" x14ac:dyDescent="0.25">
      <c r="A27" s="639">
        <v>2</v>
      </c>
      <c r="B27" s="640" t="s">
        <v>927</v>
      </c>
      <c r="C27" s="645">
        <f>C19*C26</f>
        <v>12287.344110928758</v>
      </c>
      <c r="D27" s="645">
        <f>D19*D26</f>
        <v>13643.203239548649</v>
      </c>
      <c r="E27" s="645">
        <f>E19*E26</f>
        <v>12830.037064878959</v>
      </c>
    </row>
    <row r="28" spans="1:5" ht="26.1" customHeight="1" x14ac:dyDescent="0.25">
      <c r="A28" s="639">
        <v>3</v>
      </c>
      <c r="B28" s="640" t="s">
        <v>928</v>
      </c>
      <c r="C28" s="645">
        <f>C20*C26</f>
        <v>2834.4836999999998</v>
      </c>
      <c r="D28" s="645">
        <f>D20*D26</f>
        <v>2984.8302999999996</v>
      </c>
      <c r="E28" s="645">
        <f>E20*E26</f>
        <v>2891.4428000000007</v>
      </c>
    </row>
    <row r="29" spans="1:5" ht="26.1" customHeight="1" x14ac:dyDescent="0.25">
      <c r="A29" s="639">
        <v>4</v>
      </c>
      <c r="B29" s="640" t="s">
        <v>929</v>
      </c>
      <c r="C29" s="645">
        <f>C22*C26</f>
        <v>29754.699098419347</v>
      </c>
      <c r="D29" s="645">
        <f>D22*D26</f>
        <v>31377.436018817087</v>
      </c>
      <c r="E29" s="645">
        <f>E22*E26</f>
        <v>31939.43600878385</v>
      </c>
    </row>
    <row r="30" spans="1:5" ht="26.1" customHeight="1" x14ac:dyDescent="0.25">
      <c r="A30" s="639">
        <v>5</v>
      </c>
      <c r="B30" s="640" t="s">
        <v>930</v>
      </c>
      <c r="C30" s="645">
        <f>C23*C26</f>
        <v>6863.9088180057024</v>
      </c>
      <c r="D30" s="645">
        <f>D23*D26</f>
        <v>6864.6871354805817</v>
      </c>
      <c r="E30" s="645">
        <f>E23*E26</f>
        <v>7198.0347224764673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354</v>
      </c>
      <c r="B32" s="634" t="s">
        <v>931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932</v>
      </c>
      <c r="C33" s="641">
        <f>IF(C19=0,0,C12/C19)</f>
        <v>10418.856220960248</v>
      </c>
      <c r="D33" s="641">
        <f>IF(D19=0,0,D12/D19)</f>
        <v>10501.246863617969</v>
      </c>
      <c r="E33" s="641">
        <f>IF(E19=0,0,E12/E19)</f>
        <v>11619.252140339097</v>
      </c>
    </row>
    <row r="34" spans="1:5" ht="26.1" customHeight="1" x14ac:dyDescent="0.25">
      <c r="A34" s="639">
        <v>2</v>
      </c>
      <c r="B34" s="640" t="s">
        <v>933</v>
      </c>
      <c r="C34" s="641">
        <f>IF(C20=0,0,C12/C20)</f>
        <v>45165.217083177922</v>
      </c>
      <c r="D34" s="641">
        <f>IF(D20=0,0,D12/D20)</f>
        <v>47999.594894561596</v>
      </c>
      <c r="E34" s="641">
        <f>IF(E20=0,0,E12/E20)</f>
        <v>51557.456238361265</v>
      </c>
    </row>
    <row r="35" spans="1:5" ht="26.1" customHeight="1" x14ac:dyDescent="0.25">
      <c r="A35" s="639">
        <v>3</v>
      </c>
      <c r="B35" s="640" t="s">
        <v>934</v>
      </c>
      <c r="C35" s="641">
        <f>IF(C22=0,0,C12/C22)</f>
        <v>4302.5160901738082</v>
      </c>
      <c r="D35" s="641">
        <f>IF(D22=0,0,D12/D22)</f>
        <v>4566.0405503844604</v>
      </c>
      <c r="E35" s="641">
        <f>IF(E22=0,0,E12/E22)</f>
        <v>4667.4410777236862</v>
      </c>
    </row>
    <row r="36" spans="1:5" ht="26.1" customHeight="1" x14ac:dyDescent="0.25">
      <c r="A36" s="639">
        <v>4</v>
      </c>
      <c r="B36" s="640" t="s">
        <v>935</v>
      </c>
      <c r="C36" s="641">
        <f>IF(C23=0,0,C12/C23)</f>
        <v>18651.190600522194</v>
      </c>
      <c r="D36" s="641">
        <f>IF(D23=0,0,D12/D23)</f>
        <v>20870.673695893453</v>
      </c>
      <c r="E36" s="641">
        <f>IF(E23=0,0,E12/E23)</f>
        <v>20710.574674115454</v>
      </c>
    </row>
    <row r="37" spans="1:5" ht="26.1" customHeight="1" x14ac:dyDescent="0.25">
      <c r="A37" s="639">
        <v>5</v>
      </c>
      <c r="B37" s="640" t="s">
        <v>936</v>
      </c>
      <c r="C37" s="641">
        <f>IF(C29=0,0,C12/C29)</f>
        <v>4069.5402967940795</v>
      </c>
      <c r="D37" s="641">
        <f>IF(D29=0,0,D12/D29)</f>
        <v>4134.9109889728725</v>
      </c>
      <c r="E37" s="641">
        <f>IF(E29=0,0,E12/E29)</f>
        <v>4334.1958186715965</v>
      </c>
    </row>
    <row r="38" spans="1:5" ht="26.1" customHeight="1" x14ac:dyDescent="0.25">
      <c r="A38" s="639">
        <v>6</v>
      </c>
      <c r="B38" s="640" t="s">
        <v>937</v>
      </c>
      <c r="C38" s="641">
        <f>IF(C30=0,0,C12/C30)</f>
        <v>17641.252267564636</v>
      </c>
      <c r="D38" s="641">
        <f>IF(D30=0,0,D12/D30)</f>
        <v>18900.046344343264</v>
      </c>
      <c r="E38" s="641">
        <f>IF(E30=0,0,E12/E30)</f>
        <v>19231.884165234045</v>
      </c>
    </row>
    <row r="39" spans="1:5" ht="26.1" customHeight="1" x14ac:dyDescent="0.25">
      <c r="A39" s="639">
        <v>7</v>
      </c>
      <c r="B39" s="640" t="s">
        <v>938</v>
      </c>
      <c r="C39" s="641">
        <f>IF(C22=0,0,C10/C22)</f>
        <v>1776.7444250707204</v>
      </c>
      <c r="D39" s="641">
        <f>IF(D22=0,0,D10/D22)</f>
        <v>1985.3572226729143</v>
      </c>
      <c r="E39" s="641">
        <f>IF(E22=0,0,E10/E22)</f>
        <v>1874.9060568528698</v>
      </c>
    </row>
    <row r="40" spans="1:5" ht="26.1" customHeight="1" x14ac:dyDescent="0.25">
      <c r="A40" s="639">
        <v>8</v>
      </c>
      <c r="B40" s="640" t="s">
        <v>939</v>
      </c>
      <c r="C40" s="641">
        <f>IF(C23=0,0,C10/C23)</f>
        <v>7702.0976158791163</v>
      </c>
      <c r="D40" s="641">
        <f>IF(D23=0,0,D10/D23)</f>
        <v>9074.7645157690913</v>
      </c>
      <c r="E40" s="641">
        <f>IF(E23=0,0,E10/E23)</f>
        <v>8319.4155535735918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366</v>
      </c>
      <c r="B42" s="634" t="s">
        <v>940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941</v>
      </c>
      <c r="C43" s="641">
        <f>IF(C19=0,0,C13/C19)</f>
        <v>4344.8227499569784</v>
      </c>
      <c r="D43" s="641">
        <f>IF(D19=0,0,D13/D19)</f>
        <v>4495.1484419263452</v>
      </c>
      <c r="E43" s="641">
        <f>IF(E19=0,0,E13/E19)</f>
        <v>4579.3876951485645</v>
      </c>
    </row>
    <row r="44" spans="1:5" ht="26.1" customHeight="1" x14ac:dyDescent="0.25">
      <c r="A44" s="639">
        <v>2</v>
      </c>
      <c r="B44" s="640" t="s">
        <v>942</v>
      </c>
      <c r="C44" s="641">
        <f>IF(C20=0,0,C13/C20)</f>
        <v>18834.587840358075</v>
      </c>
      <c r="D44" s="641">
        <f>IF(D20=0,0,D13/D20)</f>
        <v>20546.636699963005</v>
      </c>
      <c r="E44" s="641">
        <f>IF(E20=0,0,E13/E20)</f>
        <v>20319.860335195532</v>
      </c>
    </row>
    <row r="45" spans="1:5" ht="26.1" customHeight="1" x14ac:dyDescent="0.25">
      <c r="A45" s="639">
        <v>3</v>
      </c>
      <c r="B45" s="640" t="s">
        <v>943</v>
      </c>
      <c r="C45" s="641">
        <f>IF(C22=0,0,C13/C22)</f>
        <v>1794.2151608768645</v>
      </c>
      <c r="D45" s="641">
        <f>IF(D22=0,0,D13/D22)</f>
        <v>1954.5326695388039</v>
      </c>
      <c r="E45" s="641">
        <f>IF(E22=0,0,E13/E22)</f>
        <v>1839.5351078537678</v>
      </c>
    </row>
    <row r="46" spans="1:5" ht="26.1" customHeight="1" x14ac:dyDescent="0.25">
      <c r="A46" s="639">
        <v>4</v>
      </c>
      <c r="B46" s="640" t="s">
        <v>944</v>
      </c>
      <c r="C46" s="641">
        <f>IF(C23=0,0,C13/C23)</f>
        <v>7777.8323758712859</v>
      </c>
      <c r="D46" s="641">
        <f>IF(D23=0,0,D13/D23)</f>
        <v>8933.870193174962</v>
      </c>
      <c r="E46" s="641">
        <f>IF(E23=0,0,E13/E23)</f>
        <v>8162.4660241973152</v>
      </c>
    </row>
    <row r="47" spans="1:5" ht="26.1" customHeight="1" x14ac:dyDescent="0.25">
      <c r="A47" s="639">
        <v>5</v>
      </c>
      <c r="B47" s="640" t="s">
        <v>945</v>
      </c>
      <c r="C47" s="641">
        <f>IF(C29=0,0,C13/C29)</f>
        <v>1697.0606838595945</v>
      </c>
      <c r="D47" s="641">
        <f>IF(D29=0,0,D13/D29)</f>
        <v>1769.9839772342793</v>
      </c>
      <c r="E47" s="641">
        <f>IF(E29=0,0,E13/E29)</f>
        <v>1708.1962557195893</v>
      </c>
    </row>
    <row r="48" spans="1:5" ht="26.1" customHeight="1" x14ac:dyDescent="0.25">
      <c r="A48" s="639">
        <v>6</v>
      </c>
      <c r="B48" s="640" t="s">
        <v>946</v>
      </c>
      <c r="C48" s="641">
        <f>IF(C30=0,0,C13/C30)</f>
        <v>7356.6726101515133</v>
      </c>
      <c r="D48" s="641">
        <f>IF(D30=0,0,D13/D30)</f>
        <v>8090.3263184348953</v>
      </c>
      <c r="E48" s="641">
        <f>IF(E30=0,0,E13/E30)</f>
        <v>7579.6834974462536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378</v>
      </c>
      <c r="B50" s="634" t="s">
        <v>947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948</v>
      </c>
      <c r="C51" s="641">
        <f>IF(C19=0,0,C16/C19)</f>
        <v>4139.4422646704525</v>
      </c>
      <c r="D51" s="641">
        <f>IF(D19=0,0,D16/D19)</f>
        <v>4294.7672197490892</v>
      </c>
      <c r="E51" s="641">
        <f>IF(E19=0,0,E16/E19)</f>
        <v>4343.2192378714117</v>
      </c>
    </row>
    <row r="52" spans="1:6" ht="26.1" customHeight="1" x14ac:dyDescent="0.25">
      <c r="A52" s="639">
        <v>2</v>
      </c>
      <c r="B52" s="640" t="s">
        <v>949</v>
      </c>
      <c r="C52" s="641">
        <f>IF(C20=0,0,C16/C20)</f>
        <v>17944.273778440882</v>
      </c>
      <c r="D52" s="641">
        <f>IF(D20=0,0,D16/D20)</f>
        <v>19630.72475027747</v>
      </c>
      <c r="E52" s="641">
        <f>IF(E20=0,0,E16/E20)</f>
        <v>19271.923277467413</v>
      </c>
    </row>
    <row r="53" spans="1:6" ht="26.1" customHeight="1" x14ac:dyDescent="0.25">
      <c r="A53" s="639">
        <v>3</v>
      </c>
      <c r="B53" s="640" t="s">
        <v>950</v>
      </c>
      <c r="C53" s="641">
        <f>IF(C22=0,0,C16/C22)</f>
        <v>1709.4023154154518</v>
      </c>
      <c r="D53" s="641">
        <f>IF(D22=0,0,D16/D22)</f>
        <v>1867.4050362320552</v>
      </c>
      <c r="E53" s="641">
        <f>IF(E22=0,0,E16/E22)</f>
        <v>1744.6664927790418</v>
      </c>
    </row>
    <row r="54" spans="1:6" ht="26.1" customHeight="1" x14ac:dyDescent="0.25">
      <c r="A54" s="639">
        <v>4</v>
      </c>
      <c r="B54" s="640" t="s">
        <v>951</v>
      </c>
      <c r="C54" s="641">
        <f>IF(C23=0,0,C16/C23)</f>
        <v>7410.1729614913756</v>
      </c>
      <c r="D54" s="641">
        <f>IF(D23=0,0,D16/D23)</f>
        <v>8535.6230938390836</v>
      </c>
      <c r="E54" s="641">
        <f>IF(E23=0,0,E16/E23)</f>
        <v>7741.5108361152725</v>
      </c>
    </row>
    <row r="55" spans="1:6" ht="26.1" customHeight="1" x14ac:dyDescent="0.25">
      <c r="A55" s="639">
        <v>5</v>
      </c>
      <c r="B55" s="640" t="s">
        <v>952</v>
      </c>
      <c r="C55" s="641">
        <f>IF(C29=0,0,C16/C29)</f>
        <v>1616.8403464902008</v>
      </c>
      <c r="D55" s="641">
        <f>IF(D29=0,0,D16/D29)</f>
        <v>1691.0830116322679</v>
      </c>
      <c r="E55" s="641">
        <f>IF(E29=0,0,E16/E29)</f>
        <v>1620.1010558160538</v>
      </c>
    </row>
    <row r="56" spans="1:6" ht="26.1" customHeight="1" x14ac:dyDescent="0.25">
      <c r="A56" s="639">
        <v>6</v>
      </c>
      <c r="B56" s="640" t="s">
        <v>953</v>
      </c>
      <c r="C56" s="641">
        <f>IF(C30=0,0,C16/C30)</f>
        <v>7008.9214870977667</v>
      </c>
      <c r="D56" s="641">
        <f>IF(D30=0,0,D16/D30)</f>
        <v>7729.6820601985464</v>
      </c>
      <c r="E56" s="641">
        <f>IF(E30=0,0,E16/E30)</f>
        <v>7188.7836048389072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382</v>
      </c>
      <c r="B58" s="642" t="s">
        <v>954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955</v>
      </c>
      <c r="C59" s="649">
        <v>6653099</v>
      </c>
      <c r="D59" s="649">
        <v>7087485</v>
      </c>
      <c r="E59" s="649">
        <v>7016561</v>
      </c>
    </row>
    <row r="60" spans="1:6" ht="26.1" customHeight="1" x14ac:dyDescent="0.25">
      <c r="A60" s="639">
        <v>2</v>
      </c>
      <c r="B60" s="640" t="s">
        <v>956</v>
      </c>
      <c r="C60" s="649">
        <v>1690804</v>
      </c>
      <c r="D60" s="649">
        <v>1809542</v>
      </c>
      <c r="E60" s="649">
        <v>1687424</v>
      </c>
    </row>
    <row r="61" spans="1:6" ht="26.1" customHeight="1" x14ac:dyDescent="0.25">
      <c r="A61" s="650">
        <v>3</v>
      </c>
      <c r="B61" s="651" t="s">
        <v>957</v>
      </c>
      <c r="C61" s="652">
        <f>C59+C60</f>
        <v>8343903</v>
      </c>
      <c r="D61" s="652">
        <f>D59+D60</f>
        <v>8897027</v>
      </c>
      <c r="E61" s="652">
        <f>E59+E60</f>
        <v>8703985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958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959</v>
      </c>
      <c r="C64" s="641">
        <v>0</v>
      </c>
      <c r="D64" s="641">
        <v>0</v>
      </c>
      <c r="E64" s="649">
        <v>0</v>
      </c>
      <c r="F64" s="653"/>
    </row>
    <row r="65" spans="1:6" ht="26.1" customHeight="1" x14ac:dyDescent="0.25">
      <c r="A65" s="639">
        <v>2</v>
      </c>
      <c r="B65" s="640" t="s">
        <v>960</v>
      </c>
      <c r="C65" s="649">
        <v>0</v>
      </c>
      <c r="D65" s="649">
        <v>0</v>
      </c>
      <c r="E65" s="649">
        <v>0</v>
      </c>
      <c r="F65" s="653"/>
    </row>
    <row r="66" spans="1:6" ht="26.1" customHeight="1" x14ac:dyDescent="0.25">
      <c r="A66" s="650">
        <v>3</v>
      </c>
      <c r="B66" s="651" t="s">
        <v>961</v>
      </c>
      <c r="C66" s="654">
        <f>C64+C65</f>
        <v>0</v>
      </c>
      <c r="D66" s="654">
        <f>D64+D65</f>
        <v>0</v>
      </c>
      <c r="E66" s="654">
        <f>E64+E65</f>
        <v>0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408</v>
      </c>
      <c r="B68" s="642" t="s">
        <v>962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963</v>
      </c>
      <c r="C69" s="649">
        <v>8799573</v>
      </c>
      <c r="D69" s="649">
        <v>9259124</v>
      </c>
      <c r="E69" s="649">
        <v>10390256</v>
      </c>
    </row>
    <row r="70" spans="1:6" ht="26.1" customHeight="1" x14ac:dyDescent="0.25">
      <c r="A70" s="639">
        <v>2</v>
      </c>
      <c r="B70" s="640" t="s">
        <v>964</v>
      </c>
      <c r="C70" s="649">
        <v>2271298</v>
      </c>
      <c r="D70" s="649">
        <v>2328842</v>
      </c>
      <c r="E70" s="649">
        <v>2354664</v>
      </c>
    </row>
    <row r="71" spans="1:6" ht="26.1" customHeight="1" x14ac:dyDescent="0.25">
      <c r="A71" s="650">
        <v>3</v>
      </c>
      <c r="B71" s="651" t="s">
        <v>965</v>
      </c>
      <c r="C71" s="652">
        <f>C69+C70</f>
        <v>11070871</v>
      </c>
      <c r="D71" s="652">
        <f>D69+D70</f>
        <v>11587966</v>
      </c>
      <c r="E71" s="652">
        <f>E69+E70</f>
        <v>12744920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424</v>
      </c>
      <c r="B74" s="642" t="s">
        <v>966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967</v>
      </c>
      <c r="C75" s="641">
        <f t="shared" ref="C75:E76" si="0">+C59+C64+C69</f>
        <v>15452672</v>
      </c>
      <c r="D75" s="641">
        <f t="shared" si="0"/>
        <v>16346609</v>
      </c>
      <c r="E75" s="641">
        <f t="shared" si="0"/>
        <v>17406817</v>
      </c>
    </row>
    <row r="76" spans="1:6" ht="26.1" customHeight="1" x14ac:dyDescent="0.25">
      <c r="A76" s="639">
        <v>2</v>
      </c>
      <c r="B76" s="640" t="s">
        <v>968</v>
      </c>
      <c r="C76" s="641">
        <f t="shared" si="0"/>
        <v>3962102</v>
      </c>
      <c r="D76" s="641">
        <f t="shared" si="0"/>
        <v>4138384</v>
      </c>
      <c r="E76" s="641">
        <f t="shared" si="0"/>
        <v>4042088</v>
      </c>
    </row>
    <row r="77" spans="1:6" ht="26.1" customHeight="1" x14ac:dyDescent="0.25">
      <c r="A77" s="650">
        <v>3</v>
      </c>
      <c r="B77" s="651" t="s">
        <v>966</v>
      </c>
      <c r="C77" s="654">
        <f>C75+C76</f>
        <v>19414774</v>
      </c>
      <c r="D77" s="654">
        <f>D75+D76</f>
        <v>20484993</v>
      </c>
      <c r="E77" s="654">
        <f>E75+E76</f>
        <v>21448905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433</v>
      </c>
      <c r="B79" s="642" t="s">
        <v>969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596</v>
      </c>
      <c r="C80" s="646">
        <v>93.2</v>
      </c>
      <c r="D80" s="646">
        <v>97.2</v>
      </c>
      <c r="E80" s="646">
        <v>100.6</v>
      </c>
    </row>
    <row r="81" spans="1:5" ht="26.1" customHeight="1" x14ac:dyDescent="0.25">
      <c r="A81" s="639">
        <v>2</v>
      </c>
      <c r="B81" s="640" t="s">
        <v>597</v>
      </c>
      <c r="C81" s="646">
        <v>0</v>
      </c>
      <c r="D81" s="646">
        <v>0</v>
      </c>
      <c r="E81" s="646">
        <v>0</v>
      </c>
    </row>
    <row r="82" spans="1:5" ht="26.1" customHeight="1" x14ac:dyDescent="0.25">
      <c r="A82" s="639">
        <v>3</v>
      </c>
      <c r="B82" s="640" t="s">
        <v>970</v>
      </c>
      <c r="C82" s="646">
        <v>163.1</v>
      </c>
      <c r="D82" s="646">
        <v>174.3</v>
      </c>
      <c r="E82" s="646">
        <v>155</v>
      </c>
    </row>
    <row r="83" spans="1:5" ht="26.1" customHeight="1" x14ac:dyDescent="0.25">
      <c r="A83" s="650">
        <v>4</v>
      </c>
      <c r="B83" s="651" t="s">
        <v>969</v>
      </c>
      <c r="C83" s="656">
        <f>C80+C81+C82</f>
        <v>256.3</v>
      </c>
      <c r="D83" s="656">
        <f>D80+D81+D82</f>
        <v>271.5</v>
      </c>
      <c r="E83" s="656">
        <f>E80+E81+E82</f>
        <v>255.6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436</v>
      </c>
      <c r="B85" s="642" t="s">
        <v>971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972</v>
      </c>
      <c r="C86" s="649">
        <f>IF(C80=0,0,C59/C80)</f>
        <v>71385.182403433471</v>
      </c>
      <c r="D86" s="649">
        <f>IF(D80=0,0,D59/D80)</f>
        <v>72916.512345679017</v>
      </c>
      <c r="E86" s="649">
        <f>IF(E80=0,0,E59/E80)</f>
        <v>69747.12723658052</v>
      </c>
    </row>
    <row r="87" spans="1:5" ht="26.1" customHeight="1" x14ac:dyDescent="0.25">
      <c r="A87" s="639">
        <v>2</v>
      </c>
      <c r="B87" s="640" t="s">
        <v>973</v>
      </c>
      <c r="C87" s="649">
        <f>IF(C80=0,0,C60/C80)</f>
        <v>18141.673819742489</v>
      </c>
      <c r="D87" s="649">
        <f>IF(D80=0,0,D60/D80)</f>
        <v>18616.687242798354</v>
      </c>
      <c r="E87" s="649">
        <f>IF(E80=0,0,E60/E80)</f>
        <v>16773.598409542745</v>
      </c>
    </row>
    <row r="88" spans="1:5" ht="26.1" customHeight="1" x14ac:dyDescent="0.25">
      <c r="A88" s="650">
        <v>3</v>
      </c>
      <c r="B88" s="651" t="s">
        <v>974</v>
      </c>
      <c r="C88" s="652">
        <f>+C86+C87</f>
        <v>89526.856223175957</v>
      </c>
      <c r="D88" s="652">
        <f>+D86+D87</f>
        <v>91533.199588477379</v>
      </c>
      <c r="E88" s="652">
        <f>+E86+E87</f>
        <v>86520.725646123261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594</v>
      </c>
      <c r="B90" s="642" t="s">
        <v>975</v>
      </c>
    </row>
    <row r="91" spans="1:5" ht="26.1" customHeight="1" x14ac:dyDescent="0.25">
      <c r="A91" s="639">
        <v>1</v>
      </c>
      <c r="B91" s="640" t="s">
        <v>976</v>
      </c>
      <c r="C91" s="641">
        <f>IF(C81=0,0,C64/C81)</f>
        <v>0</v>
      </c>
      <c r="D91" s="641">
        <f>IF(D81=0,0,D64/D81)</f>
        <v>0</v>
      </c>
      <c r="E91" s="641">
        <f>IF(E81=0,0,E64/E81)</f>
        <v>0</v>
      </c>
    </row>
    <row r="92" spans="1:5" ht="26.1" customHeight="1" x14ac:dyDescent="0.25">
      <c r="A92" s="639">
        <v>2</v>
      </c>
      <c r="B92" s="640" t="s">
        <v>977</v>
      </c>
      <c r="C92" s="641">
        <f>IF(C81=0,0,C65/C81)</f>
        <v>0</v>
      </c>
      <c r="D92" s="641">
        <f>IF(D81=0,0,D65/D81)</f>
        <v>0</v>
      </c>
      <c r="E92" s="641">
        <f>IF(E81=0,0,E65/E81)</f>
        <v>0</v>
      </c>
    </row>
    <row r="93" spans="1:5" ht="26.1" customHeight="1" x14ac:dyDescent="0.25">
      <c r="A93" s="650">
        <v>3</v>
      </c>
      <c r="B93" s="651" t="s">
        <v>978</v>
      </c>
      <c r="C93" s="654">
        <f>+C91+C92</f>
        <v>0</v>
      </c>
      <c r="D93" s="654">
        <f>+D91+D92</f>
        <v>0</v>
      </c>
      <c r="E93" s="654">
        <f>+E91+E92</f>
        <v>0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979</v>
      </c>
      <c r="B95" s="642" t="s">
        <v>980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981</v>
      </c>
      <c r="C96" s="649">
        <f>IF(C82=0,0,C69/C82)</f>
        <v>53952.011036174132</v>
      </c>
      <c r="D96" s="649">
        <f>IF(D82=0,0,D69/D82)</f>
        <v>53121.76706827309</v>
      </c>
      <c r="E96" s="649">
        <f>IF(E82=0,0,E69/E82)</f>
        <v>67033.90967741936</v>
      </c>
    </row>
    <row r="97" spans="1:5" ht="26.1" customHeight="1" x14ac:dyDescent="0.25">
      <c r="A97" s="639">
        <v>2</v>
      </c>
      <c r="B97" s="640" t="s">
        <v>982</v>
      </c>
      <c r="C97" s="649">
        <f>IF(C82=0,0,C70/C82)</f>
        <v>13925.800122624158</v>
      </c>
      <c r="D97" s="649">
        <f>IF(D82=0,0,D70/D82)</f>
        <v>13361.113023522661</v>
      </c>
      <c r="E97" s="649">
        <f>IF(E82=0,0,E70/E82)</f>
        <v>15191.380645161291</v>
      </c>
    </row>
    <row r="98" spans="1:5" ht="26.1" customHeight="1" x14ac:dyDescent="0.25">
      <c r="A98" s="650">
        <v>3</v>
      </c>
      <c r="B98" s="651" t="s">
        <v>983</v>
      </c>
      <c r="C98" s="654">
        <f>+C96+C97</f>
        <v>67877.811158798286</v>
      </c>
      <c r="D98" s="654">
        <f>+D96+D97</f>
        <v>66482.880091795756</v>
      </c>
      <c r="E98" s="654">
        <f>+E96+E97</f>
        <v>82225.290322580651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984</v>
      </c>
      <c r="B100" s="642" t="s">
        <v>985</v>
      </c>
    </row>
    <row r="101" spans="1:5" ht="26.1" customHeight="1" x14ac:dyDescent="0.25">
      <c r="A101" s="639">
        <v>1</v>
      </c>
      <c r="B101" s="640" t="s">
        <v>986</v>
      </c>
      <c r="C101" s="641">
        <f>IF(C83=0,0,C75/C83)</f>
        <v>60291.346078813891</v>
      </c>
      <c r="D101" s="641">
        <f>IF(D83=0,0,D75/D83)</f>
        <v>60208.504604051566</v>
      </c>
      <c r="E101" s="641">
        <f>IF(E83=0,0,E75/E83)</f>
        <v>68101.787949921752</v>
      </c>
    </row>
    <row r="102" spans="1:5" ht="26.1" customHeight="1" x14ac:dyDescent="0.25">
      <c r="A102" s="639">
        <v>2</v>
      </c>
      <c r="B102" s="640" t="s">
        <v>987</v>
      </c>
      <c r="C102" s="658">
        <f>IF(C83=0,0,C76/C83)</f>
        <v>15458.845103394458</v>
      </c>
      <c r="D102" s="658">
        <f>IF(D83=0,0,D76/D83)</f>
        <v>15242.666666666666</v>
      </c>
      <c r="E102" s="658">
        <f>IF(E83=0,0,E76/E83)</f>
        <v>15814.115805946793</v>
      </c>
    </row>
    <row r="103" spans="1:5" ht="26.1" customHeight="1" x14ac:dyDescent="0.25">
      <c r="A103" s="650">
        <v>3</v>
      </c>
      <c r="B103" s="651" t="s">
        <v>985</v>
      </c>
      <c r="C103" s="654">
        <f>+C101+C102</f>
        <v>75750.191182208349</v>
      </c>
      <c r="D103" s="654">
        <f>+D101+D102</f>
        <v>75451.171270718231</v>
      </c>
      <c r="E103" s="654">
        <f>+E101+E102</f>
        <v>83915.903755868552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988</v>
      </c>
      <c r="B107" s="634" t="s">
        <v>989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990</v>
      </c>
      <c r="C108" s="641">
        <f>IF(C19=0,0,C77/C19)</f>
        <v>1670.5191877473756</v>
      </c>
      <c r="D108" s="641">
        <f>IF(D19=0,0,D77/D19)</f>
        <v>1658.0326183731283</v>
      </c>
      <c r="E108" s="641">
        <f>IF(E19=0,0,E77/E19)</f>
        <v>1800.3109786805439</v>
      </c>
    </row>
    <row r="109" spans="1:5" ht="26.1" customHeight="1" x14ac:dyDescent="0.25">
      <c r="A109" s="639">
        <v>2</v>
      </c>
      <c r="B109" s="640" t="s">
        <v>991</v>
      </c>
      <c r="C109" s="641">
        <f>IF(C20=0,0,C77/C20)</f>
        <v>7241.6165609847076</v>
      </c>
      <c r="D109" s="641">
        <f>IF(D20=0,0,D77/D20)</f>
        <v>7578.6137624861267</v>
      </c>
      <c r="E109" s="641">
        <f>IF(E20=0,0,E77/E20)</f>
        <v>7988.4189944134077</v>
      </c>
    </row>
    <row r="110" spans="1:5" ht="26.1" customHeight="1" x14ac:dyDescent="0.25">
      <c r="A110" s="639">
        <v>3</v>
      </c>
      <c r="B110" s="640" t="s">
        <v>992</v>
      </c>
      <c r="C110" s="641">
        <f>IF(C22=0,0,C77/C22)</f>
        <v>689.84882138672401</v>
      </c>
      <c r="D110" s="641">
        <f>IF(D22=0,0,D77/D22)</f>
        <v>720.92812098158129</v>
      </c>
      <c r="E110" s="641">
        <f>IF(E22=0,0,E77/E22)</f>
        <v>723.1829822676757</v>
      </c>
    </row>
    <row r="111" spans="1:5" ht="26.1" customHeight="1" x14ac:dyDescent="0.25">
      <c r="A111" s="639">
        <v>4</v>
      </c>
      <c r="B111" s="640" t="s">
        <v>993</v>
      </c>
      <c r="C111" s="641">
        <f>IF(C23=0,0,C77/C23)</f>
        <v>2990.4599038256274</v>
      </c>
      <c r="D111" s="641">
        <f>IF(D23=0,0,D77/D23)</f>
        <v>3295.2522880974611</v>
      </c>
      <c r="E111" s="641">
        <f>IF(E23=0,0,E77/E23)</f>
        <v>3208.9393112614853</v>
      </c>
    </row>
    <row r="112" spans="1:5" ht="26.1" customHeight="1" x14ac:dyDescent="0.25">
      <c r="A112" s="639">
        <v>5</v>
      </c>
      <c r="B112" s="640" t="s">
        <v>994</v>
      </c>
      <c r="C112" s="641">
        <f>IF(C29=0,0,C77/C29)</f>
        <v>652.49438200608006</v>
      </c>
      <c r="D112" s="641">
        <f>IF(D29=0,0,D77/D29)</f>
        <v>652.85745424562811</v>
      </c>
      <c r="E112" s="641">
        <f>IF(E29=0,0,E77/E29)</f>
        <v>671.54927200659438</v>
      </c>
    </row>
    <row r="113" spans="1:7" ht="25.5" customHeight="1" x14ac:dyDescent="0.25">
      <c r="A113" s="639">
        <v>6</v>
      </c>
      <c r="B113" s="640" t="s">
        <v>995</v>
      </c>
      <c r="C113" s="641">
        <f>IF(C30=0,0,C77/C30)</f>
        <v>2828.530290068878</v>
      </c>
      <c r="D113" s="641">
        <f>IF(D30=0,0,D77/D30)</f>
        <v>2984.1116711819222</v>
      </c>
      <c r="E113" s="641">
        <f>IF(E30=0,0,E77/E30)</f>
        <v>2979.8279429000245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FILING&amp;R&amp;12ESSENT-SHARON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129742875</v>
      </c>
      <c r="D12" s="51">
        <v>138431770</v>
      </c>
      <c r="E12" s="51">
        <f t="shared" ref="E12:E19" si="0">D12-C12</f>
        <v>8688895</v>
      </c>
      <c r="F12" s="70">
        <f t="shared" ref="F12:F19" si="1">IF(C12=0,0,E12/C12)</f>
        <v>6.6970113002351769E-2</v>
      </c>
    </row>
    <row r="13" spans="1:8" ht="23.1" customHeight="1" x14ac:dyDescent="0.2">
      <c r="A13" s="25">
        <v>2</v>
      </c>
      <c r="B13" s="48" t="s">
        <v>72</v>
      </c>
      <c r="C13" s="51">
        <v>73262905</v>
      </c>
      <c r="D13" s="51">
        <v>82582153</v>
      </c>
      <c r="E13" s="51">
        <f t="shared" si="0"/>
        <v>9319248</v>
      </c>
      <c r="F13" s="70">
        <f t="shared" si="1"/>
        <v>0.12720281839765976</v>
      </c>
    </row>
    <row r="14" spans="1:8" ht="23.1" customHeight="1" x14ac:dyDescent="0.2">
      <c r="A14" s="25">
        <v>3</v>
      </c>
      <c r="B14" s="48" t="s">
        <v>73</v>
      </c>
      <c r="C14" s="51">
        <v>942411</v>
      </c>
      <c r="D14" s="51">
        <v>760089</v>
      </c>
      <c r="E14" s="51">
        <f t="shared" si="0"/>
        <v>-182322</v>
      </c>
      <c r="F14" s="70">
        <f t="shared" si="1"/>
        <v>-0.19346336152697707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530703</v>
      </c>
      <c r="E15" s="51">
        <f t="shared" si="0"/>
        <v>530703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55537559</v>
      </c>
      <c r="D16" s="27">
        <f>D12-D13-D14-D15</f>
        <v>54558825</v>
      </c>
      <c r="E16" s="27">
        <f t="shared" si="0"/>
        <v>-978734</v>
      </c>
      <c r="F16" s="28">
        <f t="shared" si="1"/>
        <v>-1.7622920733696631E-2</v>
      </c>
    </row>
    <row r="17" spans="1:7" ht="23.1" customHeight="1" x14ac:dyDescent="0.2">
      <c r="A17" s="25">
        <v>5</v>
      </c>
      <c r="B17" s="48" t="s">
        <v>76</v>
      </c>
      <c r="C17" s="51">
        <v>457560</v>
      </c>
      <c r="D17" s="51">
        <v>453530</v>
      </c>
      <c r="E17" s="51">
        <f t="shared" si="0"/>
        <v>-4030</v>
      </c>
      <c r="F17" s="70">
        <f t="shared" si="1"/>
        <v>-8.8075880758807581E-3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55995119</v>
      </c>
      <c r="D19" s="27">
        <f>SUM(D16:D18)</f>
        <v>55012355</v>
      </c>
      <c r="E19" s="27">
        <f t="shared" si="0"/>
        <v>-982764</v>
      </c>
      <c r="F19" s="28">
        <f t="shared" si="1"/>
        <v>-1.7550886890694884E-2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16346609</v>
      </c>
      <c r="D22" s="51">
        <v>17406817</v>
      </c>
      <c r="E22" s="51">
        <f t="shared" ref="E22:E31" si="2">D22-C22</f>
        <v>1060208</v>
      </c>
      <c r="F22" s="70">
        <f t="shared" ref="F22:F31" si="3">IF(C22=0,0,E22/C22)</f>
        <v>6.485797757810198E-2</v>
      </c>
    </row>
    <row r="23" spans="1:7" ht="23.1" customHeight="1" x14ac:dyDescent="0.2">
      <c r="A23" s="25">
        <v>2</v>
      </c>
      <c r="B23" s="48" t="s">
        <v>81</v>
      </c>
      <c r="C23" s="51">
        <v>4138384</v>
      </c>
      <c r="D23" s="51">
        <v>4042088</v>
      </c>
      <c r="E23" s="51">
        <f t="shared" si="2"/>
        <v>-96296</v>
      </c>
      <c r="F23" s="70">
        <f t="shared" si="3"/>
        <v>-2.3268986154982234E-2</v>
      </c>
    </row>
    <row r="24" spans="1:7" ht="23.1" customHeight="1" x14ac:dyDescent="0.2">
      <c r="A24" s="25">
        <v>3</v>
      </c>
      <c r="B24" s="48" t="s">
        <v>82</v>
      </c>
      <c r="C24" s="51">
        <v>1224572</v>
      </c>
      <c r="D24" s="51">
        <v>1399248</v>
      </c>
      <c r="E24" s="51">
        <f t="shared" si="2"/>
        <v>174676</v>
      </c>
      <c r="F24" s="70">
        <f t="shared" si="3"/>
        <v>0.14264249060079767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5864091</v>
      </c>
      <c r="D25" s="51">
        <v>6607624</v>
      </c>
      <c r="E25" s="51">
        <f t="shared" si="2"/>
        <v>743533</v>
      </c>
      <c r="F25" s="70">
        <f t="shared" si="3"/>
        <v>0.12679424654221771</v>
      </c>
    </row>
    <row r="26" spans="1:7" ht="23.1" customHeight="1" x14ac:dyDescent="0.2">
      <c r="A26" s="25">
        <v>5</v>
      </c>
      <c r="B26" s="48" t="s">
        <v>84</v>
      </c>
      <c r="C26" s="51">
        <v>3122389</v>
      </c>
      <c r="D26" s="51">
        <v>3051773</v>
      </c>
      <c r="E26" s="51">
        <f t="shared" si="2"/>
        <v>-70616</v>
      </c>
      <c r="F26" s="70">
        <f t="shared" si="3"/>
        <v>-2.2616016133800113E-2</v>
      </c>
    </row>
    <row r="27" spans="1:7" ht="23.1" customHeight="1" x14ac:dyDescent="0.2">
      <c r="A27" s="25">
        <v>6</v>
      </c>
      <c r="B27" s="48" t="s">
        <v>85</v>
      </c>
      <c r="C27" s="51">
        <v>3537229</v>
      </c>
      <c r="D27" s="51">
        <v>2999367</v>
      </c>
      <c r="E27" s="51">
        <f t="shared" si="2"/>
        <v>-537862</v>
      </c>
      <c r="F27" s="70">
        <f t="shared" si="3"/>
        <v>-0.15205744383527331</v>
      </c>
    </row>
    <row r="28" spans="1:7" ht="23.1" customHeight="1" x14ac:dyDescent="0.2">
      <c r="A28" s="25">
        <v>7</v>
      </c>
      <c r="B28" s="48" t="s">
        <v>86</v>
      </c>
      <c r="C28" s="51">
        <v>1664350</v>
      </c>
      <c r="D28" s="51">
        <v>136325</v>
      </c>
      <c r="E28" s="51">
        <f t="shared" si="2"/>
        <v>-1528025</v>
      </c>
      <c r="F28" s="70">
        <f t="shared" si="3"/>
        <v>-0.91809114669390457</v>
      </c>
    </row>
    <row r="29" spans="1:7" ht="23.1" customHeight="1" x14ac:dyDescent="0.2">
      <c r="A29" s="25">
        <v>8</v>
      </c>
      <c r="B29" s="48" t="s">
        <v>87</v>
      </c>
      <c r="C29" s="51">
        <v>1184253</v>
      </c>
      <c r="D29" s="51">
        <v>1113805</v>
      </c>
      <c r="E29" s="51">
        <f t="shared" si="2"/>
        <v>-70448</v>
      </c>
      <c r="F29" s="70">
        <f t="shared" si="3"/>
        <v>-5.9487288611470693E-2</v>
      </c>
    </row>
    <row r="30" spans="1:7" ht="23.1" customHeight="1" x14ac:dyDescent="0.2">
      <c r="A30" s="25">
        <v>9</v>
      </c>
      <c r="B30" s="48" t="s">
        <v>88</v>
      </c>
      <c r="C30" s="51">
        <v>15979972</v>
      </c>
      <c r="D30" s="51">
        <v>14988067</v>
      </c>
      <c r="E30" s="51">
        <f t="shared" si="2"/>
        <v>-991905</v>
      </c>
      <c r="F30" s="70">
        <f t="shared" si="3"/>
        <v>-6.2071760826614718E-2</v>
      </c>
    </row>
    <row r="31" spans="1:7" ht="23.1" customHeight="1" x14ac:dyDescent="0.25">
      <c r="A31" s="29"/>
      <c r="B31" s="71" t="s">
        <v>89</v>
      </c>
      <c r="C31" s="27">
        <f>SUM(C22:C30)</f>
        <v>53061849</v>
      </c>
      <c r="D31" s="27">
        <f>SUM(D22:D30)</f>
        <v>51745114</v>
      </c>
      <c r="E31" s="27">
        <f t="shared" si="2"/>
        <v>-1316735</v>
      </c>
      <c r="F31" s="28">
        <f t="shared" si="3"/>
        <v>-2.4815098320452422E-2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2933270</v>
      </c>
      <c r="D33" s="27">
        <f>+D19-D31</f>
        <v>3267241</v>
      </c>
      <c r="E33" s="27">
        <f>D33-C33</f>
        <v>333971</v>
      </c>
      <c r="F33" s="28">
        <f>IF(C33=0,0,E33/C33)</f>
        <v>0.11385620825904195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0</v>
      </c>
      <c r="E36" s="51">
        <f>D36-C36</f>
        <v>0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0</v>
      </c>
      <c r="D39" s="27">
        <f>SUM(D36:D38)</f>
        <v>0</v>
      </c>
      <c r="E39" s="27">
        <f>D39-C39</f>
        <v>0</v>
      </c>
      <c r="F39" s="28">
        <f>IF(C39=0,0,E39/C39)</f>
        <v>0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2933270</v>
      </c>
      <c r="D41" s="27">
        <f>D33+D39</f>
        <v>3267241</v>
      </c>
      <c r="E41" s="27">
        <f>D41-C41</f>
        <v>333971</v>
      </c>
      <c r="F41" s="28">
        <f>IF(C41=0,0,E41/C41)</f>
        <v>0.11385620825904195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2933270</v>
      </c>
      <c r="D48" s="27">
        <f>D41+D46</f>
        <v>3267241</v>
      </c>
      <c r="E48" s="27">
        <f>D48-C48</f>
        <v>333971</v>
      </c>
      <c r="F48" s="28">
        <f>IF(C48=0,0,E48/C48)</f>
        <v>0.11385620825904195</v>
      </c>
    </row>
    <row r="49" spans="1:6" ht="23.1" customHeight="1" x14ac:dyDescent="0.2">
      <c r="A49" s="44"/>
      <c r="B49" s="48" t="s">
        <v>102</v>
      </c>
      <c r="C49" s="51">
        <v>350000</v>
      </c>
      <c r="D49" s="51">
        <v>33687500</v>
      </c>
      <c r="E49" s="51">
        <f>D49-C49</f>
        <v>33337500</v>
      </c>
      <c r="F49" s="70">
        <f>IF(C49=0,0,E49/C49)</f>
        <v>95.25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FILING&amp;RESSENT-SHARON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.710937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35164250</v>
      </c>
      <c r="D14" s="97">
        <v>35467622</v>
      </c>
      <c r="E14" s="97">
        <f t="shared" ref="E14:E25" si="0">D14-C14</f>
        <v>303372</v>
      </c>
      <c r="F14" s="98">
        <f t="shared" ref="F14:F25" si="1">IF(C14=0,0,E14/C14)</f>
        <v>8.6272848134113476E-3</v>
      </c>
    </row>
    <row r="15" spans="1:6" ht="18" customHeight="1" x14ac:dyDescent="0.25">
      <c r="A15" s="99">
        <v>2</v>
      </c>
      <c r="B15" s="100" t="s">
        <v>113</v>
      </c>
      <c r="C15" s="97">
        <v>877153</v>
      </c>
      <c r="D15" s="97">
        <v>2076585</v>
      </c>
      <c r="E15" s="97">
        <f t="shared" si="0"/>
        <v>1199432</v>
      </c>
      <c r="F15" s="98">
        <f t="shared" si="1"/>
        <v>1.3674148067668925</v>
      </c>
    </row>
    <row r="16" spans="1:6" ht="18" customHeight="1" x14ac:dyDescent="0.25">
      <c r="A16" s="99">
        <v>3</v>
      </c>
      <c r="B16" s="100" t="s">
        <v>114</v>
      </c>
      <c r="C16" s="97">
        <v>1036502</v>
      </c>
      <c r="D16" s="97">
        <v>2432769</v>
      </c>
      <c r="E16" s="97">
        <f t="shared" si="0"/>
        <v>1396267</v>
      </c>
      <c r="F16" s="98">
        <f t="shared" si="1"/>
        <v>1.3470953263958969</v>
      </c>
    </row>
    <row r="17" spans="1:6" ht="18" customHeight="1" x14ac:dyDescent="0.25">
      <c r="A17" s="99">
        <v>4</v>
      </c>
      <c r="B17" s="100" t="s">
        <v>115</v>
      </c>
      <c r="C17" s="97">
        <v>2223448</v>
      </c>
      <c r="D17" s="97">
        <v>519547</v>
      </c>
      <c r="E17" s="97">
        <f t="shared" si="0"/>
        <v>-1703901</v>
      </c>
      <c r="F17" s="98">
        <f t="shared" si="1"/>
        <v>-0.76633274086014158</v>
      </c>
    </row>
    <row r="18" spans="1:6" ht="18" customHeight="1" x14ac:dyDescent="0.25">
      <c r="A18" s="99">
        <v>5</v>
      </c>
      <c r="B18" s="100" t="s">
        <v>116</v>
      </c>
      <c r="C18" s="97">
        <v>69552</v>
      </c>
      <c r="D18" s="97">
        <v>163314</v>
      </c>
      <c r="E18" s="97">
        <f t="shared" si="0"/>
        <v>93762</v>
      </c>
      <c r="F18" s="98">
        <f t="shared" si="1"/>
        <v>1.3480848861283643</v>
      </c>
    </row>
    <row r="19" spans="1:6" ht="18" customHeight="1" x14ac:dyDescent="0.25">
      <c r="A19" s="99">
        <v>6</v>
      </c>
      <c r="B19" s="100" t="s">
        <v>117</v>
      </c>
      <c r="C19" s="97">
        <v>675145</v>
      </c>
      <c r="D19" s="97">
        <v>836166</v>
      </c>
      <c r="E19" s="97">
        <f t="shared" si="0"/>
        <v>161021</v>
      </c>
      <c r="F19" s="98">
        <f t="shared" si="1"/>
        <v>0.23849839664072162</v>
      </c>
    </row>
    <row r="20" spans="1:6" ht="18" customHeight="1" x14ac:dyDescent="0.25">
      <c r="A20" s="99">
        <v>7</v>
      </c>
      <c r="B20" s="100" t="s">
        <v>118</v>
      </c>
      <c r="C20" s="97">
        <v>11809827</v>
      </c>
      <c r="D20" s="97">
        <v>9493463</v>
      </c>
      <c r="E20" s="97">
        <f t="shared" si="0"/>
        <v>-2316364</v>
      </c>
      <c r="F20" s="98">
        <f t="shared" si="1"/>
        <v>-0.19613869026193187</v>
      </c>
    </row>
    <row r="21" spans="1:6" ht="18" customHeight="1" x14ac:dyDescent="0.25">
      <c r="A21" s="99">
        <v>8</v>
      </c>
      <c r="B21" s="100" t="s">
        <v>119</v>
      </c>
      <c r="C21" s="97">
        <v>1287419</v>
      </c>
      <c r="D21" s="97">
        <v>681336</v>
      </c>
      <c r="E21" s="97">
        <f t="shared" si="0"/>
        <v>-606083</v>
      </c>
      <c r="F21" s="98">
        <f t="shared" si="1"/>
        <v>-0.47077369527713975</v>
      </c>
    </row>
    <row r="22" spans="1:6" ht="18" customHeight="1" x14ac:dyDescent="0.25">
      <c r="A22" s="99">
        <v>9</v>
      </c>
      <c r="B22" s="100" t="s">
        <v>120</v>
      </c>
      <c r="C22" s="97">
        <v>998989</v>
      </c>
      <c r="D22" s="97">
        <v>1345419</v>
      </c>
      <c r="E22" s="97">
        <f t="shared" si="0"/>
        <v>346430</v>
      </c>
      <c r="F22" s="98">
        <f t="shared" si="1"/>
        <v>0.34678059518172871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2271146</v>
      </c>
      <c r="D24" s="97">
        <v>2591672</v>
      </c>
      <c r="E24" s="97">
        <f t="shared" si="0"/>
        <v>320526</v>
      </c>
      <c r="F24" s="98">
        <f t="shared" si="1"/>
        <v>0.14112963235300593</v>
      </c>
    </row>
    <row r="25" spans="1:6" ht="18" customHeight="1" x14ac:dyDescent="0.25">
      <c r="A25" s="101"/>
      <c r="B25" s="102" t="s">
        <v>123</v>
      </c>
      <c r="C25" s="103">
        <f>SUM(C14:C24)</f>
        <v>56413431</v>
      </c>
      <c r="D25" s="103">
        <f>SUM(D14:D24)</f>
        <v>55607893</v>
      </c>
      <c r="E25" s="103">
        <f t="shared" si="0"/>
        <v>-805538</v>
      </c>
      <c r="F25" s="104">
        <f t="shared" si="1"/>
        <v>-1.4279188230901964E-2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28276969</v>
      </c>
      <c r="D27" s="97">
        <v>32310270</v>
      </c>
      <c r="E27" s="97">
        <f t="shared" ref="E27:E38" si="2">D27-C27</f>
        <v>4033301</v>
      </c>
      <c r="F27" s="98">
        <f t="shared" ref="F27:F38" si="3">IF(C27=0,0,E27/C27)</f>
        <v>0.14263554909297385</v>
      </c>
    </row>
    <row r="28" spans="1:6" ht="18" customHeight="1" x14ac:dyDescent="0.25">
      <c r="A28" s="99">
        <v>2</v>
      </c>
      <c r="B28" s="100" t="s">
        <v>113</v>
      </c>
      <c r="C28" s="97">
        <v>1127836</v>
      </c>
      <c r="D28" s="97">
        <v>1538955</v>
      </c>
      <c r="E28" s="97">
        <f t="shared" si="2"/>
        <v>411119</v>
      </c>
      <c r="F28" s="98">
        <f t="shared" si="3"/>
        <v>0.3645201961987381</v>
      </c>
    </row>
    <row r="29" spans="1:6" ht="18" customHeight="1" x14ac:dyDescent="0.25">
      <c r="A29" s="99">
        <v>3</v>
      </c>
      <c r="B29" s="100" t="s">
        <v>114</v>
      </c>
      <c r="C29" s="97">
        <v>1464460</v>
      </c>
      <c r="D29" s="97">
        <v>4582520</v>
      </c>
      <c r="E29" s="97">
        <f t="shared" si="2"/>
        <v>3118060</v>
      </c>
      <c r="F29" s="98">
        <f t="shared" si="3"/>
        <v>2.1291534080821601</v>
      </c>
    </row>
    <row r="30" spans="1:6" ht="18" customHeight="1" x14ac:dyDescent="0.25">
      <c r="A30" s="99">
        <v>4</v>
      </c>
      <c r="B30" s="100" t="s">
        <v>115</v>
      </c>
      <c r="C30" s="97">
        <v>2387438</v>
      </c>
      <c r="D30" s="97">
        <v>529525</v>
      </c>
      <c r="E30" s="97">
        <f t="shared" si="2"/>
        <v>-1857913</v>
      </c>
      <c r="F30" s="98">
        <f t="shared" si="3"/>
        <v>-0.77820366434646682</v>
      </c>
    </row>
    <row r="31" spans="1:6" ht="18" customHeight="1" x14ac:dyDescent="0.25">
      <c r="A31" s="99">
        <v>5</v>
      </c>
      <c r="B31" s="100" t="s">
        <v>116</v>
      </c>
      <c r="C31" s="97">
        <v>140523</v>
      </c>
      <c r="D31" s="97">
        <v>200223</v>
      </c>
      <c r="E31" s="97">
        <f t="shared" si="2"/>
        <v>59700</v>
      </c>
      <c r="F31" s="98">
        <f t="shared" si="3"/>
        <v>0.42484148502380392</v>
      </c>
    </row>
    <row r="32" spans="1:6" ht="18" customHeight="1" x14ac:dyDescent="0.25">
      <c r="A32" s="99">
        <v>6</v>
      </c>
      <c r="B32" s="100" t="s">
        <v>117</v>
      </c>
      <c r="C32" s="97">
        <v>2308024</v>
      </c>
      <c r="D32" s="97">
        <v>2589428</v>
      </c>
      <c r="E32" s="97">
        <f t="shared" si="2"/>
        <v>281404</v>
      </c>
      <c r="F32" s="98">
        <f t="shared" si="3"/>
        <v>0.12192420876039417</v>
      </c>
    </row>
    <row r="33" spans="1:6" ht="18" customHeight="1" x14ac:dyDescent="0.25">
      <c r="A33" s="99">
        <v>7</v>
      </c>
      <c r="B33" s="100" t="s">
        <v>118</v>
      </c>
      <c r="C33" s="97">
        <v>31246715</v>
      </c>
      <c r="D33" s="97">
        <v>33253822</v>
      </c>
      <c r="E33" s="97">
        <f t="shared" si="2"/>
        <v>2007107</v>
      </c>
      <c r="F33" s="98">
        <f t="shared" si="3"/>
        <v>6.4234176296612294E-2</v>
      </c>
    </row>
    <row r="34" spans="1:6" ht="18" customHeight="1" x14ac:dyDescent="0.25">
      <c r="A34" s="99">
        <v>8</v>
      </c>
      <c r="B34" s="100" t="s">
        <v>119</v>
      </c>
      <c r="C34" s="97">
        <v>1635220</v>
      </c>
      <c r="D34" s="97">
        <v>1748587</v>
      </c>
      <c r="E34" s="97">
        <f t="shared" si="2"/>
        <v>113367</v>
      </c>
      <c r="F34" s="98">
        <f t="shared" si="3"/>
        <v>6.9328286102175854E-2</v>
      </c>
    </row>
    <row r="35" spans="1:6" ht="18" customHeight="1" x14ac:dyDescent="0.25">
      <c r="A35" s="99">
        <v>9</v>
      </c>
      <c r="B35" s="100" t="s">
        <v>120</v>
      </c>
      <c r="C35" s="97">
        <v>2223498</v>
      </c>
      <c r="D35" s="97">
        <v>2566254</v>
      </c>
      <c r="E35" s="97">
        <f t="shared" si="2"/>
        <v>342756</v>
      </c>
      <c r="F35" s="98">
        <f t="shared" si="3"/>
        <v>0.15415170150816415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2518791</v>
      </c>
      <c r="D37" s="97">
        <v>3504293</v>
      </c>
      <c r="E37" s="97">
        <f t="shared" si="2"/>
        <v>985502</v>
      </c>
      <c r="F37" s="98">
        <f t="shared" si="3"/>
        <v>0.39125993383333513</v>
      </c>
    </row>
    <row r="38" spans="1:6" ht="18" customHeight="1" x14ac:dyDescent="0.25">
      <c r="A38" s="101"/>
      <c r="B38" s="102" t="s">
        <v>126</v>
      </c>
      <c r="C38" s="103">
        <f>SUM(C27:C37)</f>
        <v>73329474</v>
      </c>
      <c r="D38" s="103">
        <f>SUM(D27:D37)</f>
        <v>82823877</v>
      </c>
      <c r="E38" s="103">
        <f t="shared" si="2"/>
        <v>9494403</v>
      </c>
      <c r="F38" s="104">
        <f t="shared" si="3"/>
        <v>0.12947594578409222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63441219</v>
      </c>
      <c r="D41" s="103">
        <f t="shared" si="4"/>
        <v>67777892</v>
      </c>
      <c r="E41" s="107">
        <f t="shared" ref="E41:E52" si="5">D41-C41</f>
        <v>4336673</v>
      </c>
      <c r="F41" s="108">
        <f t="shared" ref="F41:F52" si="6">IF(C41=0,0,E41/C41)</f>
        <v>6.8357340359427837E-2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2004989</v>
      </c>
      <c r="D42" s="103">
        <f t="shared" si="4"/>
        <v>3615540</v>
      </c>
      <c r="E42" s="107">
        <f t="shared" si="5"/>
        <v>1610551</v>
      </c>
      <c r="F42" s="108">
        <f t="shared" si="6"/>
        <v>0.80327173864794266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2500962</v>
      </c>
      <c r="D43" s="103">
        <f t="shared" si="4"/>
        <v>7015289</v>
      </c>
      <c r="E43" s="107">
        <f t="shared" si="5"/>
        <v>4514327</v>
      </c>
      <c r="F43" s="108">
        <f t="shared" si="6"/>
        <v>1.8050362220617506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4610886</v>
      </c>
      <c r="D44" s="103">
        <f t="shared" si="4"/>
        <v>1049072</v>
      </c>
      <c r="E44" s="107">
        <f t="shared" si="5"/>
        <v>-3561814</v>
      </c>
      <c r="F44" s="108">
        <f t="shared" si="6"/>
        <v>-0.77247930224256245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210075</v>
      </c>
      <c r="D45" s="103">
        <f t="shared" si="4"/>
        <v>363537</v>
      </c>
      <c r="E45" s="107">
        <f t="shared" si="5"/>
        <v>153462</v>
      </c>
      <c r="F45" s="108">
        <f t="shared" si="6"/>
        <v>0.73051053195287396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2983169</v>
      </c>
      <c r="D46" s="103">
        <f t="shared" si="4"/>
        <v>3425594</v>
      </c>
      <c r="E46" s="107">
        <f t="shared" si="5"/>
        <v>442425</v>
      </c>
      <c r="F46" s="108">
        <f t="shared" si="6"/>
        <v>0.14830705199738936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43056542</v>
      </c>
      <c r="D47" s="103">
        <f t="shared" si="4"/>
        <v>42747285</v>
      </c>
      <c r="E47" s="107">
        <f t="shared" si="5"/>
        <v>-309257</v>
      </c>
      <c r="F47" s="108">
        <f t="shared" si="6"/>
        <v>-7.1825786659783317E-3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2922639</v>
      </c>
      <c r="D48" s="103">
        <f t="shared" si="4"/>
        <v>2429923</v>
      </c>
      <c r="E48" s="107">
        <f t="shared" si="5"/>
        <v>-492716</v>
      </c>
      <c r="F48" s="108">
        <f t="shared" si="6"/>
        <v>-0.16858599368584351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3222487</v>
      </c>
      <c r="D49" s="103">
        <f t="shared" si="4"/>
        <v>3911673</v>
      </c>
      <c r="E49" s="107">
        <f t="shared" si="5"/>
        <v>689186</v>
      </c>
      <c r="F49" s="108">
        <f t="shared" si="6"/>
        <v>0.21386773631670197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4789937</v>
      </c>
      <c r="D51" s="103">
        <f t="shared" si="4"/>
        <v>6095965</v>
      </c>
      <c r="E51" s="107">
        <f t="shared" si="5"/>
        <v>1306028</v>
      </c>
      <c r="F51" s="108">
        <f t="shared" si="6"/>
        <v>0.27266078864920351</v>
      </c>
    </row>
    <row r="52" spans="1:6" ht="18.75" customHeight="1" thickBot="1" x14ac:dyDescent="0.3">
      <c r="A52" s="109"/>
      <c r="B52" s="110" t="s">
        <v>128</v>
      </c>
      <c r="C52" s="111">
        <f>SUM(C41:C51)</f>
        <v>129742905</v>
      </c>
      <c r="D52" s="112">
        <f>SUM(D41:D51)</f>
        <v>138431770</v>
      </c>
      <c r="E52" s="111">
        <f t="shared" si="5"/>
        <v>8688865</v>
      </c>
      <c r="F52" s="113">
        <f t="shared" si="6"/>
        <v>6.696986629056903E-2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16977932</v>
      </c>
      <c r="D57" s="97">
        <v>16077320</v>
      </c>
      <c r="E57" s="97">
        <f t="shared" ref="E57:E68" si="7">D57-C57</f>
        <v>-900612</v>
      </c>
      <c r="F57" s="98">
        <f t="shared" ref="F57:F68" si="8">IF(C57=0,0,E57/C57)</f>
        <v>-5.3046036466632099E-2</v>
      </c>
    </row>
    <row r="58" spans="1:6" ht="18" customHeight="1" x14ac:dyDescent="0.25">
      <c r="A58" s="99">
        <v>2</v>
      </c>
      <c r="B58" s="100" t="s">
        <v>113</v>
      </c>
      <c r="C58" s="97">
        <v>439381</v>
      </c>
      <c r="D58" s="97">
        <v>977973</v>
      </c>
      <c r="E58" s="97">
        <f t="shared" si="7"/>
        <v>538592</v>
      </c>
      <c r="F58" s="98">
        <f t="shared" si="8"/>
        <v>1.2257972010624036</v>
      </c>
    </row>
    <row r="59" spans="1:6" ht="18" customHeight="1" x14ac:dyDescent="0.25">
      <c r="A59" s="99">
        <v>3</v>
      </c>
      <c r="B59" s="100" t="s">
        <v>114</v>
      </c>
      <c r="C59" s="97">
        <v>336876</v>
      </c>
      <c r="D59" s="97">
        <v>673522</v>
      </c>
      <c r="E59" s="97">
        <f t="shared" si="7"/>
        <v>336646</v>
      </c>
      <c r="F59" s="98">
        <f t="shared" si="8"/>
        <v>0.99931725620109479</v>
      </c>
    </row>
    <row r="60" spans="1:6" ht="18" customHeight="1" x14ac:dyDescent="0.25">
      <c r="A60" s="99">
        <v>4</v>
      </c>
      <c r="B60" s="100" t="s">
        <v>115</v>
      </c>
      <c r="C60" s="97">
        <v>668505</v>
      </c>
      <c r="D60" s="97">
        <v>117631</v>
      </c>
      <c r="E60" s="97">
        <f t="shared" si="7"/>
        <v>-550874</v>
      </c>
      <c r="F60" s="98">
        <f t="shared" si="8"/>
        <v>-0.82403871324821809</v>
      </c>
    </row>
    <row r="61" spans="1:6" ht="18" customHeight="1" x14ac:dyDescent="0.25">
      <c r="A61" s="99">
        <v>5</v>
      </c>
      <c r="B61" s="100" t="s">
        <v>116</v>
      </c>
      <c r="C61" s="97">
        <v>67675</v>
      </c>
      <c r="D61" s="97">
        <v>161130</v>
      </c>
      <c r="E61" s="97">
        <f t="shared" si="7"/>
        <v>93455</v>
      </c>
      <c r="F61" s="98">
        <f t="shared" si="8"/>
        <v>1.3809383080901367</v>
      </c>
    </row>
    <row r="62" spans="1:6" ht="18" customHeight="1" x14ac:dyDescent="0.25">
      <c r="A62" s="99">
        <v>6</v>
      </c>
      <c r="B62" s="100" t="s">
        <v>117</v>
      </c>
      <c r="C62" s="97">
        <v>347530</v>
      </c>
      <c r="D62" s="97">
        <v>471691</v>
      </c>
      <c r="E62" s="97">
        <f t="shared" si="7"/>
        <v>124161</v>
      </c>
      <c r="F62" s="98">
        <f t="shared" si="8"/>
        <v>0.35726699853250077</v>
      </c>
    </row>
    <row r="63" spans="1:6" ht="18" customHeight="1" x14ac:dyDescent="0.25">
      <c r="A63" s="99">
        <v>7</v>
      </c>
      <c r="B63" s="100" t="s">
        <v>118</v>
      </c>
      <c r="C63" s="97">
        <v>5883175</v>
      </c>
      <c r="D63" s="97">
        <v>4326229</v>
      </c>
      <c r="E63" s="97">
        <f t="shared" si="7"/>
        <v>-1556946</v>
      </c>
      <c r="F63" s="98">
        <f t="shared" si="8"/>
        <v>-0.26464383602391567</v>
      </c>
    </row>
    <row r="64" spans="1:6" ht="18" customHeight="1" x14ac:dyDescent="0.25">
      <c r="A64" s="99">
        <v>8</v>
      </c>
      <c r="B64" s="100" t="s">
        <v>119</v>
      </c>
      <c r="C64" s="97">
        <v>805208</v>
      </c>
      <c r="D64" s="97">
        <v>208858</v>
      </c>
      <c r="E64" s="97">
        <f t="shared" si="7"/>
        <v>-596350</v>
      </c>
      <c r="F64" s="98">
        <f t="shared" si="8"/>
        <v>-0.74061608925892441</v>
      </c>
    </row>
    <row r="65" spans="1:6" ht="18" customHeight="1" x14ac:dyDescent="0.25">
      <c r="A65" s="99">
        <v>9</v>
      </c>
      <c r="B65" s="100" t="s">
        <v>120</v>
      </c>
      <c r="C65" s="97">
        <v>123857</v>
      </c>
      <c r="D65" s="97">
        <v>215382</v>
      </c>
      <c r="E65" s="97">
        <f t="shared" si="7"/>
        <v>91525</v>
      </c>
      <c r="F65" s="98">
        <f t="shared" si="8"/>
        <v>0.73895702301848099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760368</v>
      </c>
      <c r="D67" s="97">
        <v>743895</v>
      </c>
      <c r="E67" s="97">
        <f t="shared" si="7"/>
        <v>-16473</v>
      </c>
      <c r="F67" s="98">
        <f t="shared" si="8"/>
        <v>-2.1664509816299474E-2</v>
      </c>
    </row>
    <row r="68" spans="1:6" ht="18" customHeight="1" x14ac:dyDescent="0.25">
      <c r="A68" s="101"/>
      <c r="B68" s="102" t="s">
        <v>131</v>
      </c>
      <c r="C68" s="103">
        <f>SUM(C57:C67)</f>
        <v>26410507</v>
      </c>
      <c r="D68" s="103">
        <f>SUM(D57:D67)</f>
        <v>23973631</v>
      </c>
      <c r="E68" s="103">
        <f t="shared" si="7"/>
        <v>-2436876</v>
      </c>
      <c r="F68" s="104">
        <f t="shared" si="8"/>
        <v>-9.2269186653629931E-2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6482115</v>
      </c>
      <c r="D70" s="97">
        <v>7059493</v>
      </c>
      <c r="E70" s="97">
        <f t="shared" ref="E70:E81" si="9">D70-C70</f>
        <v>577378</v>
      </c>
      <c r="F70" s="98">
        <f t="shared" ref="F70:F81" si="10">IF(C70=0,0,E70/C70)</f>
        <v>8.9072470945054202E-2</v>
      </c>
    </row>
    <row r="71" spans="1:6" ht="18" customHeight="1" x14ac:dyDescent="0.25">
      <c r="A71" s="99">
        <v>2</v>
      </c>
      <c r="B71" s="100" t="s">
        <v>113</v>
      </c>
      <c r="C71" s="97">
        <v>263478</v>
      </c>
      <c r="D71" s="97">
        <v>358752</v>
      </c>
      <c r="E71" s="97">
        <f t="shared" si="9"/>
        <v>95274</v>
      </c>
      <c r="F71" s="98">
        <f t="shared" si="10"/>
        <v>0.36160134812014666</v>
      </c>
    </row>
    <row r="72" spans="1:6" ht="18" customHeight="1" x14ac:dyDescent="0.25">
      <c r="A72" s="99">
        <v>3</v>
      </c>
      <c r="B72" s="100" t="s">
        <v>114</v>
      </c>
      <c r="C72" s="97">
        <v>345904</v>
      </c>
      <c r="D72" s="97">
        <v>1093344</v>
      </c>
      <c r="E72" s="97">
        <f t="shared" si="9"/>
        <v>747440</v>
      </c>
      <c r="F72" s="98">
        <f t="shared" si="10"/>
        <v>2.1608307507285258</v>
      </c>
    </row>
    <row r="73" spans="1:6" ht="18" customHeight="1" x14ac:dyDescent="0.25">
      <c r="A73" s="99">
        <v>4</v>
      </c>
      <c r="B73" s="100" t="s">
        <v>115</v>
      </c>
      <c r="C73" s="97">
        <v>586844</v>
      </c>
      <c r="D73" s="97">
        <v>118410</v>
      </c>
      <c r="E73" s="97">
        <f t="shared" si="9"/>
        <v>-468434</v>
      </c>
      <c r="F73" s="98">
        <f t="shared" si="10"/>
        <v>-0.79822576357600994</v>
      </c>
    </row>
    <row r="74" spans="1:6" ht="18" customHeight="1" x14ac:dyDescent="0.25">
      <c r="A74" s="99">
        <v>5</v>
      </c>
      <c r="B74" s="100" t="s">
        <v>116</v>
      </c>
      <c r="C74" s="97">
        <v>40440</v>
      </c>
      <c r="D74" s="97">
        <v>55611</v>
      </c>
      <c r="E74" s="97">
        <f t="shared" si="9"/>
        <v>15171</v>
      </c>
      <c r="F74" s="98">
        <f t="shared" si="10"/>
        <v>0.37514836795252227</v>
      </c>
    </row>
    <row r="75" spans="1:6" ht="18" customHeight="1" x14ac:dyDescent="0.25">
      <c r="A75" s="99">
        <v>6</v>
      </c>
      <c r="B75" s="100" t="s">
        <v>117</v>
      </c>
      <c r="C75" s="97">
        <v>1472368</v>
      </c>
      <c r="D75" s="97">
        <v>1404786</v>
      </c>
      <c r="E75" s="97">
        <f t="shared" si="9"/>
        <v>-67582</v>
      </c>
      <c r="F75" s="98">
        <f t="shared" si="10"/>
        <v>-4.5900209730176153E-2</v>
      </c>
    </row>
    <row r="76" spans="1:6" ht="18" customHeight="1" x14ac:dyDescent="0.25">
      <c r="A76" s="99">
        <v>7</v>
      </c>
      <c r="B76" s="100" t="s">
        <v>118</v>
      </c>
      <c r="C76" s="97">
        <v>14672389</v>
      </c>
      <c r="D76" s="97">
        <v>15669085</v>
      </c>
      <c r="E76" s="97">
        <f t="shared" si="9"/>
        <v>996696</v>
      </c>
      <c r="F76" s="98">
        <f t="shared" si="10"/>
        <v>6.7930041931140189E-2</v>
      </c>
    </row>
    <row r="77" spans="1:6" ht="18" customHeight="1" x14ac:dyDescent="0.25">
      <c r="A77" s="99">
        <v>8</v>
      </c>
      <c r="B77" s="100" t="s">
        <v>119</v>
      </c>
      <c r="C77" s="97">
        <v>643745</v>
      </c>
      <c r="D77" s="97">
        <v>581029</v>
      </c>
      <c r="E77" s="97">
        <f t="shared" si="9"/>
        <v>-62716</v>
      </c>
      <c r="F77" s="98">
        <f t="shared" si="10"/>
        <v>-9.7423669310052891E-2</v>
      </c>
    </row>
    <row r="78" spans="1:6" ht="18" customHeight="1" x14ac:dyDescent="0.25">
      <c r="A78" s="99">
        <v>9</v>
      </c>
      <c r="B78" s="100" t="s">
        <v>120</v>
      </c>
      <c r="C78" s="97">
        <v>127109</v>
      </c>
      <c r="D78" s="97">
        <v>464737</v>
      </c>
      <c r="E78" s="97">
        <f t="shared" si="9"/>
        <v>337628</v>
      </c>
      <c r="F78" s="98">
        <f t="shared" si="10"/>
        <v>2.6562084510144834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347112</v>
      </c>
      <c r="D80" s="97">
        <v>522404</v>
      </c>
      <c r="E80" s="97">
        <f t="shared" si="9"/>
        <v>175292</v>
      </c>
      <c r="F80" s="98">
        <f t="shared" si="10"/>
        <v>0.50500126760238773</v>
      </c>
    </row>
    <row r="81" spans="1:6" ht="18" customHeight="1" x14ac:dyDescent="0.25">
      <c r="A81" s="101"/>
      <c r="B81" s="102" t="s">
        <v>133</v>
      </c>
      <c r="C81" s="103">
        <f>SUM(C70:C80)</f>
        <v>24981504</v>
      </c>
      <c r="D81" s="103">
        <f>SUM(D70:D80)</f>
        <v>27327651</v>
      </c>
      <c r="E81" s="103">
        <f t="shared" si="9"/>
        <v>2346147</v>
      </c>
      <c r="F81" s="104">
        <f t="shared" si="10"/>
        <v>9.3915362341674871E-2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23460047</v>
      </c>
      <c r="D84" s="103">
        <f t="shared" si="11"/>
        <v>23136813</v>
      </c>
      <c r="E84" s="103">
        <f t="shared" ref="E84:E95" si="12">D84-C84</f>
        <v>-323234</v>
      </c>
      <c r="F84" s="104">
        <f t="shared" ref="F84:F95" si="13">IF(C84=0,0,E84/C84)</f>
        <v>-1.3778062763471871E-2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702859</v>
      </c>
      <c r="D85" s="103">
        <f t="shared" si="11"/>
        <v>1336725</v>
      </c>
      <c r="E85" s="103">
        <f t="shared" si="12"/>
        <v>633866</v>
      </c>
      <c r="F85" s="104">
        <f t="shared" si="13"/>
        <v>0.90183948700948557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682780</v>
      </c>
      <c r="D86" s="103">
        <f t="shared" si="11"/>
        <v>1766866</v>
      </c>
      <c r="E86" s="103">
        <f t="shared" si="12"/>
        <v>1084086</v>
      </c>
      <c r="F86" s="104">
        <f t="shared" si="13"/>
        <v>1.5877530097542401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1255349</v>
      </c>
      <c r="D87" s="103">
        <f t="shared" si="11"/>
        <v>236041</v>
      </c>
      <c r="E87" s="103">
        <f t="shared" si="12"/>
        <v>-1019308</v>
      </c>
      <c r="F87" s="104">
        <f t="shared" si="13"/>
        <v>-0.81197181022966525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108115</v>
      </c>
      <c r="D88" s="103">
        <f t="shared" si="11"/>
        <v>216741</v>
      </c>
      <c r="E88" s="103">
        <f t="shared" si="12"/>
        <v>108626</v>
      </c>
      <c r="F88" s="104">
        <f t="shared" si="13"/>
        <v>1.004726448688896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1819898</v>
      </c>
      <c r="D89" s="103">
        <f t="shared" si="11"/>
        <v>1876477</v>
      </c>
      <c r="E89" s="103">
        <f t="shared" si="12"/>
        <v>56579</v>
      </c>
      <c r="F89" s="104">
        <f t="shared" si="13"/>
        <v>3.1089104993796357E-2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20555564</v>
      </c>
      <c r="D90" s="103">
        <f t="shared" si="11"/>
        <v>19995314</v>
      </c>
      <c r="E90" s="103">
        <f t="shared" si="12"/>
        <v>-560250</v>
      </c>
      <c r="F90" s="104">
        <f t="shared" si="13"/>
        <v>-2.725539420859481E-2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1448953</v>
      </c>
      <c r="D91" s="103">
        <f t="shared" si="11"/>
        <v>789887</v>
      </c>
      <c r="E91" s="103">
        <f t="shared" si="12"/>
        <v>-659066</v>
      </c>
      <c r="F91" s="104">
        <f t="shared" si="13"/>
        <v>-0.45485671377884584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250966</v>
      </c>
      <c r="D92" s="103">
        <f t="shared" si="11"/>
        <v>680119</v>
      </c>
      <c r="E92" s="103">
        <f t="shared" si="12"/>
        <v>429153</v>
      </c>
      <c r="F92" s="104">
        <f t="shared" si="13"/>
        <v>1.7100045424479811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1107480</v>
      </c>
      <c r="D94" s="103">
        <f t="shared" si="11"/>
        <v>1266299</v>
      </c>
      <c r="E94" s="103">
        <f t="shared" si="12"/>
        <v>158819</v>
      </c>
      <c r="F94" s="104">
        <f t="shared" si="13"/>
        <v>0.1434057499909705</v>
      </c>
    </row>
    <row r="95" spans="1:6" ht="18.75" customHeight="1" thickBot="1" x14ac:dyDescent="0.3">
      <c r="A95" s="115"/>
      <c r="B95" s="116" t="s">
        <v>134</v>
      </c>
      <c r="C95" s="112">
        <f>SUM(C84:C94)</f>
        <v>51392011</v>
      </c>
      <c r="D95" s="112">
        <f>SUM(D84:D94)</f>
        <v>51301282</v>
      </c>
      <c r="E95" s="112">
        <f t="shared" si="12"/>
        <v>-90729</v>
      </c>
      <c r="F95" s="113">
        <f t="shared" si="13"/>
        <v>-1.7654300393109739E-3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1485</v>
      </c>
      <c r="D100" s="117">
        <v>1473</v>
      </c>
      <c r="E100" s="117">
        <f t="shared" ref="E100:E111" si="14">D100-C100</f>
        <v>-12</v>
      </c>
      <c r="F100" s="98">
        <f t="shared" ref="F100:F111" si="15">IF(C100=0,0,E100/C100)</f>
        <v>-8.0808080808080808E-3</v>
      </c>
    </row>
    <row r="101" spans="1:6" ht="18" customHeight="1" x14ac:dyDescent="0.25">
      <c r="A101" s="99">
        <v>2</v>
      </c>
      <c r="B101" s="100" t="s">
        <v>113</v>
      </c>
      <c r="C101" s="117">
        <v>45</v>
      </c>
      <c r="D101" s="117">
        <v>81</v>
      </c>
      <c r="E101" s="117">
        <f t="shared" si="14"/>
        <v>36</v>
      </c>
      <c r="F101" s="98">
        <f t="shared" si="15"/>
        <v>0.8</v>
      </c>
    </row>
    <row r="102" spans="1:6" ht="18" customHeight="1" x14ac:dyDescent="0.25">
      <c r="A102" s="99">
        <v>3</v>
      </c>
      <c r="B102" s="100" t="s">
        <v>114</v>
      </c>
      <c r="C102" s="117">
        <v>56</v>
      </c>
      <c r="D102" s="117">
        <v>161</v>
      </c>
      <c r="E102" s="117">
        <f t="shared" si="14"/>
        <v>105</v>
      </c>
      <c r="F102" s="98">
        <f t="shared" si="15"/>
        <v>1.875</v>
      </c>
    </row>
    <row r="103" spans="1:6" ht="18" customHeight="1" x14ac:dyDescent="0.25">
      <c r="A103" s="99">
        <v>4</v>
      </c>
      <c r="B103" s="100" t="s">
        <v>115</v>
      </c>
      <c r="C103" s="117">
        <v>167</v>
      </c>
      <c r="D103" s="117">
        <v>33</v>
      </c>
      <c r="E103" s="117">
        <f t="shared" si="14"/>
        <v>-134</v>
      </c>
      <c r="F103" s="98">
        <f t="shared" si="15"/>
        <v>-0.80239520958083832</v>
      </c>
    </row>
    <row r="104" spans="1:6" ht="18" customHeight="1" x14ac:dyDescent="0.25">
      <c r="A104" s="99">
        <v>5</v>
      </c>
      <c r="B104" s="100" t="s">
        <v>116</v>
      </c>
      <c r="C104" s="117">
        <v>8</v>
      </c>
      <c r="D104" s="117">
        <v>11</v>
      </c>
      <c r="E104" s="117">
        <f t="shared" si="14"/>
        <v>3</v>
      </c>
      <c r="F104" s="98">
        <f t="shared" si="15"/>
        <v>0.375</v>
      </c>
    </row>
    <row r="105" spans="1:6" ht="18" customHeight="1" x14ac:dyDescent="0.25">
      <c r="A105" s="99">
        <v>6</v>
      </c>
      <c r="B105" s="100" t="s">
        <v>117</v>
      </c>
      <c r="C105" s="117">
        <v>41</v>
      </c>
      <c r="D105" s="117">
        <v>41</v>
      </c>
      <c r="E105" s="117">
        <f t="shared" si="14"/>
        <v>0</v>
      </c>
      <c r="F105" s="98">
        <f t="shared" si="15"/>
        <v>0</v>
      </c>
    </row>
    <row r="106" spans="1:6" ht="18" customHeight="1" x14ac:dyDescent="0.25">
      <c r="A106" s="99">
        <v>7</v>
      </c>
      <c r="B106" s="100" t="s">
        <v>118</v>
      </c>
      <c r="C106" s="117">
        <v>672</v>
      </c>
      <c r="D106" s="117">
        <v>614</v>
      </c>
      <c r="E106" s="117">
        <f t="shared" si="14"/>
        <v>-58</v>
      </c>
      <c r="F106" s="98">
        <f t="shared" si="15"/>
        <v>-8.6309523809523808E-2</v>
      </c>
    </row>
    <row r="107" spans="1:6" ht="18" customHeight="1" x14ac:dyDescent="0.25">
      <c r="A107" s="99">
        <v>8</v>
      </c>
      <c r="B107" s="100" t="s">
        <v>119</v>
      </c>
      <c r="C107" s="117">
        <v>24</v>
      </c>
      <c r="D107" s="117">
        <v>15</v>
      </c>
      <c r="E107" s="117">
        <f t="shared" si="14"/>
        <v>-9</v>
      </c>
      <c r="F107" s="98">
        <f t="shared" si="15"/>
        <v>-0.375</v>
      </c>
    </row>
    <row r="108" spans="1:6" ht="18" customHeight="1" x14ac:dyDescent="0.25">
      <c r="A108" s="99">
        <v>9</v>
      </c>
      <c r="B108" s="100" t="s">
        <v>120</v>
      </c>
      <c r="C108" s="117">
        <v>57</v>
      </c>
      <c r="D108" s="117">
        <v>73</v>
      </c>
      <c r="E108" s="117">
        <f t="shared" si="14"/>
        <v>16</v>
      </c>
      <c r="F108" s="98">
        <f t="shared" si="15"/>
        <v>0.2807017543859649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148</v>
      </c>
      <c r="D110" s="117">
        <v>183</v>
      </c>
      <c r="E110" s="117">
        <f t="shared" si="14"/>
        <v>35</v>
      </c>
      <c r="F110" s="98">
        <f t="shared" si="15"/>
        <v>0.23648648648648649</v>
      </c>
    </row>
    <row r="111" spans="1:6" ht="18" customHeight="1" x14ac:dyDescent="0.25">
      <c r="A111" s="101"/>
      <c r="B111" s="102" t="s">
        <v>138</v>
      </c>
      <c r="C111" s="118">
        <f>SUM(C100:C110)</f>
        <v>2703</v>
      </c>
      <c r="D111" s="118">
        <f>SUM(D100:D110)</f>
        <v>2685</v>
      </c>
      <c r="E111" s="118">
        <f t="shared" si="14"/>
        <v>-18</v>
      </c>
      <c r="F111" s="104">
        <f t="shared" si="15"/>
        <v>-6.6592674805771362E-3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8468</v>
      </c>
      <c r="D113" s="117">
        <v>7988</v>
      </c>
      <c r="E113" s="117">
        <f t="shared" ref="E113:E124" si="16">D113-C113</f>
        <v>-480</v>
      </c>
      <c r="F113" s="98">
        <f t="shared" ref="F113:F124" si="17">IF(C113=0,0,E113/C113)</f>
        <v>-5.6683986773736421E-2</v>
      </c>
    </row>
    <row r="114" spans="1:6" ht="18" customHeight="1" x14ac:dyDescent="0.25">
      <c r="A114" s="99">
        <v>2</v>
      </c>
      <c r="B114" s="100" t="s">
        <v>113</v>
      </c>
      <c r="C114" s="117">
        <v>217</v>
      </c>
      <c r="D114" s="117">
        <v>481</v>
      </c>
      <c r="E114" s="117">
        <f t="shared" si="16"/>
        <v>264</v>
      </c>
      <c r="F114" s="98">
        <f t="shared" si="17"/>
        <v>1.2165898617511521</v>
      </c>
    </row>
    <row r="115" spans="1:6" ht="18" customHeight="1" x14ac:dyDescent="0.25">
      <c r="A115" s="99">
        <v>3</v>
      </c>
      <c r="B115" s="100" t="s">
        <v>114</v>
      </c>
      <c r="C115" s="117">
        <v>252</v>
      </c>
      <c r="D115" s="117">
        <v>516</v>
      </c>
      <c r="E115" s="117">
        <f t="shared" si="16"/>
        <v>264</v>
      </c>
      <c r="F115" s="98">
        <f t="shared" si="17"/>
        <v>1.0476190476190477</v>
      </c>
    </row>
    <row r="116" spans="1:6" ht="18" customHeight="1" x14ac:dyDescent="0.25">
      <c r="A116" s="99">
        <v>4</v>
      </c>
      <c r="B116" s="100" t="s">
        <v>115</v>
      </c>
      <c r="C116" s="117">
        <v>510</v>
      </c>
      <c r="D116" s="117">
        <v>86</v>
      </c>
      <c r="E116" s="117">
        <f t="shared" si="16"/>
        <v>-424</v>
      </c>
      <c r="F116" s="98">
        <f t="shared" si="17"/>
        <v>-0.83137254901960789</v>
      </c>
    </row>
    <row r="117" spans="1:6" ht="18" customHeight="1" x14ac:dyDescent="0.25">
      <c r="A117" s="99">
        <v>5</v>
      </c>
      <c r="B117" s="100" t="s">
        <v>116</v>
      </c>
      <c r="C117" s="117">
        <v>16</v>
      </c>
      <c r="D117" s="117">
        <v>29</v>
      </c>
      <c r="E117" s="117">
        <f t="shared" si="16"/>
        <v>13</v>
      </c>
      <c r="F117" s="98">
        <f t="shared" si="17"/>
        <v>0.8125</v>
      </c>
    </row>
    <row r="118" spans="1:6" ht="18" customHeight="1" x14ac:dyDescent="0.25">
      <c r="A118" s="99">
        <v>6</v>
      </c>
      <c r="B118" s="100" t="s">
        <v>117</v>
      </c>
      <c r="C118" s="117">
        <v>139</v>
      </c>
      <c r="D118" s="117">
        <v>147</v>
      </c>
      <c r="E118" s="117">
        <f t="shared" si="16"/>
        <v>8</v>
      </c>
      <c r="F118" s="98">
        <f t="shared" si="17"/>
        <v>5.7553956834532377E-2</v>
      </c>
    </row>
    <row r="119" spans="1:6" ht="18" customHeight="1" x14ac:dyDescent="0.25">
      <c r="A119" s="99">
        <v>7</v>
      </c>
      <c r="B119" s="100" t="s">
        <v>118</v>
      </c>
      <c r="C119" s="117">
        <v>2015</v>
      </c>
      <c r="D119" s="117">
        <v>1806</v>
      </c>
      <c r="E119" s="117">
        <f t="shared" si="16"/>
        <v>-209</v>
      </c>
      <c r="F119" s="98">
        <f t="shared" si="17"/>
        <v>-0.10372208436724566</v>
      </c>
    </row>
    <row r="120" spans="1:6" ht="18" customHeight="1" x14ac:dyDescent="0.25">
      <c r="A120" s="99">
        <v>8</v>
      </c>
      <c r="B120" s="100" t="s">
        <v>119</v>
      </c>
      <c r="C120" s="117">
        <v>62</v>
      </c>
      <c r="D120" s="117">
        <v>36</v>
      </c>
      <c r="E120" s="117">
        <f t="shared" si="16"/>
        <v>-26</v>
      </c>
      <c r="F120" s="98">
        <f t="shared" si="17"/>
        <v>-0.41935483870967744</v>
      </c>
    </row>
    <row r="121" spans="1:6" ht="18" customHeight="1" x14ac:dyDescent="0.25">
      <c r="A121" s="99">
        <v>9</v>
      </c>
      <c r="B121" s="100" t="s">
        <v>120</v>
      </c>
      <c r="C121" s="117">
        <v>186</v>
      </c>
      <c r="D121" s="117">
        <v>273</v>
      </c>
      <c r="E121" s="117">
        <f t="shared" si="16"/>
        <v>87</v>
      </c>
      <c r="F121" s="98">
        <f t="shared" si="17"/>
        <v>0.46774193548387094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0</v>
      </c>
      <c r="E122" s="117">
        <f t="shared" si="16"/>
        <v>0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490</v>
      </c>
      <c r="D123" s="117">
        <v>552</v>
      </c>
      <c r="E123" s="117">
        <f t="shared" si="16"/>
        <v>62</v>
      </c>
      <c r="F123" s="98">
        <f t="shared" si="17"/>
        <v>0.12653061224489795</v>
      </c>
    </row>
    <row r="124" spans="1:6" ht="18" customHeight="1" x14ac:dyDescent="0.25">
      <c r="A124" s="101"/>
      <c r="B124" s="102" t="s">
        <v>140</v>
      </c>
      <c r="C124" s="118">
        <f>SUM(C113:C123)</f>
        <v>12355</v>
      </c>
      <c r="D124" s="118">
        <f>SUM(D113:D123)</f>
        <v>11914</v>
      </c>
      <c r="E124" s="118">
        <f t="shared" si="16"/>
        <v>-441</v>
      </c>
      <c r="F124" s="104">
        <f t="shared" si="17"/>
        <v>-3.5694050991501414E-2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34119</v>
      </c>
      <c r="D126" s="117">
        <v>40771</v>
      </c>
      <c r="E126" s="117">
        <f t="shared" ref="E126:E137" si="18">D126-C126</f>
        <v>6652</v>
      </c>
      <c r="F126" s="98">
        <f t="shared" ref="F126:F137" si="19">IF(C126=0,0,E126/C126)</f>
        <v>0.19496468243500689</v>
      </c>
    </row>
    <row r="127" spans="1:6" ht="18" customHeight="1" x14ac:dyDescent="0.25">
      <c r="A127" s="99">
        <v>2</v>
      </c>
      <c r="B127" s="100" t="s">
        <v>113</v>
      </c>
      <c r="C127" s="117">
        <v>1632</v>
      </c>
      <c r="D127" s="117">
        <v>1699</v>
      </c>
      <c r="E127" s="117">
        <f t="shared" si="18"/>
        <v>67</v>
      </c>
      <c r="F127" s="98">
        <f t="shared" si="19"/>
        <v>4.1053921568627451E-2</v>
      </c>
    </row>
    <row r="128" spans="1:6" ht="18" customHeight="1" x14ac:dyDescent="0.25">
      <c r="A128" s="99">
        <v>3</v>
      </c>
      <c r="B128" s="100" t="s">
        <v>114</v>
      </c>
      <c r="C128" s="117">
        <v>1139</v>
      </c>
      <c r="D128" s="117">
        <v>3629</v>
      </c>
      <c r="E128" s="117">
        <f t="shared" si="18"/>
        <v>2490</v>
      </c>
      <c r="F128" s="98">
        <f t="shared" si="19"/>
        <v>2.1861281826163301</v>
      </c>
    </row>
    <row r="129" spans="1:6" ht="18" customHeight="1" x14ac:dyDescent="0.25">
      <c r="A129" s="99">
        <v>4</v>
      </c>
      <c r="B129" s="100" t="s">
        <v>115</v>
      </c>
      <c r="C129" s="117">
        <v>2922</v>
      </c>
      <c r="D129" s="117">
        <v>649</v>
      </c>
      <c r="E129" s="117">
        <f t="shared" si="18"/>
        <v>-2273</v>
      </c>
      <c r="F129" s="98">
        <f t="shared" si="19"/>
        <v>-0.77789185489390833</v>
      </c>
    </row>
    <row r="130" spans="1:6" ht="18" customHeight="1" x14ac:dyDescent="0.25">
      <c r="A130" s="99">
        <v>5</v>
      </c>
      <c r="B130" s="100" t="s">
        <v>116</v>
      </c>
      <c r="C130" s="117">
        <v>94</v>
      </c>
      <c r="D130" s="117">
        <v>191</v>
      </c>
      <c r="E130" s="117">
        <f t="shared" si="18"/>
        <v>97</v>
      </c>
      <c r="F130" s="98">
        <f t="shared" si="19"/>
        <v>1.0319148936170213</v>
      </c>
    </row>
    <row r="131" spans="1:6" ht="18" customHeight="1" x14ac:dyDescent="0.25">
      <c r="A131" s="99">
        <v>6</v>
      </c>
      <c r="B131" s="100" t="s">
        <v>117</v>
      </c>
      <c r="C131" s="117">
        <v>1655</v>
      </c>
      <c r="D131" s="117">
        <v>5508</v>
      </c>
      <c r="E131" s="117">
        <f t="shared" si="18"/>
        <v>3853</v>
      </c>
      <c r="F131" s="98">
        <f t="shared" si="19"/>
        <v>2.32809667673716</v>
      </c>
    </row>
    <row r="132" spans="1:6" ht="18" customHeight="1" x14ac:dyDescent="0.25">
      <c r="A132" s="99">
        <v>7</v>
      </c>
      <c r="B132" s="100" t="s">
        <v>118</v>
      </c>
      <c r="C132" s="117">
        <v>28321</v>
      </c>
      <c r="D132" s="117">
        <v>34509</v>
      </c>
      <c r="E132" s="117">
        <f t="shared" si="18"/>
        <v>6188</v>
      </c>
      <c r="F132" s="98">
        <f t="shared" si="19"/>
        <v>0.21849510963595919</v>
      </c>
    </row>
    <row r="133" spans="1:6" ht="18" customHeight="1" x14ac:dyDescent="0.25">
      <c r="A133" s="99">
        <v>8</v>
      </c>
      <c r="B133" s="100" t="s">
        <v>119</v>
      </c>
      <c r="C133" s="117">
        <v>601</v>
      </c>
      <c r="D133" s="117">
        <v>1225</v>
      </c>
      <c r="E133" s="117">
        <f t="shared" si="18"/>
        <v>624</v>
      </c>
      <c r="F133" s="98">
        <f t="shared" si="19"/>
        <v>1.038269550748752</v>
      </c>
    </row>
    <row r="134" spans="1:6" ht="18" customHeight="1" x14ac:dyDescent="0.25">
      <c r="A134" s="99">
        <v>9</v>
      </c>
      <c r="B134" s="100" t="s">
        <v>120</v>
      </c>
      <c r="C134" s="117">
        <v>6909</v>
      </c>
      <c r="D134" s="117">
        <v>3972</v>
      </c>
      <c r="E134" s="117">
        <f t="shared" si="18"/>
        <v>-2937</v>
      </c>
      <c r="F134" s="98">
        <f t="shared" si="19"/>
        <v>-0.42509769865392966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2251</v>
      </c>
      <c r="D136" s="117">
        <v>4882</v>
      </c>
      <c r="E136" s="117">
        <f t="shared" si="18"/>
        <v>2631</v>
      </c>
      <c r="F136" s="98">
        <f t="shared" si="19"/>
        <v>1.1688138605064415</v>
      </c>
    </row>
    <row r="137" spans="1:6" ht="18" customHeight="1" x14ac:dyDescent="0.25">
      <c r="A137" s="101"/>
      <c r="B137" s="102" t="s">
        <v>143</v>
      </c>
      <c r="C137" s="118">
        <f>SUM(C126:C136)</f>
        <v>79643</v>
      </c>
      <c r="D137" s="118">
        <f>SUM(D126:D136)</f>
        <v>97035</v>
      </c>
      <c r="E137" s="118">
        <f t="shared" si="18"/>
        <v>17392</v>
      </c>
      <c r="F137" s="104">
        <f t="shared" si="19"/>
        <v>0.21837449618924451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3748266</v>
      </c>
      <c r="D142" s="97">
        <v>4215716</v>
      </c>
      <c r="E142" s="97">
        <f t="shared" ref="E142:E153" si="20">D142-C142</f>
        <v>467450</v>
      </c>
      <c r="F142" s="98">
        <f t="shared" ref="F142:F153" si="21">IF(C142=0,0,E142/C142)</f>
        <v>0.12471099969959443</v>
      </c>
    </row>
    <row r="143" spans="1:6" ht="18" customHeight="1" x14ac:dyDescent="0.25">
      <c r="A143" s="99">
        <v>2</v>
      </c>
      <c r="B143" s="100" t="s">
        <v>113</v>
      </c>
      <c r="C143" s="97">
        <v>151127</v>
      </c>
      <c r="D143" s="97">
        <v>187907</v>
      </c>
      <c r="E143" s="97">
        <f t="shared" si="20"/>
        <v>36780</v>
      </c>
      <c r="F143" s="98">
        <f t="shared" si="21"/>
        <v>0.24337146902935941</v>
      </c>
    </row>
    <row r="144" spans="1:6" ht="18" customHeight="1" x14ac:dyDescent="0.25">
      <c r="A144" s="99">
        <v>3</v>
      </c>
      <c r="B144" s="100" t="s">
        <v>114</v>
      </c>
      <c r="C144" s="97">
        <v>377265</v>
      </c>
      <c r="D144" s="97">
        <v>1186753</v>
      </c>
      <c r="E144" s="97">
        <f t="shared" si="20"/>
        <v>809488</v>
      </c>
      <c r="F144" s="98">
        <f t="shared" si="21"/>
        <v>2.1456747909294527</v>
      </c>
    </row>
    <row r="145" spans="1:6" ht="18" customHeight="1" x14ac:dyDescent="0.25">
      <c r="A145" s="99">
        <v>4</v>
      </c>
      <c r="B145" s="100" t="s">
        <v>115</v>
      </c>
      <c r="C145" s="97">
        <v>1029052</v>
      </c>
      <c r="D145" s="97">
        <v>212686</v>
      </c>
      <c r="E145" s="97">
        <f t="shared" si="20"/>
        <v>-816366</v>
      </c>
      <c r="F145" s="98">
        <f t="shared" si="21"/>
        <v>-0.79331851062920045</v>
      </c>
    </row>
    <row r="146" spans="1:6" ht="18" customHeight="1" x14ac:dyDescent="0.25">
      <c r="A146" s="99">
        <v>5</v>
      </c>
      <c r="B146" s="100" t="s">
        <v>116</v>
      </c>
      <c r="C146" s="97">
        <v>52461</v>
      </c>
      <c r="D146" s="97">
        <v>88578</v>
      </c>
      <c r="E146" s="97">
        <f t="shared" si="20"/>
        <v>36117</v>
      </c>
      <c r="F146" s="98">
        <f t="shared" si="21"/>
        <v>0.68845428032252531</v>
      </c>
    </row>
    <row r="147" spans="1:6" ht="18" customHeight="1" x14ac:dyDescent="0.25">
      <c r="A147" s="99">
        <v>6</v>
      </c>
      <c r="B147" s="100" t="s">
        <v>117</v>
      </c>
      <c r="C147" s="97">
        <v>341768</v>
      </c>
      <c r="D147" s="97">
        <v>1098789</v>
      </c>
      <c r="E147" s="97">
        <f t="shared" si="20"/>
        <v>757021</v>
      </c>
      <c r="F147" s="98">
        <f t="shared" si="21"/>
        <v>2.215014278691978</v>
      </c>
    </row>
    <row r="148" spans="1:6" ht="18" customHeight="1" x14ac:dyDescent="0.25">
      <c r="A148" s="99">
        <v>7</v>
      </c>
      <c r="B148" s="100" t="s">
        <v>118</v>
      </c>
      <c r="C148" s="97">
        <v>6563609</v>
      </c>
      <c r="D148" s="97">
        <v>6204282</v>
      </c>
      <c r="E148" s="97">
        <f t="shared" si="20"/>
        <v>-359327</v>
      </c>
      <c r="F148" s="98">
        <f t="shared" si="21"/>
        <v>-5.4745339035277694E-2</v>
      </c>
    </row>
    <row r="149" spans="1:6" ht="18" customHeight="1" x14ac:dyDescent="0.25">
      <c r="A149" s="99">
        <v>8</v>
      </c>
      <c r="B149" s="100" t="s">
        <v>119</v>
      </c>
      <c r="C149" s="97">
        <v>1446258</v>
      </c>
      <c r="D149" s="97">
        <v>360409</v>
      </c>
      <c r="E149" s="97">
        <f t="shared" si="20"/>
        <v>-1085849</v>
      </c>
      <c r="F149" s="98">
        <f t="shared" si="21"/>
        <v>-0.75079895841544175</v>
      </c>
    </row>
    <row r="150" spans="1:6" ht="18" customHeight="1" x14ac:dyDescent="0.25">
      <c r="A150" s="99">
        <v>9</v>
      </c>
      <c r="B150" s="100" t="s">
        <v>120</v>
      </c>
      <c r="C150" s="97">
        <v>393062</v>
      </c>
      <c r="D150" s="97">
        <v>1454532</v>
      </c>
      <c r="E150" s="97">
        <f t="shared" si="20"/>
        <v>1061470</v>
      </c>
      <c r="F150" s="98">
        <f t="shared" si="21"/>
        <v>2.7005154403122154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1188028</v>
      </c>
      <c r="D152" s="97">
        <v>1625696</v>
      </c>
      <c r="E152" s="97">
        <f t="shared" si="20"/>
        <v>437668</v>
      </c>
      <c r="F152" s="98">
        <f t="shared" si="21"/>
        <v>0.36839872460918427</v>
      </c>
    </row>
    <row r="153" spans="1:6" ht="33.75" customHeight="1" x14ac:dyDescent="0.25">
      <c r="A153" s="101"/>
      <c r="B153" s="102" t="s">
        <v>147</v>
      </c>
      <c r="C153" s="103">
        <f>SUM(C142:C152)</f>
        <v>15290896</v>
      </c>
      <c r="D153" s="103">
        <f>SUM(D142:D152)</f>
        <v>16635348</v>
      </c>
      <c r="E153" s="103">
        <f t="shared" si="20"/>
        <v>1344452</v>
      </c>
      <c r="F153" s="104">
        <f t="shared" si="21"/>
        <v>8.7924997985729544E-2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757303</v>
      </c>
      <c r="D155" s="97">
        <v>735669</v>
      </c>
      <c r="E155" s="97">
        <f t="shared" ref="E155:E166" si="22">D155-C155</f>
        <v>-21634</v>
      </c>
      <c r="F155" s="98">
        <f t="shared" ref="F155:F166" si="23">IF(C155=0,0,E155/C155)</f>
        <v>-2.8567165322202607E-2</v>
      </c>
    </row>
    <row r="156" spans="1:6" ht="18" customHeight="1" x14ac:dyDescent="0.25">
      <c r="A156" s="99">
        <v>2</v>
      </c>
      <c r="B156" s="100" t="s">
        <v>113</v>
      </c>
      <c r="C156" s="97">
        <v>25440</v>
      </c>
      <c r="D156" s="97">
        <v>31694</v>
      </c>
      <c r="E156" s="97">
        <f t="shared" si="22"/>
        <v>6254</v>
      </c>
      <c r="F156" s="98">
        <f t="shared" si="23"/>
        <v>0.24583333333333332</v>
      </c>
    </row>
    <row r="157" spans="1:6" ht="18" customHeight="1" x14ac:dyDescent="0.25">
      <c r="A157" s="99">
        <v>3</v>
      </c>
      <c r="B157" s="100" t="s">
        <v>114</v>
      </c>
      <c r="C157" s="97">
        <v>81898</v>
      </c>
      <c r="D157" s="97">
        <v>275408</v>
      </c>
      <c r="E157" s="97">
        <f t="shared" si="22"/>
        <v>193510</v>
      </c>
      <c r="F157" s="98">
        <f t="shared" si="23"/>
        <v>2.3628171628122785</v>
      </c>
    </row>
    <row r="158" spans="1:6" ht="18" customHeight="1" x14ac:dyDescent="0.25">
      <c r="A158" s="99">
        <v>4</v>
      </c>
      <c r="B158" s="100" t="s">
        <v>115</v>
      </c>
      <c r="C158" s="97">
        <v>71628</v>
      </c>
      <c r="D158" s="97">
        <v>5761</v>
      </c>
      <c r="E158" s="97">
        <f t="shared" si="22"/>
        <v>-65867</v>
      </c>
      <c r="F158" s="98">
        <f t="shared" si="23"/>
        <v>-0.91957055899927398</v>
      </c>
    </row>
    <row r="159" spans="1:6" ht="18" customHeight="1" x14ac:dyDescent="0.25">
      <c r="A159" s="99">
        <v>5</v>
      </c>
      <c r="B159" s="100" t="s">
        <v>116</v>
      </c>
      <c r="C159" s="97">
        <v>12469</v>
      </c>
      <c r="D159" s="97">
        <v>17559</v>
      </c>
      <c r="E159" s="97">
        <f t="shared" si="22"/>
        <v>5090</v>
      </c>
      <c r="F159" s="98">
        <f t="shared" si="23"/>
        <v>0.40821236666933997</v>
      </c>
    </row>
    <row r="160" spans="1:6" ht="18" customHeight="1" x14ac:dyDescent="0.25">
      <c r="A160" s="99">
        <v>6</v>
      </c>
      <c r="B160" s="100" t="s">
        <v>117</v>
      </c>
      <c r="C160" s="97">
        <v>74006</v>
      </c>
      <c r="D160" s="97">
        <v>148091</v>
      </c>
      <c r="E160" s="97">
        <f t="shared" si="22"/>
        <v>74085</v>
      </c>
      <c r="F160" s="98">
        <f t="shared" si="23"/>
        <v>1.0010674810150528</v>
      </c>
    </row>
    <row r="161" spans="1:6" ht="18" customHeight="1" x14ac:dyDescent="0.25">
      <c r="A161" s="99">
        <v>7</v>
      </c>
      <c r="B161" s="100" t="s">
        <v>118</v>
      </c>
      <c r="C161" s="97">
        <v>1871660</v>
      </c>
      <c r="D161" s="97">
        <v>1669213</v>
      </c>
      <c r="E161" s="97">
        <f t="shared" si="22"/>
        <v>-202447</v>
      </c>
      <c r="F161" s="98">
        <f t="shared" si="23"/>
        <v>-0.10816441020270776</v>
      </c>
    </row>
    <row r="162" spans="1:6" ht="18" customHeight="1" x14ac:dyDescent="0.25">
      <c r="A162" s="99">
        <v>8</v>
      </c>
      <c r="B162" s="100" t="s">
        <v>119</v>
      </c>
      <c r="C162" s="97">
        <v>58601</v>
      </c>
      <c r="D162" s="97">
        <v>26610</v>
      </c>
      <c r="E162" s="97">
        <f t="shared" si="22"/>
        <v>-31991</v>
      </c>
      <c r="F162" s="98">
        <f t="shared" si="23"/>
        <v>-0.54591218579887713</v>
      </c>
    </row>
    <row r="163" spans="1:6" ht="18" customHeight="1" x14ac:dyDescent="0.25">
      <c r="A163" s="99">
        <v>9</v>
      </c>
      <c r="B163" s="100" t="s">
        <v>120</v>
      </c>
      <c r="C163" s="97">
        <v>15763</v>
      </c>
      <c r="D163" s="97">
        <v>51682</v>
      </c>
      <c r="E163" s="97">
        <f t="shared" si="22"/>
        <v>35919</v>
      </c>
      <c r="F163" s="98">
        <f t="shared" si="23"/>
        <v>2.2786906045803463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103127</v>
      </c>
      <c r="D165" s="97">
        <v>119516</v>
      </c>
      <c r="E165" s="97">
        <f t="shared" si="22"/>
        <v>16389</v>
      </c>
      <c r="F165" s="98">
        <f t="shared" si="23"/>
        <v>0.15892055426803844</v>
      </c>
    </row>
    <row r="166" spans="1:6" ht="33.75" customHeight="1" x14ac:dyDescent="0.25">
      <c r="A166" s="101"/>
      <c r="B166" s="102" t="s">
        <v>149</v>
      </c>
      <c r="C166" s="103">
        <f>SUM(C155:C165)</f>
        <v>3071895</v>
      </c>
      <c r="D166" s="103">
        <f>SUM(D155:D165)</f>
        <v>3081203</v>
      </c>
      <c r="E166" s="103">
        <f t="shared" si="22"/>
        <v>9308</v>
      </c>
      <c r="F166" s="104">
        <f t="shared" si="23"/>
        <v>3.0300514828794606E-3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3296</v>
      </c>
      <c r="D168" s="117">
        <v>3389</v>
      </c>
      <c r="E168" s="117">
        <f t="shared" ref="E168:E179" si="24">D168-C168</f>
        <v>93</v>
      </c>
      <c r="F168" s="98">
        <f t="shared" ref="F168:F179" si="25">IF(C168=0,0,E168/C168)</f>
        <v>2.821601941747573E-2</v>
      </c>
    </row>
    <row r="169" spans="1:6" ht="18" customHeight="1" x14ac:dyDescent="0.25">
      <c r="A169" s="99">
        <v>2</v>
      </c>
      <c r="B169" s="100" t="s">
        <v>113</v>
      </c>
      <c r="C169" s="117">
        <v>133</v>
      </c>
      <c r="D169" s="117">
        <v>149</v>
      </c>
      <c r="E169" s="117">
        <f t="shared" si="24"/>
        <v>16</v>
      </c>
      <c r="F169" s="98">
        <f t="shared" si="25"/>
        <v>0.12030075187969924</v>
      </c>
    </row>
    <row r="170" spans="1:6" ht="18" customHeight="1" x14ac:dyDescent="0.25">
      <c r="A170" s="99">
        <v>3</v>
      </c>
      <c r="B170" s="100" t="s">
        <v>114</v>
      </c>
      <c r="C170" s="117">
        <v>306</v>
      </c>
      <c r="D170" s="117">
        <v>1043</v>
      </c>
      <c r="E170" s="117">
        <f t="shared" si="24"/>
        <v>737</v>
      </c>
      <c r="F170" s="98">
        <f t="shared" si="25"/>
        <v>2.4084967320261437</v>
      </c>
    </row>
    <row r="171" spans="1:6" ht="18" customHeight="1" x14ac:dyDescent="0.25">
      <c r="A171" s="99">
        <v>4</v>
      </c>
      <c r="B171" s="100" t="s">
        <v>115</v>
      </c>
      <c r="C171" s="117">
        <v>1258</v>
      </c>
      <c r="D171" s="117">
        <v>209</v>
      </c>
      <c r="E171" s="117">
        <f t="shared" si="24"/>
        <v>-1049</v>
      </c>
      <c r="F171" s="98">
        <f t="shared" si="25"/>
        <v>-0.83386327503974567</v>
      </c>
    </row>
    <row r="172" spans="1:6" ht="18" customHeight="1" x14ac:dyDescent="0.25">
      <c r="A172" s="99">
        <v>5</v>
      </c>
      <c r="B172" s="100" t="s">
        <v>116</v>
      </c>
      <c r="C172" s="117">
        <v>60</v>
      </c>
      <c r="D172" s="117">
        <v>72</v>
      </c>
      <c r="E172" s="117">
        <f t="shared" si="24"/>
        <v>12</v>
      </c>
      <c r="F172" s="98">
        <f t="shared" si="25"/>
        <v>0.2</v>
      </c>
    </row>
    <row r="173" spans="1:6" ht="18" customHeight="1" x14ac:dyDescent="0.25">
      <c r="A173" s="99">
        <v>6</v>
      </c>
      <c r="B173" s="100" t="s">
        <v>117</v>
      </c>
      <c r="C173" s="117">
        <v>731</v>
      </c>
      <c r="D173" s="117">
        <v>781</v>
      </c>
      <c r="E173" s="117">
        <f t="shared" si="24"/>
        <v>50</v>
      </c>
      <c r="F173" s="98">
        <f t="shared" si="25"/>
        <v>6.8399452804377564E-2</v>
      </c>
    </row>
    <row r="174" spans="1:6" ht="18" customHeight="1" x14ac:dyDescent="0.25">
      <c r="A174" s="99">
        <v>7</v>
      </c>
      <c r="B174" s="100" t="s">
        <v>118</v>
      </c>
      <c r="C174" s="117">
        <v>6736</v>
      </c>
      <c r="D174" s="117">
        <v>6427</v>
      </c>
      <c r="E174" s="117">
        <f t="shared" si="24"/>
        <v>-309</v>
      </c>
      <c r="F174" s="98">
        <f t="shared" si="25"/>
        <v>-4.58729216152019E-2</v>
      </c>
    </row>
    <row r="175" spans="1:6" ht="18" customHeight="1" x14ac:dyDescent="0.25">
      <c r="A175" s="99">
        <v>8</v>
      </c>
      <c r="B175" s="100" t="s">
        <v>119</v>
      </c>
      <c r="C175" s="117">
        <v>575</v>
      </c>
      <c r="D175" s="117">
        <v>543</v>
      </c>
      <c r="E175" s="117">
        <f t="shared" si="24"/>
        <v>-32</v>
      </c>
      <c r="F175" s="98">
        <f t="shared" si="25"/>
        <v>-5.565217391304348E-2</v>
      </c>
    </row>
    <row r="176" spans="1:6" ht="18" customHeight="1" x14ac:dyDescent="0.25">
      <c r="A176" s="99">
        <v>9</v>
      </c>
      <c r="B176" s="100" t="s">
        <v>120</v>
      </c>
      <c r="C176" s="117">
        <v>1607</v>
      </c>
      <c r="D176" s="117">
        <v>1502</v>
      </c>
      <c r="E176" s="117">
        <f t="shared" si="24"/>
        <v>-105</v>
      </c>
      <c r="F176" s="98">
        <f t="shared" si="25"/>
        <v>-6.5339141257000619E-2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1236</v>
      </c>
      <c r="D178" s="117">
        <v>1741</v>
      </c>
      <c r="E178" s="117">
        <f t="shared" si="24"/>
        <v>505</v>
      </c>
      <c r="F178" s="98">
        <f t="shared" si="25"/>
        <v>0.40857605177993528</v>
      </c>
    </row>
    <row r="179" spans="1:6" ht="33.75" customHeight="1" x14ac:dyDescent="0.25">
      <c r="A179" s="101"/>
      <c r="B179" s="102" t="s">
        <v>151</v>
      </c>
      <c r="C179" s="118">
        <f>SUM(C168:C178)</f>
        <v>15938</v>
      </c>
      <c r="D179" s="118">
        <f>SUM(D168:D178)</f>
        <v>15856</v>
      </c>
      <c r="E179" s="118">
        <f t="shared" si="24"/>
        <v>-82</v>
      </c>
      <c r="F179" s="104">
        <f t="shared" si="25"/>
        <v>-5.1449366294390765E-3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FILING&amp;RESSENT-SHARON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7087485</v>
      </c>
      <c r="D15" s="146">
        <v>7016561</v>
      </c>
      <c r="E15" s="146">
        <f>+D15-C15</f>
        <v>-70924</v>
      </c>
      <c r="F15" s="150">
        <f>IF(C15=0,0,E15/C15)</f>
        <v>-1.0006934758944815E-2</v>
      </c>
    </row>
    <row r="16" spans="1:7" ht="15" customHeight="1" x14ac:dyDescent="0.2">
      <c r="A16" s="141">
        <v>2</v>
      </c>
      <c r="B16" s="149" t="s">
        <v>158</v>
      </c>
      <c r="C16" s="146">
        <v>0</v>
      </c>
      <c r="D16" s="146">
        <v>0</v>
      </c>
      <c r="E16" s="146">
        <f>+D16-C16</f>
        <v>0</v>
      </c>
      <c r="F16" s="150">
        <f>IF(C16=0,0,E16/C16)</f>
        <v>0</v>
      </c>
    </row>
    <row r="17" spans="1:7" ht="15" customHeight="1" x14ac:dyDescent="0.2">
      <c r="A17" s="141">
        <v>3</v>
      </c>
      <c r="B17" s="149" t="s">
        <v>159</v>
      </c>
      <c r="C17" s="146">
        <v>9259124</v>
      </c>
      <c r="D17" s="146">
        <v>10390256</v>
      </c>
      <c r="E17" s="146">
        <f>+D17-C17</f>
        <v>1131132</v>
      </c>
      <c r="F17" s="150">
        <f>IF(C17=0,0,E17/C17)</f>
        <v>0.12216404057230468</v>
      </c>
    </row>
    <row r="18" spans="1:7" ht="15.75" customHeight="1" x14ac:dyDescent="0.25">
      <c r="A18" s="141"/>
      <c r="B18" s="151" t="s">
        <v>160</v>
      </c>
      <c r="C18" s="147">
        <f>SUM(C15:C17)</f>
        <v>16346609</v>
      </c>
      <c r="D18" s="147">
        <f>SUM(D15:D17)</f>
        <v>17406817</v>
      </c>
      <c r="E18" s="147">
        <f>+D18-C18</f>
        <v>1060208</v>
      </c>
      <c r="F18" s="148">
        <f>IF(C18=0,0,E18/C18)</f>
        <v>6.485797757810198E-2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1809542</v>
      </c>
      <c r="D21" s="146">
        <v>1687424</v>
      </c>
      <c r="E21" s="146">
        <f>+D21-C21</f>
        <v>-122118</v>
      </c>
      <c r="F21" s="150">
        <f>IF(C21=0,0,E21/C21)</f>
        <v>-6.7485584750174354E-2</v>
      </c>
    </row>
    <row r="22" spans="1:7" ht="15" customHeight="1" x14ac:dyDescent="0.2">
      <c r="A22" s="141">
        <v>2</v>
      </c>
      <c r="B22" s="149" t="s">
        <v>163</v>
      </c>
      <c r="C22" s="146">
        <v>0</v>
      </c>
      <c r="D22" s="146">
        <v>0</v>
      </c>
      <c r="E22" s="146">
        <f>+D22-C22</f>
        <v>0</v>
      </c>
      <c r="F22" s="150">
        <f>IF(C22=0,0,E22/C22)</f>
        <v>0</v>
      </c>
    </row>
    <row r="23" spans="1:7" ht="15" customHeight="1" x14ac:dyDescent="0.2">
      <c r="A23" s="141">
        <v>3</v>
      </c>
      <c r="B23" s="149" t="s">
        <v>164</v>
      </c>
      <c r="C23" s="146">
        <v>2328842</v>
      </c>
      <c r="D23" s="146">
        <v>2354664</v>
      </c>
      <c r="E23" s="146">
        <f>+D23-C23</f>
        <v>25822</v>
      </c>
      <c r="F23" s="150">
        <f>IF(C23=0,0,E23/C23)</f>
        <v>1.1087914079186136E-2</v>
      </c>
    </row>
    <row r="24" spans="1:7" ht="15.75" customHeight="1" x14ac:dyDescent="0.25">
      <c r="A24" s="141"/>
      <c r="B24" s="151" t="s">
        <v>165</v>
      </c>
      <c r="C24" s="147">
        <f>SUM(C21:C23)</f>
        <v>4138384</v>
      </c>
      <c r="D24" s="147">
        <f>SUM(D21:D23)</f>
        <v>4042088</v>
      </c>
      <c r="E24" s="147">
        <f>+D24-C24</f>
        <v>-96296</v>
      </c>
      <c r="F24" s="148">
        <f>IF(C24=0,0,E24/C24)</f>
        <v>-2.3268986154982234E-2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263576</v>
      </c>
      <c r="D27" s="146">
        <v>517404</v>
      </c>
      <c r="E27" s="146">
        <f>+D27-C27</f>
        <v>253828</v>
      </c>
      <c r="F27" s="150">
        <f>IF(C27=0,0,E27/C27)</f>
        <v>0.96301635960785503</v>
      </c>
    </row>
    <row r="28" spans="1:7" ht="15" customHeight="1" x14ac:dyDescent="0.2">
      <c r="A28" s="141">
        <v>2</v>
      </c>
      <c r="B28" s="149" t="s">
        <v>168</v>
      </c>
      <c r="C28" s="146">
        <v>1224572</v>
      </c>
      <c r="D28" s="146">
        <v>1399248</v>
      </c>
      <c r="E28" s="146">
        <f>+D28-C28</f>
        <v>174676</v>
      </c>
      <c r="F28" s="150">
        <f>IF(C28=0,0,E28/C28)</f>
        <v>0.14264249060079767</v>
      </c>
    </row>
    <row r="29" spans="1:7" ht="15" customHeight="1" x14ac:dyDescent="0.2">
      <c r="A29" s="141">
        <v>3</v>
      </c>
      <c r="B29" s="149" t="s">
        <v>169</v>
      </c>
      <c r="C29" s="146">
        <v>129561</v>
      </c>
      <c r="D29" s="146">
        <v>59042</v>
      </c>
      <c r="E29" s="146">
        <f>+D29-C29</f>
        <v>-70519</v>
      </c>
      <c r="F29" s="150">
        <f>IF(C29=0,0,E29/C29)</f>
        <v>-0.54429187795710132</v>
      </c>
    </row>
    <row r="30" spans="1:7" ht="15.75" customHeight="1" x14ac:dyDescent="0.25">
      <c r="A30" s="141"/>
      <c r="B30" s="151" t="s">
        <v>170</v>
      </c>
      <c r="C30" s="147">
        <f>SUM(C27:C29)</f>
        <v>1617709</v>
      </c>
      <c r="D30" s="147">
        <f>SUM(D27:D29)</f>
        <v>1975694</v>
      </c>
      <c r="E30" s="147">
        <f>+D30-C30</f>
        <v>357985</v>
      </c>
      <c r="F30" s="148">
        <f>IF(C30=0,0,E30/C30)</f>
        <v>0.22129134473505432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4433136</v>
      </c>
      <c r="D33" s="146">
        <v>4953467</v>
      </c>
      <c r="E33" s="146">
        <f>+D33-C33</f>
        <v>520331</v>
      </c>
      <c r="F33" s="150">
        <f>IF(C33=0,0,E33/C33)</f>
        <v>0.11737311916440191</v>
      </c>
    </row>
    <row r="34" spans="1:7" ht="15" customHeight="1" x14ac:dyDescent="0.2">
      <c r="A34" s="141">
        <v>2</v>
      </c>
      <c r="B34" s="149" t="s">
        <v>174</v>
      </c>
      <c r="C34" s="146">
        <v>1430955</v>
      </c>
      <c r="D34" s="146">
        <v>1654157</v>
      </c>
      <c r="E34" s="146">
        <f>+D34-C34</f>
        <v>223202</v>
      </c>
      <c r="F34" s="150">
        <f>IF(C34=0,0,E34/C34)</f>
        <v>0.15598114545880198</v>
      </c>
    </row>
    <row r="35" spans="1:7" ht="15.75" customHeight="1" x14ac:dyDescent="0.25">
      <c r="A35" s="141"/>
      <c r="B35" s="151" t="s">
        <v>175</v>
      </c>
      <c r="C35" s="147">
        <f>SUM(C33:C34)</f>
        <v>5864091</v>
      </c>
      <c r="D35" s="147">
        <f>SUM(D33:D34)</f>
        <v>6607624</v>
      </c>
      <c r="E35" s="147">
        <f>+D35-C35</f>
        <v>743533</v>
      </c>
      <c r="F35" s="148">
        <f>IF(C35=0,0,E35/C35)</f>
        <v>0.12679424654221771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1631734</v>
      </c>
      <c r="D38" s="146">
        <v>1602667</v>
      </c>
      <c r="E38" s="146">
        <f>+D38-C38</f>
        <v>-29067</v>
      </c>
      <c r="F38" s="150">
        <f>IF(C38=0,0,E38/C38)</f>
        <v>-1.781356520119088E-2</v>
      </c>
    </row>
    <row r="39" spans="1:7" ht="15" customHeight="1" x14ac:dyDescent="0.2">
      <c r="A39" s="141">
        <v>2</v>
      </c>
      <c r="B39" s="149" t="s">
        <v>179</v>
      </c>
      <c r="C39" s="146">
        <v>1490655</v>
      </c>
      <c r="D39" s="146">
        <v>1449106</v>
      </c>
      <c r="E39" s="146">
        <f>+D39-C39</f>
        <v>-41549</v>
      </c>
      <c r="F39" s="150">
        <f>IF(C39=0,0,E39/C39)</f>
        <v>-2.7872982011263505E-2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3122389</v>
      </c>
      <c r="D41" s="147">
        <f>SUM(D38:D40)</f>
        <v>3051773</v>
      </c>
      <c r="E41" s="147">
        <f>+D41-C41</f>
        <v>-70616</v>
      </c>
      <c r="F41" s="148">
        <f>IF(C41=0,0,E41/C41)</f>
        <v>-2.2616016133800113E-2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3537229</v>
      </c>
      <c r="D44" s="146">
        <v>2999367</v>
      </c>
      <c r="E44" s="146">
        <f>+D44-C44</f>
        <v>-537862</v>
      </c>
      <c r="F44" s="150">
        <f>IF(C44=0,0,E44/C44)</f>
        <v>-0.15205744383527331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1664350</v>
      </c>
      <c r="D47" s="146">
        <v>136325</v>
      </c>
      <c r="E47" s="146">
        <f>+D47-C47</f>
        <v>-1528025</v>
      </c>
      <c r="F47" s="150">
        <f>IF(C47=0,0,E47/C47)</f>
        <v>-0.91809114669390457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1184253</v>
      </c>
      <c r="D50" s="146">
        <v>1113805</v>
      </c>
      <c r="E50" s="146">
        <f>+D50-C50</f>
        <v>-70448</v>
      </c>
      <c r="F50" s="150">
        <f>IF(C50=0,0,E50/C50)</f>
        <v>-5.9487288611470693E-2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121145</v>
      </c>
      <c r="D53" s="146">
        <v>123901</v>
      </c>
      <c r="E53" s="146">
        <f t="shared" ref="E53:E59" si="0">+D53-C53</f>
        <v>2756</v>
      </c>
      <c r="F53" s="150">
        <f t="shared" ref="F53:F59" si="1">IF(C53=0,0,E53/C53)</f>
        <v>2.2749597589665278E-2</v>
      </c>
    </row>
    <row r="54" spans="1:7" ht="15" customHeight="1" x14ac:dyDescent="0.2">
      <c r="A54" s="141">
        <v>2</v>
      </c>
      <c r="B54" s="149" t="s">
        <v>193</v>
      </c>
      <c r="C54" s="146">
        <v>20478</v>
      </c>
      <c r="D54" s="146">
        <v>22310</v>
      </c>
      <c r="E54" s="146">
        <f t="shared" si="0"/>
        <v>1832</v>
      </c>
      <c r="F54" s="150">
        <f t="shared" si="1"/>
        <v>8.9461861509913074E-2</v>
      </c>
    </row>
    <row r="55" spans="1:7" ht="15" customHeight="1" x14ac:dyDescent="0.2">
      <c r="A55" s="141">
        <v>3</v>
      </c>
      <c r="B55" s="149" t="s">
        <v>194</v>
      </c>
      <c r="C55" s="146">
        <v>541914</v>
      </c>
      <c r="D55" s="146">
        <v>735871</v>
      </c>
      <c r="E55" s="146">
        <f t="shared" si="0"/>
        <v>193957</v>
      </c>
      <c r="F55" s="150">
        <f t="shared" si="1"/>
        <v>0.35791103385408019</v>
      </c>
    </row>
    <row r="56" spans="1:7" ht="15" customHeight="1" x14ac:dyDescent="0.2">
      <c r="A56" s="141">
        <v>4</v>
      </c>
      <c r="B56" s="149" t="s">
        <v>195</v>
      </c>
      <c r="C56" s="146">
        <v>727231</v>
      </c>
      <c r="D56" s="146">
        <v>695948</v>
      </c>
      <c r="E56" s="146">
        <f t="shared" si="0"/>
        <v>-31283</v>
      </c>
      <c r="F56" s="150">
        <f t="shared" si="1"/>
        <v>-4.3016593077027793E-2</v>
      </c>
    </row>
    <row r="57" spans="1:7" ht="15" customHeight="1" x14ac:dyDescent="0.2">
      <c r="A57" s="141">
        <v>5</v>
      </c>
      <c r="B57" s="149" t="s">
        <v>196</v>
      </c>
      <c r="C57" s="146">
        <v>94185</v>
      </c>
      <c r="D57" s="146">
        <v>102873</v>
      </c>
      <c r="E57" s="146">
        <f t="shared" si="0"/>
        <v>8688</v>
      </c>
      <c r="F57" s="150">
        <f t="shared" si="1"/>
        <v>9.2243987896161811E-2</v>
      </c>
    </row>
    <row r="58" spans="1:7" ht="15" customHeight="1" x14ac:dyDescent="0.2">
      <c r="A58" s="141">
        <v>6</v>
      </c>
      <c r="B58" s="149" t="s">
        <v>197</v>
      </c>
      <c r="C58" s="146">
        <v>53179</v>
      </c>
      <c r="D58" s="146">
        <v>54572</v>
      </c>
      <c r="E58" s="146">
        <f t="shared" si="0"/>
        <v>1393</v>
      </c>
      <c r="F58" s="150">
        <f t="shared" si="1"/>
        <v>2.619455048045281E-2</v>
      </c>
    </row>
    <row r="59" spans="1:7" ht="15.75" customHeight="1" x14ac:dyDescent="0.25">
      <c r="A59" s="141"/>
      <c r="B59" s="151" t="s">
        <v>198</v>
      </c>
      <c r="C59" s="147">
        <f>SUM(C53:C58)</f>
        <v>1558132</v>
      </c>
      <c r="D59" s="147">
        <f>SUM(D53:D58)</f>
        <v>1735475</v>
      </c>
      <c r="E59" s="147">
        <f t="shared" si="0"/>
        <v>177343</v>
      </c>
      <c r="F59" s="148">
        <f t="shared" si="1"/>
        <v>0.11381769965574162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76800</v>
      </c>
      <c r="D62" s="146">
        <v>79827</v>
      </c>
      <c r="E62" s="146">
        <f t="shared" ref="E62:E90" si="2">+D62-C62</f>
        <v>3027</v>
      </c>
      <c r="F62" s="150">
        <f t="shared" ref="F62:F90" si="3">IF(C62=0,0,E62/C62)</f>
        <v>3.9414062499999999E-2</v>
      </c>
    </row>
    <row r="63" spans="1:7" ht="15" customHeight="1" x14ac:dyDescent="0.2">
      <c r="A63" s="141">
        <v>2</v>
      </c>
      <c r="B63" s="149" t="s">
        <v>202</v>
      </c>
      <c r="C63" s="146">
        <v>61169</v>
      </c>
      <c r="D63" s="146">
        <v>92633</v>
      </c>
      <c r="E63" s="146">
        <f t="shared" si="2"/>
        <v>31464</v>
      </c>
      <c r="F63" s="150">
        <f t="shared" si="3"/>
        <v>0.51437819810688423</v>
      </c>
    </row>
    <row r="64" spans="1:7" ht="15" customHeight="1" x14ac:dyDescent="0.2">
      <c r="A64" s="141">
        <v>3</v>
      </c>
      <c r="B64" s="149" t="s">
        <v>203</v>
      </c>
      <c r="C64" s="146">
        <v>153209</v>
      </c>
      <c r="D64" s="146">
        <v>146377</v>
      </c>
      <c r="E64" s="146">
        <f t="shared" si="2"/>
        <v>-6832</v>
      </c>
      <c r="F64" s="150">
        <f t="shared" si="3"/>
        <v>-4.4592680586649606E-2</v>
      </c>
    </row>
    <row r="65" spans="1:6" ht="15" customHeight="1" x14ac:dyDescent="0.2">
      <c r="A65" s="141">
        <v>4</v>
      </c>
      <c r="B65" s="149" t="s">
        <v>204</v>
      </c>
      <c r="C65" s="146">
        <v>0</v>
      </c>
      <c r="D65" s="146">
        <v>0</v>
      </c>
      <c r="E65" s="146">
        <f t="shared" si="2"/>
        <v>0</v>
      </c>
      <c r="F65" s="150">
        <f t="shared" si="3"/>
        <v>0</v>
      </c>
    </row>
    <row r="66" spans="1:6" ht="15" customHeight="1" x14ac:dyDescent="0.2">
      <c r="A66" s="141">
        <v>5</v>
      </c>
      <c r="B66" s="149" t="s">
        <v>205</v>
      </c>
      <c r="C66" s="146">
        <v>290559</v>
      </c>
      <c r="D66" s="146">
        <v>207177</v>
      </c>
      <c r="E66" s="146">
        <f t="shared" si="2"/>
        <v>-83382</v>
      </c>
      <c r="F66" s="150">
        <f t="shared" si="3"/>
        <v>-0.28697097663469384</v>
      </c>
    </row>
    <row r="67" spans="1:6" ht="15" customHeight="1" x14ac:dyDescent="0.2">
      <c r="A67" s="141">
        <v>6</v>
      </c>
      <c r="B67" s="149" t="s">
        <v>206</v>
      </c>
      <c r="C67" s="146">
        <v>0</v>
      </c>
      <c r="D67" s="146">
        <v>103302</v>
      </c>
      <c r="E67" s="146">
        <f t="shared" si="2"/>
        <v>103302</v>
      </c>
      <c r="F67" s="150">
        <f t="shared" si="3"/>
        <v>0</v>
      </c>
    </row>
    <row r="68" spans="1:6" ht="15" customHeight="1" x14ac:dyDescent="0.2">
      <c r="A68" s="141">
        <v>7</v>
      </c>
      <c r="B68" s="149" t="s">
        <v>207</v>
      </c>
      <c r="C68" s="146">
        <v>1795840</v>
      </c>
      <c r="D68" s="146">
        <v>1715096</v>
      </c>
      <c r="E68" s="146">
        <f t="shared" si="2"/>
        <v>-80744</v>
      </c>
      <c r="F68" s="150">
        <f t="shared" si="3"/>
        <v>-4.4961689237348536E-2</v>
      </c>
    </row>
    <row r="69" spans="1:6" ht="15" customHeight="1" x14ac:dyDescent="0.2">
      <c r="A69" s="141">
        <v>8</v>
      </c>
      <c r="B69" s="149" t="s">
        <v>208</v>
      </c>
      <c r="C69" s="146">
        <v>150173</v>
      </c>
      <c r="D69" s="146">
        <v>145698</v>
      </c>
      <c r="E69" s="146">
        <f t="shared" si="2"/>
        <v>-4475</v>
      </c>
      <c r="F69" s="150">
        <f t="shared" si="3"/>
        <v>-2.9798965193476856E-2</v>
      </c>
    </row>
    <row r="70" spans="1:6" ht="15" customHeight="1" x14ac:dyDescent="0.2">
      <c r="A70" s="141">
        <v>9</v>
      </c>
      <c r="B70" s="149" t="s">
        <v>209</v>
      </c>
      <c r="C70" s="146">
        <v>49568</v>
      </c>
      <c r="D70" s="146">
        <v>90106</v>
      </c>
      <c r="E70" s="146">
        <f t="shared" si="2"/>
        <v>40538</v>
      </c>
      <c r="F70" s="150">
        <f t="shared" si="3"/>
        <v>0.81782601678502265</v>
      </c>
    </row>
    <row r="71" spans="1:6" ht="15" customHeight="1" x14ac:dyDescent="0.2">
      <c r="A71" s="141">
        <v>10</v>
      </c>
      <c r="B71" s="149" t="s">
        <v>210</v>
      </c>
      <c r="C71" s="146">
        <v>0</v>
      </c>
      <c r="D71" s="146">
        <v>0</v>
      </c>
      <c r="E71" s="146">
        <f t="shared" si="2"/>
        <v>0</v>
      </c>
      <c r="F71" s="150">
        <f t="shared" si="3"/>
        <v>0</v>
      </c>
    </row>
    <row r="72" spans="1:6" ht="15" customHeight="1" x14ac:dyDescent="0.2">
      <c r="A72" s="141">
        <v>11</v>
      </c>
      <c r="B72" s="149" t="s">
        <v>211</v>
      </c>
      <c r="C72" s="146">
        <v>290332</v>
      </c>
      <c r="D72" s="146">
        <v>294613</v>
      </c>
      <c r="E72" s="146">
        <f t="shared" si="2"/>
        <v>4281</v>
      </c>
      <c r="F72" s="150">
        <f t="shared" si="3"/>
        <v>1.4745188267225108E-2</v>
      </c>
    </row>
    <row r="73" spans="1:6" ht="15" customHeight="1" x14ac:dyDescent="0.2">
      <c r="A73" s="141">
        <v>12</v>
      </c>
      <c r="B73" s="149" t="s">
        <v>212</v>
      </c>
      <c r="C73" s="146">
        <v>287687</v>
      </c>
      <c r="D73" s="146">
        <v>271048</v>
      </c>
      <c r="E73" s="146">
        <f t="shared" si="2"/>
        <v>-16639</v>
      </c>
      <c r="F73" s="150">
        <f t="shared" si="3"/>
        <v>-5.7837163305954037E-2</v>
      </c>
    </row>
    <row r="74" spans="1:6" ht="15" customHeight="1" x14ac:dyDescent="0.2">
      <c r="A74" s="141">
        <v>13</v>
      </c>
      <c r="B74" s="149" t="s">
        <v>213</v>
      </c>
      <c r="C74" s="146">
        <v>70958</v>
      </c>
      <c r="D74" s="146">
        <v>66193</v>
      </c>
      <c r="E74" s="146">
        <f t="shared" si="2"/>
        <v>-4765</v>
      </c>
      <c r="F74" s="150">
        <f t="shared" si="3"/>
        <v>-6.7152400011274274E-2</v>
      </c>
    </row>
    <row r="75" spans="1:6" ht="15" customHeight="1" x14ac:dyDescent="0.2">
      <c r="A75" s="141">
        <v>14</v>
      </c>
      <c r="B75" s="149" t="s">
        <v>214</v>
      </c>
      <c r="C75" s="146">
        <v>38696</v>
      </c>
      <c r="D75" s="146">
        <v>41289</v>
      </c>
      <c r="E75" s="146">
        <f t="shared" si="2"/>
        <v>2593</v>
      </c>
      <c r="F75" s="150">
        <f t="shared" si="3"/>
        <v>6.7009510026876162E-2</v>
      </c>
    </row>
    <row r="76" spans="1:6" ht="15" customHeight="1" x14ac:dyDescent="0.2">
      <c r="A76" s="141">
        <v>15</v>
      </c>
      <c r="B76" s="149" t="s">
        <v>215</v>
      </c>
      <c r="C76" s="146">
        <v>454915</v>
      </c>
      <c r="D76" s="146">
        <v>453111</v>
      </c>
      <c r="E76" s="146">
        <f t="shared" si="2"/>
        <v>-1804</v>
      </c>
      <c r="F76" s="150">
        <f t="shared" si="3"/>
        <v>-3.9655759867227944E-3</v>
      </c>
    </row>
    <row r="77" spans="1:6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6" ht="15" customHeight="1" x14ac:dyDescent="0.2">
      <c r="A78" s="141">
        <v>17</v>
      </c>
      <c r="B78" s="149" t="s">
        <v>217</v>
      </c>
      <c r="C78" s="146">
        <v>0</v>
      </c>
      <c r="D78" s="146">
        <v>244019</v>
      </c>
      <c r="E78" s="146">
        <f t="shared" si="2"/>
        <v>244019</v>
      </c>
      <c r="F78" s="150">
        <f t="shared" si="3"/>
        <v>0</v>
      </c>
    </row>
    <row r="79" spans="1:6" ht="15" customHeight="1" x14ac:dyDescent="0.2">
      <c r="A79" s="141">
        <v>18</v>
      </c>
      <c r="B79" s="149" t="s">
        <v>218</v>
      </c>
      <c r="C79" s="146">
        <v>0</v>
      </c>
      <c r="D79" s="146">
        <v>0</v>
      </c>
      <c r="E79" s="146">
        <f t="shared" si="2"/>
        <v>0</v>
      </c>
      <c r="F79" s="150">
        <f t="shared" si="3"/>
        <v>0</v>
      </c>
    </row>
    <row r="80" spans="1:6" ht="15" customHeight="1" x14ac:dyDescent="0.2">
      <c r="A80" s="141">
        <v>19</v>
      </c>
      <c r="B80" s="149" t="s">
        <v>219</v>
      </c>
      <c r="C80" s="146">
        <v>0</v>
      </c>
      <c r="D80" s="146">
        <v>288851</v>
      </c>
      <c r="E80" s="146">
        <f t="shared" si="2"/>
        <v>288851</v>
      </c>
      <c r="F80" s="150">
        <f t="shared" si="3"/>
        <v>0</v>
      </c>
    </row>
    <row r="81" spans="1:7" ht="15" customHeight="1" x14ac:dyDescent="0.2">
      <c r="A81" s="141">
        <v>20</v>
      </c>
      <c r="B81" s="149" t="s">
        <v>220</v>
      </c>
      <c r="C81" s="146">
        <v>0</v>
      </c>
      <c r="D81" s="146">
        <v>22195</v>
      </c>
      <c r="E81" s="146">
        <f t="shared" si="2"/>
        <v>22195</v>
      </c>
      <c r="F81" s="150">
        <f t="shared" si="3"/>
        <v>0</v>
      </c>
    </row>
    <row r="82" spans="1:7" ht="15" customHeight="1" x14ac:dyDescent="0.2">
      <c r="A82" s="141">
        <v>21</v>
      </c>
      <c r="B82" s="149" t="s">
        <v>221</v>
      </c>
      <c r="C82" s="146">
        <v>0</v>
      </c>
      <c r="D82" s="146">
        <v>29676</v>
      </c>
      <c r="E82" s="146">
        <f t="shared" si="2"/>
        <v>29676</v>
      </c>
      <c r="F82" s="150">
        <f t="shared" si="3"/>
        <v>0</v>
      </c>
    </row>
    <row r="83" spans="1:7" ht="15" customHeight="1" x14ac:dyDescent="0.2">
      <c r="A83" s="141">
        <v>22</v>
      </c>
      <c r="B83" s="149" t="s">
        <v>222</v>
      </c>
      <c r="C83" s="146">
        <v>0</v>
      </c>
      <c r="D83" s="146">
        <v>163493</v>
      </c>
      <c r="E83" s="146">
        <f t="shared" si="2"/>
        <v>163493</v>
      </c>
      <c r="F83" s="150">
        <f t="shared" si="3"/>
        <v>0</v>
      </c>
    </row>
    <row r="84" spans="1:7" ht="15" customHeight="1" x14ac:dyDescent="0.2">
      <c r="A84" s="141">
        <v>23</v>
      </c>
      <c r="B84" s="149" t="s">
        <v>223</v>
      </c>
      <c r="C84" s="146">
        <v>0</v>
      </c>
      <c r="D84" s="146">
        <v>27731</v>
      </c>
      <c r="E84" s="146">
        <f t="shared" si="2"/>
        <v>27731</v>
      </c>
      <c r="F84" s="150">
        <f t="shared" si="3"/>
        <v>0</v>
      </c>
    </row>
    <row r="85" spans="1:7" ht="15" customHeight="1" x14ac:dyDescent="0.2">
      <c r="A85" s="141">
        <v>24</v>
      </c>
      <c r="B85" s="149" t="s">
        <v>224</v>
      </c>
      <c r="C85" s="146">
        <v>0</v>
      </c>
      <c r="D85" s="146">
        <v>0</v>
      </c>
      <c r="E85" s="146">
        <f t="shared" si="2"/>
        <v>0</v>
      </c>
      <c r="F85" s="150">
        <f t="shared" si="3"/>
        <v>0</v>
      </c>
    </row>
    <row r="86" spans="1:7" ht="15" customHeight="1" x14ac:dyDescent="0.2">
      <c r="A86" s="141">
        <v>25</v>
      </c>
      <c r="B86" s="149" t="s">
        <v>225</v>
      </c>
      <c r="C86" s="146">
        <v>0</v>
      </c>
      <c r="D86" s="146">
        <v>2429</v>
      </c>
      <c r="E86" s="146">
        <f t="shared" si="2"/>
        <v>2429</v>
      </c>
      <c r="F86" s="150">
        <f t="shared" si="3"/>
        <v>0</v>
      </c>
    </row>
    <row r="87" spans="1:7" ht="15" customHeight="1" x14ac:dyDescent="0.2">
      <c r="A87" s="141">
        <v>26</v>
      </c>
      <c r="B87" s="149" t="s">
        <v>226</v>
      </c>
      <c r="C87" s="146">
        <v>0</v>
      </c>
      <c r="D87" s="146">
        <v>2100924</v>
      </c>
      <c r="E87" s="146">
        <f t="shared" si="2"/>
        <v>2100924</v>
      </c>
      <c r="F87" s="150">
        <f t="shared" si="3"/>
        <v>0</v>
      </c>
    </row>
    <row r="88" spans="1:7" ht="15" customHeight="1" x14ac:dyDescent="0.2">
      <c r="A88" s="141">
        <v>27</v>
      </c>
      <c r="B88" s="149" t="s">
        <v>227</v>
      </c>
      <c r="C88" s="146">
        <v>0</v>
      </c>
      <c r="D88" s="146">
        <v>1197347</v>
      </c>
      <c r="E88" s="146">
        <f t="shared" si="2"/>
        <v>1197347</v>
      </c>
      <c r="F88" s="150">
        <f t="shared" si="3"/>
        <v>0</v>
      </c>
    </row>
    <row r="89" spans="1:7" ht="15" customHeight="1" x14ac:dyDescent="0.2">
      <c r="A89" s="141">
        <v>28</v>
      </c>
      <c r="B89" s="149" t="s">
        <v>228</v>
      </c>
      <c r="C89" s="146">
        <v>10308797</v>
      </c>
      <c r="D89" s="146">
        <v>6746688</v>
      </c>
      <c r="E89" s="146">
        <f t="shared" si="2"/>
        <v>-3562109</v>
      </c>
      <c r="F89" s="150">
        <f t="shared" si="3"/>
        <v>-0.34554070664113379</v>
      </c>
    </row>
    <row r="90" spans="1:7" ht="15.75" customHeight="1" x14ac:dyDescent="0.25">
      <c r="A90" s="141"/>
      <c r="B90" s="151" t="s">
        <v>229</v>
      </c>
      <c r="C90" s="147">
        <f>SUM(C62:C89)</f>
        <v>14028703</v>
      </c>
      <c r="D90" s="147">
        <f>SUM(D62:D89)</f>
        <v>14529823</v>
      </c>
      <c r="E90" s="147">
        <f t="shared" si="2"/>
        <v>501120</v>
      </c>
      <c r="F90" s="148">
        <f t="shared" si="3"/>
        <v>3.5721049907464719E-2</v>
      </c>
      <c r="G90" s="124"/>
    </row>
    <row r="91" spans="1:7" ht="15.75" customHeight="1" x14ac:dyDescent="0.25">
      <c r="A91" s="141"/>
      <c r="B91" s="152"/>
      <c r="C91" s="146"/>
      <c r="D91" s="146"/>
      <c r="E91" s="147"/>
      <c r="F91" s="148"/>
      <c r="G91" s="124"/>
    </row>
    <row r="92" spans="1:7" ht="15.75" customHeight="1" x14ac:dyDescent="0.25">
      <c r="A92" s="144" t="s">
        <v>230</v>
      </c>
      <c r="B92" s="145" t="s">
        <v>231</v>
      </c>
      <c r="C92" s="146"/>
      <c r="D92" s="146"/>
      <c r="E92" s="147"/>
      <c r="F92" s="148"/>
      <c r="G92" s="124"/>
    </row>
    <row r="93" spans="1:7" ht="15" customHeight="1" x14ac:dyDescent="0.2">
      <c r="A93" s="141">
        <v>1</v>
      </c>
      <c r="B93" s="149" t="s">
        <v>232</v>
      </c>
      <c r="C93" s="146">
        <v>0</v>
      </c>
      <c r="D93" s="146">
        <v>-1853677</v>
      </c>
      <c r="E93" s="146">
        <f>+D93-C93</f>
        <v>-1853677</v>
      </c>
      <c r="F93" s="150">
        <f>IF(C93=0,0,E93/C93)</f>
        <v>0</v>
      </c>
    </row>
    <row r="94" spans="1:7" ht="15.75" customHeight="1" x14ac:dyDescent="0.25">
      <c r="A94" s="141"/>
      <c r="B94" s="152"/>
      <c r="C94" s="146"/>
      <c r="D94" s="146"/>
      <c r="E94" s="147"/>
      <c r="F94" s="148"/>
      <c r="G94" s="124"/>
    </row>
    <row r="95" spans="1:7" ht="15.75" customHeight="1" x14ac:dyDescent="0.25">
      <c r="A95" s="153"/>
      <c r="B95" s="154" t="s">
        <v>233</v>
      </c>
      <c r="C95" s="147">
        <f>+C93+C90+C59+C50+C47+C44+C41+C35+C30+C24+C18</f>
        <v>53061849</v>
      </c>
      <c r="D95" s="147">
        <f>+D93+D90+D59+D50+D47+D44+D41+D35+D30+D24+D18</f>
        <v>51745114</v>
      </c>
      <c r="E95" s="147">
        <f>+D95-C95</f>
        <v>-1316735</v>
      </c>
      <c r="F95" s="148">
        <f>IF(C95=0,0,E95/C95)</f>
        <v>-2.4815098320452422E-2</v>
      </c>
      <c r="G95" s="155"/>
    </row>
    <row r="96" spans="1:7" ht="15.75" customHeight="1" x14ac:dyDescent="0.25">
      <c r="A96" s="153"/>
      <c r="B96" s="154"/>
      <c r="C96" s="146"/>
      <c r="D96" s="146"/>
      <c r="E96" s="146"/>
      <c r="F96" s="156"/>
      <c r="G96" s="124"/>
    </row>
    <row r="97" spans="1:7" ht="15.75" customHeight="1" x14ac:dyDescent="0.25">
      <c r="A97" s="153"/>
      <c r="B97" s="157" t="s">
        <v>234</v>
      </c>
      <c r="C97" s="146"/>
      <c r="D97" s="146"/>
      <c r="E97" s="146"/>
      <c r="F97" s="156"/>
      <c r="G97" s="124"/>
    </row>
    <row r="98" spans="1:7" ht="15.75" customHeight="1" x14ac:dyDescent="0.25">
      <c r="A98" s="153"/>
      <c r="B98" s="157"/>
      <c r="C98" s="146"/>
      <c r="D98" s="146"/>
      <c r="E98" s="146"/>
      <c r="F98" s="156"/>
      <c r="G98" s="124"/>
    </row>
    <row r="99" spans="1:7" ht="15.75" customHeight="1" x14ac:dyDescent="0.25">
      <c r="A99" s="153"/>
      <c r="B99" s="157"/>
      <c r="C99" s="146"/>
      <c r="D99" s="146"/>
      <c r="E99" s="146"/>
      <c r="F99" s="156"/>
      <c r="G99" s="124"/>
    </row>
    <row r="100" spans="1:7" ht="15.75" customHeight="1" x14ac:dyDescent="0.25">
      <c r="A100" s="158" t="s">
        <v>44</v>
      </c>
      <c r="B100" s="142" t="s">
        <v>235</v>
      </c>
      <c r="C100" s="143"/>
      <c r="D100" s="143"/>
      <c r="E100" s="159"/>
      <c r="F100" s="160"/>
      <c r="G100" s="155"/>
    </row>
    <row r="101" spans="1:7" ht="15.75" customHeight="1" x14ac:dyDescent="0.25">
      <c r="A101" s="141"/>
      <c r="B101" s="142"/>
      <c r="C101" s="143"/>
      <c r="D101" s="143"/>
      <c r="E101" s="159"/>
      <c r="F101" s="160"/>
      <c r="G101" s="155"/>
    </row>
    <row r="102" spans="1:7" ht="15.75" customHeight="1" x14ac:dyDescent="0.25">
      <c r="A102" s="144" t="s">
        <v>110</v>
      </c>
      <c r="B102" s="145" t="s">
        <v>236</v>
      </c>
      <c r="C102" s="146"/>
      <c r="D102" s="146"/>
      <c r="E102" s="147"/>
      <c r="F102" s="160"/>
      <c r="G102" s="155"/>
    </row>
    <row r="103" spans="1:7" ht="15" customHeight="1" x14ac:dyDescent="0.2">
      <c r="A103" s="141">
        <v>1</v>
      </c>
      <c r="B103" s="161" t="s">
        <v>237</v>
      </c>
      <c r="C103" s="146">
        <v>7285831</v>
      </c>
      <c r="D103" s="146">
        <v>9613215</v>
      </c>
      <c r="E103" s="146">
        <f t="shared" ref="E103:E121" si="4">D103-C103</f>
        <v>2327384</v>
      </c>
      <c r="F103" s="150">
        <f t="shared" ref="F103:F121" si="5">IF(C103=0,0,E103/C103)</f>
        <v>0.31943974544564646</v>
      </c>
      <c r="G103" s="155"/>
    </row>
    <row r="104" spans="1:7" ht="15" customHeight="1" x14ac:dyDescent="0.2">
      <c r="A104" s="141">
        <v>2</v>
      </c>
      <c r="B104" s="161" t="s">
        <v>238</v>
      </c>
      <c r="C104" s="146">
        <v>0</v>
      </c>
      <c r="D104" s="146">
        <v>0</v>
      </c>
      <c r="E104" s="146">
        <f t="shared" si="4"/>
        <v>0</v>
      </c>
      <c r="F104" s="150">
        <f t="shared" si="5"/>
        <v>0</v>
      </c>
      <c r="G104" s="155"/>
    </row>
    <row r="105" spans="1:7" ht="15" customHeight="1" x14ac:dyDescent="0.2">
      <c r="A105" s="141">
        <v>3</v>
      </c>
      <c r="B105" s="161" t="s">
        <v>239</v>
      </c>
      <c r="C105" s="146">
        <v>0</v>
      </c>
      <c r="D105" s="146">
        <v>0</v>
      </c>
      <c r="E105" s="146">
        <f t="shared" si="4"/>
        <v>0</v>
      </c>
      <c r="F105" s="150">
        <f t="shared" si="5"/>
        <v>0</v>
      </c>
      <c r="G105" s="155"/>
    </row>
    <row r="106" spans="1:7" ht="15" customHeight="1" x14ac:dyDescent="0.2">
      <c r="A106" s="141">
        <v>4</v>
      </c>
      <c r="B106" s="161" t="s">
        <v>240</v>
      </c>
      <c r="C106" s="146">
        <v>0</v>
      </c>
      <c r="D106" s="146">
        <v>0</v>
      </c>
      <c r="E106" s="146">
        <f t="shared" si="4"/>
        <v>0</v>
      </c>
      <c r="F106" s="150">
        <f t="shared" si="5"/>
        <v>0</v>
      </c>
      <c r="G106" s="155"/>
    </row>
    <row r="107" spans="1:7" ht="15" customHeight="1" x14ac:dyDescent="0.2">
      <c r="A107" s="141">
        <v>5</v>
      </c>
      <c r="B107" s="161" t="s">
        <v>241</v>
      </c>
      <c r="C107" s="146">
        <v>0</v>
      </c>
      <c r="D107" s="146">
        <v>0</v>
      </c>
      <c r="E107" s="146">
        <f t="shared" si="4"/>
        <v>0</v>
      </c>
      <c r="F107" s="150">
        <f t="shared" si="5"/>
        <v>0</v>
      </c>
      <c r="G107" s="155"/>
    </row>
    <row r="108" spans="1:7" ht="15" customHeight="1" x14ac:dyDescent="0.2">
      <c r="A108" s="141">
        <v>6</v>
      </c>
      <c r="B108" s="161" t="s">
        <v>242</v>
      </c>
      <c r="C108" s="146">
        <v>0</v>
      </c>
      <c r="D108" s="146">
        <v>0</v>
      </c>
      <c r="E108" s="146">
        <f t="shared" si="4"/>
        <v>0</v>
      </c>
      <c r="F108" s="150">
        <f t="shared" si="5"/>
        <v>0</v>
      </c>
      <c r="G108" s="155"/>
    </row>
    <row r="109" spans="1:7" ht="15" customHeight="1" x14ac:dyDescent="0.2">
      <c r="A109" s="141">
        <v>7</v>
      </c>
      <c r="B109" s="161" t="s">
        <v>243</v>
      </c>
      <c r="C109" s="146">
        <v>0</v>
      </c>
      <c r="D109" s="146">
        <v>0</v>
      </c>
      <c r="E109" s="146">
        <f t="shared" si="4"/>
        <v>0</v>
      </c>
      <c r="F109" s="150">
        <f t="shared" si="5"/>
        <v>0</v>
      </c>
      <c r="G109" s="155"/>
    </row>
    <row r="110" spans="1:7" ht="15" customHeight="1" x14ac:dyDescent="0.2">
      <c r="A110" s="141">
        <v>8</v>
      </c>
      <c r="B110" s="161" t="s">
        <v>244</v>
      </c>
      <c r="C110" s="146">
        <v>797245</v>
      </c>
      <c r="D110" s="146">
        <v>802351</v>
      </c>
      <c r="E110" s="146">
        <f t="shared" si="4"/>
        <v>5106</v>
      </c>
      <c r="F110" s="150">
        <f t="shared" si="5"/>
        <v>6.4045556886527981E-3</v>
      </c>
      <c r="G110" s="155"/>
    </row>
    <row r="111" spans="1:7" ht="15" customHeight="1" x14ac:dyDescent="0.2">
      <c r="A111" s="141">
        <v>9</v>
      </c>
      <c r="B111" s="161" t="s">
        <v>245</v>
      </c>
      <c r="C111" s="146">
        <v>0</v>
      </c>
      <c r="D111" s="146">
        <v>0</v>
      </c>
      <c r="E111" s="146">
        <f t="shared" si="4"/>
        <v>0</v>
      </c>
      <c r="F111" s="150">
        <f t="shared" si="5"/>
        <v>0</v>
      </c>
      <c r="G111" s="155"/>
    </row>
    <row r="112" spans="1:7" ht="15" customHeight="1" x14ac:dyDescent="0.2">
      <c r="A112" s="141">
        <v>10</v>
      </c>
      <c r="B112" s="161" t="s">
        <v>246</v>
      </c>
      <c r="C112" s="146">
        <v>893695</v>
      </c>
      <c r="D112" s="146">
        <v>907996</v>
      </c>
      <c r="E112" s="146">
        <f t="shared" si="4"/>
        <v>14301</v>
      </c>
      <c r="F112" s="150">
        <f t="shared" si="5"/>
        <v>1.6002103625957401E-2</v>
      </c>
      <c r="G112" s="155"/>
    </row>
    <row r="113" spans="1:7" ht="15" customHeight="1" x14ac:dyDescent="0.2">
      <c r="A113" s="141">
        <v>11</v>
      </c>
      <c r="B113" s="161" t="s">
        <v>247</v>
      </c>
      <c r="C113" s="146">
        <v>503345</v>
      </c>
      <c r="D113" s="146">
        <v>489901</v>
      </c>
      <c r="E113" s="146">
        <f t="shared" si="4"/>
        <v>-13444</v>
      </c>
      <c r="F113" s="150">
        <f t="shared" si="5"/>
        <v>-2.6709314684758963E-2</v>
      </c>
      <c r="G113" s="155"/>
    </row>
    <row r="114" spans="1:7" ht="15" customHeight="1" x14ac:dyDescent="0.2">
      <c r="A114" s="141">
        <v>12</v>
      </c>
      <c r="B114" s="161" t="s">
        <v>248</v>
      </c>
      <c r="C114" s="146">
        <v>233190</v>
      </c>
      <c r="D114" s="146">
        <v>233572</v>
      </c>
      <c r="E114" s="146">
        <f t="shared" si="4"/>
        <v>382</v>
      </c>
      <c r="F114" s="150">
        <f t="shared" si="5"/>
        <v>1.6381491487628115E-3</v>
      </c>
      <c r="G114" s="155"/>
    </row>
    <row r="115" spans="1:7" ht="15" customHeight="1" x14ac:dyDescent="0.2">
      <c r="A115" s="141">
        <v>13</v>
      </c>
      <c r="B115" s="161" t="s">
        <v>249</v>
      </c>
      <c r="C115" s="146">
        <v>2629862</v>
      </c>
      <c r="D115" s="146">
        <v>2752798</v>
      </c>
      <c r="E115" s="146">
        <f t="shared" si="4"/>
        <v>122936</v>
      </c>
      <c r="F115" s="150">
        <f t="shared" si="5"/>
        <v>4.6746179077077045E-2</v>
      </c>
      <c r="G115" s="155"/>
    </row>
    <row r="116" spans="1:7" ht="15" customHeight="1" x14ac:dyDescent="0.2">
      <c r="A116" s="141">
        <v>14</v>
      </c>
      <c r="B116" s="161" t="s">
        <v>250</v>
      </c>
      <c r="C116" s="146">
        <v>0</v>
      </c>
      <c r="D116" s="146">
        <v>0</v>
      </c>
      <c r="E116" s="146">
        <f t="shared" si="4"/>
        <v>0</v>
      </c>
      <c r="F116" s="150">
        <f t="shared" si="5"/>
        <v>0</v>
      </c>
      <c r="G116" s="155"/>
    </row>
    <row r="117" spans="1:7" ht="15" customHeight="1" x14ac:dyDescent="0.2">
      <c r="A117" s="141">
        <v>15</v>
      </c>
      <c r="B117" s="161" t="s">
        <v>207</v>
      </c>
      <c r="C117" s="146">
        <v>0</v>
      </c>
      <c r="D117" s="146">
        <v>0</v>
      </c>
      <c r="E117" s="146">
        <f t="shared" si="4"/>
        <v>0</v>
      </c>
      <c r="F117" s="150">
        <f t="shared" si="5"/>
        <v>0</v>
      </c>
      <c r="G117" s="155"/>
    </row>
    <row r="118" spans="1:7" ht="15" customHeight="1" x14ac:dyDescent="0.2">
      <c r="A118" s="141">
        <v>16</v>
      </c>
      <c r="B118" s="161" t="s">
        <v>251</v>
      </c>
      <c r="C118" s="146">
        <v>0</v>
      </c>
      <c r="D118" s="146">
        <v>0</v>
      </c>
      <c r="E118" s="146">
        <f t="shared" si="4"/>
        <v>0</v>
      </c>
      <c r="F118" s="150">
        <f t="shared" si="5"/>
        <v>0</v>
      </c>
      <c r="G118" s="155"/>
    </row>
    <row r="119" spans="1:7" ht="15" customHeight="1" x14ac:dyDescent="0.2">
      <c r="A119" s="141">
        <v>17</v>
      </c>
      <c r="B119" s="161" t="s">
        <v>252</v>
      </c>
      <c r="C119" s="146">
        <v>2321787</v>
      </c>
      <c r="D119" s="146">
        <v>2669606</v>
      </c>
      <c r="E119" s="146">
        <f t="shared" si="4"/>
        <v>347819</v>
      </c>
      <c r="F119" s="150">
        <f t="shared" si="5"/>
        <v>0.1498065929389733</v>
      </c>
      <c r="G119" s="155"/>
    </row>
    <row r="120" spans="1:7" ht="15" customHeight="1" x14ac:dyDescent="0.2">
      <c r="A120" s="141">
        <v>18</v>
      </c>
      <c r="B120" s="161" t="s">
        <v>253</v>
      </c>
      <c r="C120" s="146">
        <v>16870063</v>
      </c>
      <c r="D120" s="146">
        <v>11590019</v>
      </c>
      <c r="E120" s="146">
        <f t="shared" si="4"/>
        <v>-5280044</v>
      </c>
      <c r="F120" s="150">
        <f t="shared" si="5"/>
        <v>-0.31298306354872535</v>
      </c>
      <c r="G120" s="155"/>
    </row>
    <row r="121" spans="1:7" ht="15.75" customHeight="1" x14ac:dyDescent="0.25">
      <c r="A121" s="141"/>
      <c r="B121" s="154" t="s">
        <v>254</v>
      </c>
      <c r="C121" s="147">
        <f>SUM(C103:C120)</f>
        <v>31535018</v>
      </c>
      <c r="D121" s="147">
        <f>SUM(D103:D120)</f>
        <v>29059458</v>
      </c>
      <c r="E121" s="147">
        <f t="shared" si="4"/>
        <v>-2475560</v>
      </c>
      <c r="F121" s="148">
        <f t="shared" si="5"/>
        <v>-7.8501937116382814E-2</v>
      </c>
      <c r="G121" s="155"/>
    </row>
    <row r="122" spans="1:7" ht="15.75" customHeight="1" x14ac:dyDescent="0.25">
      <c r="A122" s="141"/>
      <c r="B122" s="162"/>
      <c r="C122" s="146"/>
      <c r="D122" s="146"/>
      <c r="E122" s="147"/>
      <c r="F122" s="160"/>
      <c r="G122" s="155"/>
    </row>
    <row r="123" spans="1:7" ht="15.75" customHeight="1" x14ac:dyDescent="0.25">
      <c r="A123" s="144" t="s">
        <v>124</v>
      </c>
      <c r="B123" s="145" t="s">
        <v>255</v>
      </c>
      <c r="C123" s="146"/>
      <c r="D123" s="146"/>
      <c r="E123" s="147"/>
      <c r="F123" s="160"/>
      <c r="G123" s="155"/>
    </row>
    <row r="124" spans="1:7" ht="15" customHeight="1" x14ac:dyDescent="0.2">
      <c r="A124" s="141">
        <v>1</v>
      </c>
      <c r="B124" s="161" t="s">
        <v>256</v>
      </c>
      <c r="C124" s="146">
        <v>823319</v>
      </c>
      <c r="D124" s="146">
        <v>905739</v>
      </c>
      <c r="E124" s="146">
        <f t="shared" ref="E124:E130" si="6">D124-C124</f>
        <v>82420</v>
      </c>
      <c r="F124" s="150">
        <f t="shared" ref="F124:F130" si="7">IF(C124=0,0,E124/C124)</f>
        <v>0.10010700591143895</v>
      </c>
      <c r="G124" s="155"/>
    </row>
    <row r="125" spans="1:7" ht="15" customHeight="1" x14ac:dyDescent="0.2">
      <c r="A125" s="141">
        <v>2</v>
      </c>
      <c r="B125" s="161" t="s">
        <v>257</v>
      </c>
      <c r="C125" s="146">
        <v>0</v>
      </c>
      <c r="D125" s="146">
        <v>0</v>
      </c>
      <c r="E125" s="146">
        <f t="shared" si="6"/>
        <v>0</v>
      </c>
      <c r="F125" s="150">
        <f t="shared" si="7"/>
        <v>0</v>
      </c>
      <c r="G125" s="155"/>
    </row>
    <row r="126" spans="1:7" ht="15" customHeight="1" x14ac:dyDescent="0.2">
      <c r="A126" s="141">
        <v>3</v>
      </c>
      <c r="B126" s="161" t="s">
        <v>258</v>
      </c>
      <c r="C126" s="146">
        <v>1069637</v>
      </c>
      <c r="D126" s="146">
        <v>1073272</v>
      </c>
      <c r="E126" s="146">
        <f t="shared" si="6"/>
        <v>3635</v>
      </c>
      <c r="F126" s="150">
        <f t="shared" si="7"/>
        <v>3.3983491595746969E-3</v>
      </c>
      <c r="G126" s="155"/>
    </row>
    <row r="127" spans="1:7" ht="15" customHeight="1" x14ac:dyDescent="0.2">
      <c r="A127" s="141">
        <v>4</v>
      </c>
      <c r="B127" s="161" t="s">
        <v>259</v>
      </c>
      <c r="C127" s="146">
        <v>0</v>
      </c>
      <c r="D127" s="146">
        <v>0</v>
      </c>
      <c r="E127" s="146">
        <f t="shared" si="6"/>
        <v>0</v>
      </c>
      <c r="F127" s="150">
        <f t="shared" si="7"/>
        <v>0</v>
      </c>
      <c r="G127" s="155"/>
    </row>
    <row r="128" spans="1:7" ht="15" customHeight="1" x14ac:dyDescent="0.2">
      <c r="A128" s="141">
        <v>5</v>
      </c>
      <c r="B128" s="161" t="s">
        <v>260</v>
      </c>
      <c r="C128" s="146">
        <v>290435</v>
      </c>
      <c r="D128" s="146">
        <v>421651</v>
      </c>
      <c r="E128" s="146">
        <f t="shared" si="6"/>
        <v>131216</v>
      </c>
      <c r="F128" s="150">
        <f t="shared" si="7"/>
        <v>0.45179127859934237</v>
      </c>
      <c r="G128" s="155"/>
    </row>
    <row r="129" spans="1:7" ht="15" customHeight="1" x14ac:dyDescent="0.2">
      <c r="A129" s="141">
        <v>6</v>
      </c>
      <c r="B129" s="161" t="s">
        <v>261</v>
      </c>
      <c r="C129" s="146">
        <v>0</v>
      </c>
      <c r="D129" s="146">
        <v>0</v>
      </c>
      <c r="E129" s="146">
        <f t="shared" si="6"/>
        <v>0</v>
      </c>
      <c r="F129" s="150">
        <f t="shared" si="7"/>
        <v>0</v>
      </c>
      <c r="G129" s="155"/>
    </row>
    <row r="130" spans="1:7" ht="15.75" customHeight="1" x14ac:dyDescent="0.25">
      <c r="A130" s="141"/>
      <c r="B130" s="154" t="s">
        <v>262</v>
      </c>
      <c r="C130" s="147">
        <f>SUM(C124:C129)</f>
        <v>2183391</v>
      </c>
      <c r="D130" s="147">
        <f>SUM(D124:D129)</f>
        <v>2400662</v>
      </c>
      <c r="E130" s="147">
        <f t="shared" si="6"/>
        <v>217271</v>
      </c>
      <c r="F130" s="148">
        <f t="shared" si="7"/>
        <v>9.9510806813804767E-2</v>
      </c>
      <c r="G130" s="155"/>
    </row>
    <row r="131" spans="1:7" ht="15.75" customHeight="1" x14ac:dyDescent="0.25">
      <c r="A131" s="141"/>
      <c r="B131" s="162"/>
      <c r="C131" s="146"/>
      <c r="D131" s="146"/>
      <c r="E131" s="147"/>
      <c r="F131" s="160"/>
      <c r="G131" s="155"/>
    </row>
    <row r="132" spans="1:7" ht="15.75" customHeight="1" x14ac:dyDescent="0.25">
      <c r="A132" s="144" t="s">
        <v>141</v>
      </c>
      <c r="B132" s="145" t="s">
        <v>263</v>
      </c>
      <c r="C132" s="146"/>
      <c r="D132" s="146"/>
      <c r="E132" s="147"/>
      <c r="F132" s="160"/>
      <c r="G132" s="155"/>
    </row>
    <row r="133" spans="1:7" ht="15" customHeight="1" x14ac:dyDescent="0.2">
      <c r="A133" s="141">
        <v>1</v>
      </c>
      <c r="B133" s="161" t="s">
        <v>264</v>
      </c>
      <c r="C133" s="146">
        <v>1825725</v>
      </c>
      <c r="D133" s="146">
        <v>1895658</v>
      </c>
      <c r="E133" s="146">
        <f t="shared" ref="E133:E167" si="8">D133-C133</f>
        <v>69933</v>
      </c>
      <c r="F133" s="150">
        <f t="shared" ref="F133:F167" si="9">IF(C133=0,0,E133/C133)</f>
        <v>3.8304235303783428E-2</v>
      </c>
      <c r="G133" s="155"/>
    </row>
    <row r="134" spans="1:7" ht="15" customHeight="1" x14ac:dyDescent="0.2">
      <c r="A134" s="141">
        <v>2</v>
      </c>
      <c r="B134" s="161" t="s">
        <v>265</v>
      </c>
      <c r="C134" s="146">
        <v>185934</v>
      </c>
      <c r="D134" s="146">
        <v>169754</v>
      </c>
      <c r="E134" s="146">
        <f t="shared" si="8"/>
        <v>-16180</v>
      </c>
      <c r="F134" s="150">
        <f t="shared" si="9"/>
        <v>-8.7020125420848263E-2</v>
      </c>
      <c r="G134" s="155"/>
    </row>
    <row r="135" spans="1:7" ht="15" customHeight="1" x14ac:dyDescent="0.2">
      <c r="A135" s="141">
        <v>3</v>
      </c>
      <c r="B135" s="161" t="s">
        <v>266</v>
      </c>
      <c r="C135" s="146">
        <v>26946</v>
      </c>
      <c r="D135" s="146">
        <v>27676</v>
      </c>
      <c r="E135" s="146">
        <f t="shared" si="8"/>
        <v>730</v>
      </c>
      <c r="F135" s="150">
        <f t="shared" si="9"/>
        <v>2.7091219475989015E-2</v>
      </c>
      <c r="G135" s="155"/>
    </row>
    <row r="136" spans="1:7" ht="15" customHeight="1" x14ac:dyDescent="0.2">
      <c r="A136" s="141">
        <v>4</v>
      </c>
      <c r="B136" s="161" t="s">
        <v>267</v>
      </c>
      <c r="C136" s="146">
        <v>333924</v>
      </c>
      <c r="D136" s="146">
        <v>408531</v>
      </c>
      <c r="E136" s="146">
        <f t="shared" si="8"/>
        <v>74607</v>
      </c>
      <c r="F136" s="150">
        <f t="shared" si="9"/>
        <v>0.22342509073921013</v>
      </c>
      <c r="G136" s="155"/>
    </row>
    <row r="137" spans="1:7" ht="15" customHeight="1" x14ac:dyDescent="0.2">
      <c r="A137" s="141">
        <v>5</v>
      </c>
      <c r="B137" s="161" t="s">
        <v>268</v>
      </c>
      <c r="C137" s="146">
        <v>1774658</v>
      </c>
      <c r="D137" s="146">
        <v>1739300</v>
      </c>
      <c r="E137" s="146">
        <f t="shared" si="8"/>
        <v>-35358</v>
      </c>
      <c r="F137" s="150">
        <f t="shared" si="9"/>
        <v>-1.9923838846696094E-2</v>
      </c>
      <c r="G137" s="155"/>
    </row>
    <row r="138" spans="1:7" ht="15" customHeight="1" x14ac:dyDescent="0.2">
      <c r="A138" s="141">
        <v>6</v>
      </c>
      <c r="B138" s="161" t="s">
        <v>269</v>
      </c>
      <c r="C138" s="146">
        <v>0</v>
      </c>
      <c r="D138" s="146">
        <v>0</v>
      </c>
      <c r="E138" s="146">
        <f t="shared" si="8"/>
        <v>0</v>
      </c>
      <c r="F138" s="150">
        <f t="shared" si="9"/>
        <v>0</v>
      </c>
      <c r="G138" s="155"/>
    </row>
    <row r="139" spans="1:7" ht="15" customHeight="1" x14ac:dyDescent="0.2">
      <c r="A139" s="141">
        <v>7</v>
      </c>
      <c r="B139" s="161" t="s">
        <v>270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8</v>
      </c>
      <c r="B140" s="161" t="s">
        <v>271</v>
      </c>
      <c r="C140" s="146">
        <v>334572</v>
      </c>
      <c r="D140" s="146">
        <v>315574</v>
      </c>
      <c r="E140" s="146">
        <f t="shared" si="8"/>
        <v>-18998</v>
      </c>
      <c r="F140" s="150">
        <f t="shared" si="9"/>
        <v>-5.6782994392836218E-2</v>
      </c>
      <c r="G140" s="155"/>
    </row>
    <row r="141" spans="1:7" ht="15" customHeight="1" x14ac:dyDescent="0.2">
      <c r="A141" s="141">
        <v>9</v>
      </c>
      <c r="B141" s="161" t="s">
        <v>272</v>
      </c>
      <c r="C141" s="146">
        <v>213316</v>
      </c>
      <c r="D141" s="146">
        <v>203153</v>
      </c>
      <c r="E141" s="146">
        <f t="shared" si="8"/>
        <v>-10163</v>
      </c>
      <c r="F141" s="150">
        <f t="shared" si="9"/>
        <v>-4.7642933488345932E-2</v>
      </c>
      <c r="G141" s="155"/>
    </row>
    <row r="142" spans="1:7" ht="15" customHeight="1" x14ac:dyDescent="0.2">
      <c r="A142" s="141">
        <v>10</v>
      </c>
      <c r="B142" s="161" t="s">
        <v>273</v>
      </c>
      <c r="C142" s="146">
        <v>2837615</v>
      </c>
      <c r="D142" s="146">
        <v>3004598</v>
      </c>
      <c r="E142" s="146">
        <f t="shared" si="8"/>
        <v>166983</v>
      </c>
      <c r="F142" s="150">
        <f t="shared" si="9"/>
        <v>5.8846249403107891E-2</v>
      </c>
      <c r="G142" s="155"/>
    </row>
    <row r="143" spans="1:7" ht="15" customHeight="1" x14ac:dyDescent="0.2">
      <c r="A143" s="141">
        <v>11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12</v>
      </c>
      <c r="B144" s="161" t="s">
        <v>275</v>
      </c>
      <c r="C144" s="146">
        <v>0</v>
      </c>
      <c r="D144" s="146">
        <v>0</v>
      </c>
      <c r="E144" s="146">
        <f t="shared" si="8"/>
        <v>0</v>
      </c>
      <c r="F144" s="150">
        <f t="shared" si="9"/>
        <v>0</v>
      </c>
      <c r="G144" s="155"/>
    </row>
    <row r="145" spans="1:7" ht="15" customHeight="1" x14ac:dyDescent="0.2">
      <c r="A145" s="141">
        <v>13</v>
      </c>
      <c r="B145" s="161" t="s">
        <v>276</v>
      </c>
      <c r="C145" s="146">
        <v>282948</v>
      </c>
      <c r="D145" s="146">
        <v>287278</v>
      </c>
      <c r="E145" s="146">
        <f t="shared" si="8"/>
        <v>4330</v>
      </c>
      <c r="F145" s="150">
        <f t="shared" si="9"/>
        <v>1.530316524591091E-2</v>
      </c>
      <c r="G145" s="155"/>
    </row>
    <row r="146" spans="1:7" ht="15" customHeight="1" x14ac:dyDescent="0.2">
      <c r="A146" s="141">
        <v>14</v>
      </c>
      <c r="B146" s="161" t="s">
        <v>277</v>
      </c>
      <c r="C146" s="146">
        <v>0</v>
      </c>
      <c r="D146" s="146">
        <v>229192</v>
      </c>
      <c r="E146" s="146">
        <f t="shared" si="8"/>
        <v>229192</v>
      </c>
      <c r="F146" s="150">
        <f t="shared" si="9"/>
        <v>0</v>
      </c>
      <c r="G146" s="155"/>
    </row>
    <row r="147" spans="1:7" ht="15" customHeight="1" x14ac:dyDescent="0.2">
      <c r="A147" s="141">
        <v>15</v>
      </c>
      <c r="B147" s="161" t="s">
        <v>278</v>
      </c>
      <c r="C147" s="146">
        <v>63641</v>
      </c>
      <c r="D147" s="146">
        <v>87300</v>
      </c>
      <c r="E147" s="146">
        <f t="shared" si="8"/>
        <v>23659</v>
      </c>
      <c r="F147" s="150">
        <f t="shared" si="9"/>
        <v>0.37175720054681732</v>
      </c>
      <c r="G147" s="155"/>
    </row>
    <row r="148" spans="1:7" ht="15" customHeight="1" x14ac:dyDescent="0.2">
      <c r="A148" s="141">
        <v>16</v>
      </c>
      <c r="B148" s="161" t="s">
        <v>279</v>
      </c>
      <c r="C148" s="146">
        <v>81069</v>
      </c>
      <c r="D148" s="146">
        <v>81785</v>
      </c>
      <c r="E148" s="146">
        <f t="shared" si="8"/>
        <v>716</v>
      </c>
      <c r="F148" s="150">
        <f t="shared" si="9"/>
        <v>8.8319826320788462E-3</v>
      </c>
      <c r="G148" s="155"/>
    </row>
    <row r="149" spans="1:7" ht="15" customHeight="1" x14ac:dyDescent="0.2">
      <c r="A149" s="141">
        <v>17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18</v>
      </c>
      <c r="B150" s="161" t="s">
        <v>281</v>
      </c>
      <c r="C150" s="146">
        <v>388322</v>
      </c>
      <c r="D150" s="146">
        <v>426014</v>
      </c>
      <c r="E150" s="146">
        <f t="shared" si="8"/>
        <v>37692</v>
      </c>
      <c r="F150" s="150">
        <f t="shared" si="9"/>
        <v>9.706377696859822E-2</v>
      </c>
      <c r="G150" s="155"/>
    </row>
    <row r="151" spans="1:7" ht="15" customHeight="1" x14ac:dyDescent="0.2">
      <c r="A151" s="141">
        <v>19</v>
      </c>
      <c r="B151" s="161" t="s">
        <v>282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20</v>
      </c>
      <c r="B152" s="161" t="s">
        <v>283</v>
      </c>
      <c r="C152" s="146">
        <v>0</v>
      </c>
      <c r="D152" s="146">
        <v>0</v>
      </c>
      <c r="E152" s="146">
        <f t="shared" si="8"/>
        <v>0</v>
      </c>
      <c r="F152" s="150">
        <f t="shared" si="9"/>
        <v>0</v>
      </c>
      <c r="G152" s="155"/>
    </row>
    <row r="153" spans="1:7" ht="15" customHeight="1" x14ac:dyDescent="0.2">
      <c r="A153" s="141">
        <v>21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22</v>
      </c>
      <c r="B154" s="161" t="s">
        <v>285</v>
      </c>
      <c r="C154" s="146">
        <v>77387</v>
      </c>
      <c r="D154" s="146">
        <v>53255</v>
      </c>
      <c r="E154" s="146">
        <f t="shared" si="8"/>
        <v>-24132</v>
      </c>
      <c r="F154" s="150">
        <f t="shared" si="9"/>
        <v>-0.31183532117797563</v>
      </c>
      <c r="G154" s="155"/>
    </row>
    <row r="155" spans="1:7" ht="15" customHeight="1" x14ac:dyDescent="0.2">
      <c r="A155" s="141">
        <v>23</v>
      </c>
      <c r="B155" s="161" t="s">
        <v>286</v>
      </c>
      <c r="C155" s="146">
        <v>0</v>
      </c>
      <c r="D155" s="146">
        <v>0</v>
      </c>
      <c r="E155" s="146">
        <f t="shared" si="8"/>
        <v>0</v>
      </c>
      <c r="F155" s="150">
        <f t="shared" si="9"/>
        <v>0</v>
      </c>
      <c r="G155" s="155"/>
    </row>
    <row r="156" spans="1:7" ht="15" customHeight="1" x14ac:dyDescent="0.2">
      <c r="A156" s="141">
        <v>24</v>
      </c>
      <c r="B156" s="161" t="s">
        <v>287</v>
      </c>
      <c r="C156" s="146">
        <v>1731552</v>
      </c>
      <c r="D156" s="146">
        <v>1753581</v>
      </c>
      <c r="E156" s="146">
        <f t="shared" si="8"/>
        <v>22029</v>
      </c>
      <c r="F156" s="150">
        <f t="shared" si="9"/>
        <v>1.2722112879081888E-2</v>
      </c>
      <c r="G156" s="155"/>
    </row>
    <row r="157" spans="1:7" ht="15" customHeight="1" x14ac:dyDescent="0.2">
      <c r="A157" s="141">
        <v>25</v>
      </c>
      <c r="B157" s="161" t="s">
        <v>288</v>
      </c>
      <c r="C157" s="146">
        <v>302901</v>
      </c>
      <c r="D157" s="146">
        <v>292293</v>
      </c>
      <c r="E157" s="146">
        <f t="shared" si="8"/>
        <v>-10608</v>
      </c>
      <c r="F157" s="150">
        <f t="shared" si="9"/>
        <v>-3.5021343607317242E-2</v>
      </c>
      <c r="G157" s="155"/>
    </row>
    <row r="158" spans="1:7" ht="15" customHeight="1" x14ac:dyDescent="0.2">
      <c r="A158" s="141">
        <v>26</v>
      </c>
      <c r="B158" s="161" t="s">
        <v>289</v>
      </c>
      <c r="C158" s="146">
        <v>0</v>
      </c>
      <c r="D158" s="146">
        <v>0</v>
      </c>
      <c r="E158" s="146">
        <f t="shared" si="8"/>
        <v>0</v>
      </c>
      <c r="F158" s="150">
        <f t="shared" si="9"/>
        <v>0</v>
      </c>
      <c r="G158" s="155"/>
    </row>
    <row r="159" spans="1:7" ht="15" customHeight="1" x14ac:dyDescent="0.2">
      <c r="A159" s="141">
        <v>27</v>
      </c>
      <c r="B159" s="161" t="s">
        <v>290</v>
      </c>
      <c r="C159" s="146">
        <v>0</v>
      </c>
      <c r="D159" s="146">
        <v>0</v>
      </c>
      <c r="E159" s="146">
        <f t="shared" si="8"/>
        <v>0</v>
      </c>
      <c r="F159" s="150">
        <f t="shared" si="9"/>
        <v>0</v>
      </c>
      <c r="G159" s="155"/>
    </row>
    <row r="160" spans="1:7" ht="15" customHeight="1" x14ac:dyDescent="0.2">
      <c r="A160" s="141">
        <v>28</v>
      </c>
      <c r="B160" s="161" t="s">
        <v>291</v>
      </c>
      <c r="C160" s="146">
        <v>0</v>
      </c>
      <c r="D160" s="146">
        <v>0</v>
      </c>
      <c r="E160" s="146">
        <f t="shared" si="8"/>
        <v>0</v>
      </c>
      <c r="F160" s="150">
        <f t="shared" si="9"/>
        <v>0</v>
      </c>
      <c r="G160" s="155"/>
    </row>
    <row r="161" spans="1:7" ht="15" customHeight="1" x14ac:dyDescent="0.2">
      <c r="A161" s="141">
        <v>29</v>
      </c>
      <c r="B161" s="161" t="s">
        <v>292</v>
      </c>
      <c r="C161" s="146">
        <v>232481</v>
      </c>
      <c r="D161" s="146">
        <v>0</v>
      </c>
      <c r="E161" s="146">
        <f t="shared" si="8"/>
        <v>-232481</v>
      </c>
      <c r="F161" s="150">
        <f t="shared" si="9"/>
        <v>-1</v>
      </c>
      <c r="G161" s="155"/>
    </row>
    <row r="162" spans="1:7" ht="15" customHeight="1" x14ac:dyDescent="0.2">
      <c r="A162" s="141">
        <v>30</v>
      </c>
      <c r="B162" s="161" t="s">
        <v>293</v>
      </c>
      <c r="C162" s="146">
        <v>0</v>
      </c>
      <c r="D162" s="146">
        <v>0</v>
      </c>
      <c r="E162" s="146">
        <f t="shared" si="8"/>
        <v>0</v>
      </c>
      <c r="F162" s="150">
        <f t="shared" si="9"/>
        <v>0</v>
      </c>
      <c r="G162" s="155"/>
    </row>
    <row r="163" spans="1:7" ht="15" customHeight="1" x14ac:dyDescent="0.2">
      <c r="A163" s="141">
        <v>31</v>
      </c>
      <c r="B163" s="161" t="s">
        <v>294</v>
      </c>
      <c r="C163" s="146">
        <v>53624</v>
      </c>
      <c r="D163" s="146">
        <v>67159</v>
      </c>
      <c r="E163" s="146">
        <f t="shared" si="8"/>
        <v>13535</v>
      </c>
      <c r="F163" s="150">
        <f t="shared" si="9"/>
        <v>0.25240563926600029</v>
      </c>
      <c r="G163" s="155"/>
    </row>
    <row r="164" spans="1:7" ht="15" customHeight="1" x14ac:dyDescent="0.2">
      <c r="A164" s="141">
        <v>32</v>
      </c>
      <c r="B164" s="161" t="s">
        <v>295</v>
      </c>
      <c r="C164" s="146">
        <v>671520</v>
      </c>
      <c r="D164" s="146">
        <v>772191</v>
      </c>
      <c r="E164" s="146">
        <f t="shared" si="8"/>
        <v>100671</v>
      </c>
      <c r="F164" s="150">
        <f t="shared" si="9"/>
        <v>0.14991511794138671</v>
      </c>
      <c r="G164" s="155"/>
    </row>
    <row r="165" spans="1:7" ht="15" customHeight="1" x14ac:dyDescent="0.2">
      <c r="A165" s="141">
        <v>33</v>
      </c>
      <c r="B165" s="161" t="s">
        <v>296</v>
      </c>
      <c r="C165" s="146">
        <v>0</v>
      </c>
      <c r="D165" s="146">
        <v>0</v>
      </c>
      <c r="E165" s="146">
        <f t="shared" si="8"/>
        <v>0</v>
      </c>
      <c r="F165" s="150">
        <f t="shared" si="9"/>
        <v>0</v>
      </c>
      <c r="G165" s="155"/>
    </row>
    <row r="166" spans="1:7" ht="15" customHeight="1" x14ac:dyDescent="0.2">
      <c r="A166" s="141">
        <v>34</v>
      </c>
      <c r="B166" s="161" t="s">
        <v>297</v>
      </c>
      <c r="C166" s="146">
        <v>2065548</v>
      </c>
      <c r="D166" s="146">
        <v>2140641</v>
      </c>
      <c r="E166" s="146">
        <f t="shared" si="8"/>
        <v>75093</v>
      </c>
      <c r="F166" s="150">
        <f t="shared" si="9"/>
        <v>3.635500119096724E-2</v>
      </c>
      <c r="G166" s="155"/>
    </row>
    <row r="167" spans="1:7" ht="15.75" customHeight="1" x14ac:dyDescent="0.25">
      <c r="A167" s="141"/>
      <c r="B167" s="154" t="s">
        <v>298</v>
      </c>
      <c r="C167" s="147">
        <f>SUM(C133:C166)</f>
        <v>13483683</v>
      </c>
      <c r="D167" s="147">
        <f>SUM(D133:D166)</f>
        <v>13954933</v>
      </c>
      <c r="E167" s="147">
        <f t="shared" si="8"/>
        <v>471250</v>
      </c>
      <c r="F167" s="148">
        <f t="shared" si="9"/>
        <v>3.494964988423415E-2</v>
      </c>
      <c r="G167" s="155"/>
    </row>
    <row r="168" spans="1:7" ht="15.75" customHeight="1" x14ac:dyDescent="0.25">
      <c r="A168" s="141"/>
      <c r="B168" s="162"/>
      <c r="C168" s="146"/>
      <c r="D168" s="146"/>
      <c r="E168" s="147"/>
      <c r="F168" s="160"/>
      <c r="G168" s="155"/>
    </row>
    <row r="169" spans="1:7" ht="15.75" customHeight="1" x14ac:dyDescent="0.25">
      <c r="A169" s="144" t="s">
        <v>171</v>
      </c>
      <c r="B169" s="145" t="s">
        <v>299</v>
      </c>
      <c r="C169" s="146"/>
      <c r="D169" s="146"/>
      <c r="E169" s="147"/>
      <c r="F169" s="160"/>
      <c r="G169" s="155"/>
    </row>
    <row r="170" spans="1:7" ht="15" customHeight="1" x14ac:dyDescent="0.2">
      <c r="A170" s="141">
        <v>1</v>
      </c>
      <c r="B170" s="161" t="s">
        <v>300</v>
      </c>
      <c r="C170" s="146">
        <v>2550094</v>
      </c>
      <c r="D170" s="146">
        <v>2484745</v>
      </c>
      <c r="E170" s="146">
        <f t="shared" ref="E170:E183" si="10">D170-C170</f>
        <v>-65349</v>
      </c>
      <c r="F170" s="150">
        <f t="shared" ref="F170:F183" si="11">IF(C170=0,0,E170/C170)</f>
        <v>-2.5626114174614741E-2</v>
      </c>
      <c r="G170" s="155"/>
    </row>
    <row r="171" spans="1:7" ht="15" customHeight="1" x14ac:dyDescent="0.2">
      <c r="A171" s="141">
        <v>2</v>
      </c>
      <c r="B171" s="161" t="s">
        <v>301</v>
      </c>
      <c r="C171" s="146">
        <v>1124169</v>
      </c>
      <c r="D171" s="146">
        <v>1062395</v>
      </c>
      <c r="E171" s="146">
        <f t="shared" si="10"/>
        <v>-61774</v>
      </c>
      <c r="F171" s="150">
        <f t="shared" si="11"/>
        <v>-5.4950812555763416E-2</v>
      </c>
      <c r="G171" s="155"/>
    </row>
    <row r="172" spans="1:7" ht="15" customHeight="1" x14ac:dyDescent="0.2">
      <c r="A172" s="141">
        <v>3</v>
      </c>
      <c r="B172" s="161" t="s">
        <v>302</v>
      </c>
      <c r="C172" s="146">
        <v>0</v>
      </c>
      <c r="D172" s="146">
        <v>0</v>
      </c>
      <c r="E172" s="146">
        <f t="shared" si="10"/>
        <v>0</v>
      </c>
      <c r="F172" s="150">
        <f t="shared" si="11"/>
        <v>0</v>
      </c>
      <c r="G172" s="155"/>
    </row>
    <row r="173" spans="1:7" ht="15" customHeight="1" x14ac:dyDescent="0.2">
      <c r="A173" s="141">
        <v>4</v>
      </c>
      <c r="B173" s="161" t="s">
        <v>303</v>
      </c>
      <c r="C173" s="146">
        <v>1923942</v>
      </c>
      <c r="D173" s="146">
        <v>1897857</v>
      </c>
      <c r="E173" s="146">
        <f t="shared" si="10"/>
        <v>-26085</v>
      </c>
      <c r="F173" s="150">
        <f t="shared" si="11"/>
        <v>-1.3558101023835438E-2</v>
      </c>
      <c r="G173" s="155"/>
    </row>
    <row r="174" spans="1:7" ht="15" customHeight="1" x14ac:dyDescent="0.2">
      <c r="A174" s="141">
        <v>5</v>
      </c>
      <c r="B174" s="161" t="s">
        <v>304</v>
      </c>
      <c r="C174" s="146">
        <v>0</v>
      </c>
      <c r="D174" s="146">
        <v>0</v>
      </c>
      <c r="E174" s="146">
        <f t="shared" si="10"/>
        <v>0</v>
      </c>
      <c r="F174" s="150">
        <f t="shared" si="11"/>
        <v>0</v>
      </c>
      <c r="G174" s="155"/>
    </row>
    <row r="175" spans="1:7" ht="15" customHeight="1" x14ac:dyDescent="0.2">
      <c r="A175" s="141">
        <v>6</v>
      </c>
      <c r="B175" s="161" t="s">
        <v>305</v>
      </c>
      <c r="C175" s="146">
        <v>0</v>
      </c>
      <c r="D175" s="146">
        <v>0</v>
      </c>
      <c r="E175" s="146">
        <f t="shared" si="10"/>
        <v>0</v>
      </c>
      <c r="F175" s="150">
        <f t="shared" si="11"/>
        <v>0</v>
      </c>
      <c r="G175" s="155"/>
    </row>
    <row r="176" spans="1:7" ht="15" customHeight="1" x14ac:dyDescent="0.2">
      <c r="A176" s="141">
        <v>7</v>
      </c>
      <c r="B176" s="161" t="s">
        <v>306</v>
      </c>
      <c r="C176" s="146">
        <v>261552</v>
      </c>
      <c r="D176" s="146">
        <v>317361</v>
      </c>
      <c r="E176" s="146">
        <f t="shared" si="10"/>
        <v>55809</v>
      </c>
      <c r="F176" s="150">
        <f t="shared" si="11"/>
        <v>0.21337630757937237</v>
      </c>
      <c r="G176" s="155"/>
    </row>
    <row r="177" spans="1:7" ht="15" customHeight="1" x14ac:dyDescent="0.2">
      <c r="A177" s="141">
        <v>8</v>
      </c>
      <c r="B177" s="161" t="s">
        <v>307</v>
      </c>
      <c r="C177" s="146">
        <v>0</v>
      </c>
      <c r="D177" s="146">
        <v>0</v>
      </c>
      <c r="E177" s="146">
        <f t="shared" si="10"/>
        <v>0</v>
      </c>
      <c r="F177" s="150">
        <f t="shared" si="11"/>
        <v>0</v>
      </c>
      <c r="G177" s="155"/>
    </row>
    <row r="178" spans="1:7" ht="15" customHeight="1" x14ac:dyDescent="0.2">
      <c r="A178" s="141">
        <v>9</v>
      </c>
      <c r="B178" s="161" t="s">
        <v>308</v>
      </c>
      <c r="C178" s="146">
        <v>0</v>
      </c>
      <c r="D178" s="146">
        <v>0</v>
      </c>
      <c r="E178" s="146">
        <f t="shared" si="10"/>
        <v>0</v>
      </c>
      <c r="F178" s="150">
        <f t="shared" si="11"/>
        <v>0</v>
      </c>
      <c r="G178" s="155"/>
    </row>
    <row r="179" spans="1:7" ht="15" customHeight="1" x14ac:dyDescent="0.2">
      <c r="A179" s="141">
        <v>10</v>
      </c>
      <c r="B179" s="161" t="s">
        <v>309</v>
      </c>
      <c r="C179" s="146">
        <v>0</v>
      </c>
      <c r="D179" s="146">
        <v>0</v>
      </c>
      <c r="E179" s="146">
        <f t="shared" si="10"/>
        <v>0</v>
      </c>
      <c r="F179" s="150">
        <f t="shared" si="11"/>
        <v>0</v>
      </c>
      <c r="G179" s="155"/>
    </row>
    <row r="180" spans="1:7" ht="15" customHeight="1" x14ac:dyDescent="0.2">
      <c r="A180" s="141">
        <v>11</v>
      </c>
      <c r="B180" s="161" t="s">
        <v>310</v>
      </c>
      <c r="C180" s="146">
        <v>0</v>
      </c>
      <c r="D180" s="146">
        <v>0</v>
      </c>
      <c r="E180" s="146">
        <f t="shared" si="10"/>
        <v>0</v>
      </c>
      <c r="F180" s="150">
        <f t="shared" si="11"/>
        <v>0</v>
      </c>
      <c r="G180" s="155"/>
    </row>
    <row r="181" spans="1:7" ht="15" customHeight="1" x14ac:dyDescent="0.2">
      <c r="A181" s="141">
        <v>12</v>
      </c>
      <c r="B181" s="161" t="s">
        <v>311</v>
      </c>
      <c r="C181" s="146">
        <v>0</v>
      </c>
      <c r="D181" s="146">
        <v>0</v>
      </c>
      <c r="E181" s="146">
        <f t="shared" si="10"/>
        <v>0</v>
      </c>
      <c r="F181" s="150">
        <f t="shared" si="11"/>
        <v>0</v>
      </c>
      <c r="G181" s="155"/>
    </row>
    <row r="182" spans="1:7" ht="15" customHeight="1" x14ac:dyDescent="0.2">
      <c r="A182" s="141">
        <v>13</v>
      </c>
      <c r="B182" s="161" t="s">
        <v>312</v>
      </c>
      <c r="C182" s="146">
        <v>0</v>
      </c>
      <c r="D182" s="146">
        <v>567703</v>
      </c>
      <c r="E182" s="146">
        <f t="shared" si="10"/>
        <v>567703</v>
      </c>
      <c r="F182" s="150">
        <f t="shared" si="11"/>
        <v>0</v>
      </c>
      <c r="G182" s="155"/>
    </row>
    <row r="183" spans="1:7" ht="15.75" customHeight="1" x14ac:dyDescent="0.25">
      <c r="A183" s="141"/>
      <c r="B183" s="154" t="s">
        <v>313</v>
      </c>
      <c r="C183" s="147">
        <f>SUM(C170:C182)</f>
        <v>5859757</v>
      </c>
      <c r="D183" s="147">
        <f>SUM(D170:D182)</f>
        <v>6330061</v>
      </c>
      <c r="E183" s="147">
        <f t="shared" si="10"/>
        <v>470304</v>
      </c>
      <c r="F183" s="148">
        <f t="shared" si="11"/>
        <v>8.0259983477130536E-2</v>
      </c>
      <c r="G183" s="155"/>
    </row>
    <row r="184" spans="1:7" ht="15.75" customHeight="1" x14ac:dyDescent="0.25">
      <c r="A184" s="141"/>
      <c r="B184" s="162"/>
      <c r="C184" s="146"/>
      <c r="D184" s="146"/>
      <c r="E184" s="147"/>
      <c r="F184" s="160"/>
      <c r="G184" s="155"/>
    </row>
    <row r="185" spans="1:7" ht="15.75" customHeight="1" x14ac:dyDescent="0.25">
      <c r="A185" s="144" t="s">
        <v>176</v>
      </c>
      <c r="B185" s="145" t="s">
        <v>314</v>
      </c>
      <c r="C185" s="146"/>
      <c r="D185" s="146"/>
      <c r="E185" s="147"/>
      <c r="F185" s="160"/>
      <c r="G185" s="155"/>
    </row>
    <row r="186" spans="1:7" ht="15" customHeight="1" x14ac:dyDescent="0.2">
      <c r="A186" s="141">
        <v>1</v>
      </c>
      <c r="B186" s="161" t="s">
        <v>315</v>
      </c>
      <c r="C186" s="146">
        <v>0</v>
      </c>
      <c r="D186" s="146">
        <v>0</v>
      </c>
      <c r="E186" s="146">
        <f>D186-C186</f>
        <v>0</v>
      </c>
      <c r="F186" s="150">
        <f>IF(C186=0,0,E186/C186)</f>
        <v>0</v>
      </c>
      <c r="G186" s="155"/>
    </row>
    <row r="187" spans="1:7" ht="15.75" customHeight="1" x14ac:dyDescent="0.25">
      <c r="A187" s="141"/>
      <c r="B187" s="162"/>
      <c r="C187" s="146"/>
      <c r="D187" s="146"/>
      <c r="E187" s="147"/>
      <c r="F187" s="160"/>
      <c r="G187" s="155"/>
    </row>
    <row r="188" spans="1:7" ht="15.75" customHeight="1" x14ac:dyDescent="0.25">
      <c r="A188" s="153"/>
      <c r="B188" s="154" t="s">
        <v>316</v>
      </c>
      <c r="C188" s="147">
        <f>+C186+C183+C167+C130+C121</f>
        <v>53061849</v>
      </c>
      <c r="D188" s="147">
        <f>+D186+D183+D167+D130+D121</f>
        <v>51745114</v>
      </c>
      <c r="E188" s="147">
        <f>D188-C188</f>
        <v>-1316735</v>
      </c>
      <c r="F188" s="148">
        <f>IF(C188=0,0,E188/C188)</f>
        <v>-2.4815098320452422E-2</v>
      </c>
      <c r="G188" s="155"/>
    </row>
    <row r="189" spans="1:7" ht="15.75" customHeight="1" x14ac:dyDescent="0.25">
      <c r="A189" s="153"/>
      <c r="B189" s="162"/>
      <c r="C189" s="146"/>
      <c r="D189" s="146"/>
      <c r="E189" s="147"/>
      <c r="F189" s="148"/>
      <c r="G189" s="155"/>
    </row>
    <row r="190" spans="1:7" ht="15.75" customHeight="1" x14ac:dyDescent="0.25">
      <c r="A190" s="153"/>
      <c r="B190" s="157" t="s">
        <v>317</v>
      </c>
      <c r="C190" s="146"/>
      <c r="D190" s="146"/>
      <c r="E190" s="147"/>
      <c r="F190" s="148"/>
      <c r="G190" s="155"/>
    </row>
    <row r="191" spans="1:7" ht="15" customHeight="1" x14ac:dyDescent="0.2">
      <c r="A191" s="153"/>
      <c r="B191" s="162"/>
      <c r="C191" s="163"/>
      <c r="D191" s="163"/>
      <c r="E191" s="163"/>
      <c r="F191" s="163"/>
      <c r="G191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FILING&amp;RESSENT-SHARON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318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319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320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50495530</v>
      </c>
      <c r="D11" s="164">
        <v>55537559</v>
      </c>
      <c r="E11" s="51">
        <v>54558825</v>
      </c>
      <c r="F11" s="13"/>
    </row>
    <row r="12" spans="1:6" ht="24" customHeight="1" x14ac:dyDescent="0.25">
      <c r="A12" s="44">
        <v>2</v>
      </c>
      <c r="B12" s="165" t="s">
        <v>321</v>
      </c>
      <c r="C12" s="49">
        <v>530398</v>
      </c>
      <c r="D12" s="49">
        <v>457560</v>
      </c>
      <c r="E12" s="49">
        <v>453530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51025928</v>
      </c>
      <c r="D13" s="51">
        <f>+D11+D12</f>
        <v>55995119</v>
      </c>
      <c r="E13" s="51">
        <f>+E11+E12</f>
        <v>55012355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48108598</v>
      </c>
      <c r="D14" s="49">
        <v>53061849</v>
      </c>
      <c r="E14" s="49">
        <v>51745114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2917330</v>
      </c>
      <c r="D15" s="51">
        <f>+D13-D14</f>
        <v>2933270</v>
      </c>
      <c r="E15" s="51">
        <f>+E13-E14</f>
        <v>3267241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0</v>
      </c>
      <c r="D16" s="49">
        <v>0</v>
      </c>
      <c r="E16" s="49">
        <v>0</v>
      </c>
      <c r="F16" s="13"/>
    </row>
    <row r="17" spans="1:6" ht="24" customHeight="1" x14ac:dyDescent="0.25">
      <c r="A17" s="44">
        <v>7</v>
      </c>
      <c r="B17" s="45" t="s">
        <v>322</v>
      </c>
      <c r="C17" s="51">
        <f>C15+C16</f>
        <v>2917330</v>
      </c>
      <c r="D17" s="51">
        <f>D15+D16</f>
        <v>2933270</v>
      </c>
      <c r="E17" s="51">
        <f>E15+E16</f>
        <v>3267241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323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324</v>
      </c>
      <c r="C20" s="169">
        <f>IF(+C27=0,0,+C24/+C27)</f>
        <v>5.7173482469539801E-2</v>
      </c>
      <c r="D20" s="169">
        <f>IF(+D27=0,0,+D24/+D27)</f>
        <v>5.2384387289184972E-2</v>
      </c>
      <c r="E20" s="169">
        <f>IF(+E27=0,0,+E24/+E27)</f>
        <v>5.9391040430826859E-2</v>
      </c>
      <c r="F20" s="13"/>
    </row>
    <row r="21" spans="1:6" ht="24" customHeight="1" x14ac:dyDescent="0.25">
      <c r="A21" s="25">
        <v>2</v>
      </c>
      <c r="B21" s="48" t="s">
        <v>325</v>
      </c>
      <c r="C21" s="169">
        <f>IF(C27=0,0,+C26/C27)</f>
        <v>0</v>
      </c>
      <c r="D21" s="169">
        <f>IF(D27=0,0,+D26/D27)</f>
        <v>0</v>
      </c>
      <c r="E21" s="169">
        <f>IF(E27=0,0,+E26/E27)</f>
        <v>0</v>
      </c>
      <c r="F21" s="13"/>
    </row>
    <row r="22" spans="1:6" ht="24" customHeight="1" x14ac:dyDescent="0.25">
      <c r="A22" s="25">
        <v>3</v>
      </c>
      <c r="B22" s="48" t="s">
        <v>326</v>
      </c>
      <c r="C22" s="169">
        <f>IF(C27=0,0,+C28/C27)</f>
        <v>5.7173482469539801E-2</v>
      </c>
      <c r="D22" s="169">
        <f>IF(D27=0,0,+D28/D27)</f>
        <v>5.2384387289184972E-2</v>
      </c>
      <c r="E22" s="169">
        <f>IF(E27=0,0,+E28/E27)</f>
        <v>5.9391040430826859E-2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2917330</v>
      </c>
      <c r="D24" s="51">
        <f>+D15</f>
        <v>2933270</v>
      </c>
      <c r="E24" s="51">
        <f>+E15</f>
        <v>3267241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51025928</v>
      </c>
      <c r="D25" s="51">
        <f>+D13</f>
        <v>55995119</v>
      </c>
      <c r="E25" s="51">
        <f>+E13</f>
        <v>55012355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0</v>
      </c>
      <c r="D26" s="51">
        <f>+D16</f>
        <v>0</v>
      </c>
      <c r="E26" s="51">
        <f>+E16</f>
        <v>0</v>
      </c>
      <c r="F26" s="13"/>
    </row>
    <row r="27" spans="1:6" ht="24" customHeight="1" x14ac:dyDescent="0.25">
      <c r="A27" s="21">
        <v>7</v>
      </c>
      <c r="B27" s="48" t="s">
        <v>327</v>
      </c>
      <c r="C27" s="51">
        <f>+C25+C26</f>
        <v>51025928</v>
      </c>
      <c r="D27" s="51">
        <f>+D25+D26</f>
        <v>55995119</v>
      </c>
      <c r="E27" s="51">
        <f>+E25+E26</f>
        <v>55012355</v>
      </c>
      <c r="F27" s="13"/>
    </row>
    <row r="28" spans="1:6" ht="24" customHeight="1" x14ac:dyDescent="0.25">
      <c r="A28" s="21">
        <v>8</v>
      </c>
      <c r="B28" s="45" t="s">
        <v>322</v>
      </c>
      <c r="C28" s="51">
        <f>+C17</f>
        <v>2917330</v>
      </c>
      <c r="D28" s="51">
        <f>+D17</f>
        <v>2933270</v>
      </c>
      <c r="E28" s="51">
        <f>+E17</f>
        <v>3267241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328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329</v>
      </c>
      <c r="C31" s="51">
        <v>18267822</v>
      </c>
      <c r="D31" s="51">
        <v>21632914</v>
      </c>
      <c r="E31" s="51">
        <v>24878651</v>
      </c>
      <c r="F31" s="13"/>
    </row>
    <row r="32" spans="1:6" ht="24" customHeight="1" x14ac:dyDescent="0.25">
      <c r="A32" s="25">
        <v>2</v>
      </c>
      <c r="B32" s="48" t="s">
        <v>330</v>
      </c>
      <c r="C32" s="51">
        <v>18267822</v>
      </c>
      <c r="D32" s="51">
        <v>21632914</v>
      </c>
      <c r="E32" s="51">
        <v>24878651</v>
      </c>
      <c r="F32" s="13"/>
    </row>
    <row r="33" spans="1:6" ht="24" customHeight="1" x14ac:dyDescent="0.2">
      <c r="A33" s="25">
        <v>3</v>
      </c>
      <c r="B33" s="48" t="s">
        <v>331</v>
      </c>
      <c r="C33" s="51">
        <v>2814231</v>
      </c>
      <c r="D33" s="51">
        <f>+D32-C32</f>
        <v>3365092</v>
      </c>
      <c r="E33" s="51">
        <f>+E32-D32</f>
        <v>3245737</v>
      </c>
      <c r="F33" s="5"/>
    </row>
    <row r="34" spans="1:6" ht="24" customHeight="1" x14ac:dyDescent="0.2">
      <c r="A34" s="25">
        <v>4</v>
      </c>
      <c r="B34" s="48" t="s">
        <v>332</v>
      </c>
      <c r="C34" s="171">
        <v>1.1820999999999999</v>
      </c>
      <c r="D34" s="171">
        <f>IF(C32=0,0,+D33/C32)</f>
        <v>0.18420871409848422</v>
      </c>
      <c r="E34" s="171">
        <f>IF(D32=0,0,+E33/D32)</f>
        <v>0.15003697606341893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333</v>
      </c>
      <c r="B36" s="41" t="s">
        <v>334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335</v>
      </c>
      <c r="C38" s="172">
        <f>IF((C40+C41)=0,0,+C39/(C40+C41))</f>
        <v>0.39557024065736135</v>
      </c>
      <c r="D38" s="172">
        <f>IF((D40+D41)=0,0,+D39/(D40+D41))</f>
        <v>0.40753962745063926</v>
      </c>
      <c r="E38" s="172">
        <f>IF((E40+E41)=0,0,+E39/(E40+E41))</f>
        <v>0.37257444812373952</v>
      </c>
      <c r="F38" s="5"/>
    </row>
    <row r="39" spans="1:6" ht="24" customHeight="1" x14ac:dyDescent="0.2">
      <c r="A39" s="21">
        <v>2</v>
      </c>
      <c r="B39" s="48" t="s">
        <v>336</v>
      </c>
      <c r="C39" s="51">
        <v>48108598</v>
      </c>
      <c r="D39" s="51">
        <v>53061849</v>
      </c>
      <c r="E39" s="23">
        <v>51745114</v>
      </c>
      <c r="F39" s="5"/>
    </row>
    <row r="40" spans="1:6" ht="24" customHeight="1" x14ac:dyDescent="0.2">
      <c r="A40" s="21">
        <v>3</v>
      </c>
      <c r="B40" s="48" t="s">
        <v>337</v>
      </c>
      <c r="C40" s="51">
        <v>121087947</v>
      </c>
      <c r="D40" s="51">
        <v>129742905</v>
      </c>
      <c r="E40" s="23">
        <v>138431770</v>
      </c>
      <c r="F40" s="5"/>
    </row>
    <row r="41" spans="1:6" ht="24" customHeight="1" x14ac:dyDescent="0.2">
      <c r="A41" s="21">
        <v>4</v>
      </c>
      <c r="B41" s="48" t="s">
        <v>338</v>
      </c>
      <c r="C41" s="51">
        <v>530398</v>
      </c>
      <c r="D41" s="51">
        <v>457560</v>
      </c>
      <c r="E41" s="23">
        <v>453530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339</v>
      </c>
      <c r="C43" s="173">
        <f>IF(C38=0,0,IF((C46-C47)=0,0,((+C44-C45)/(C46-C47)/C38)))</f>
        <v>1.2565853352430021</v>
      </c>
      <c r="D43" s="173">
        <f>IF(D38=0,0,IF((D46-D47)=0,0,((+D44-D45)/(D46-D47)/D38)))</f>
        <v>1.193961017207319</v>
      </c>
      <c r="E43" s="173">
        <f>IF(E38=0,0,IF((E46-E47)=0,0,((+E44-E45)/(E46-E47)/E38)))</f>
        <v>1.2514620663480185</v>
      </c>
      <c r="F43" s="5"/>
    </row>
    <row r="44" spans="1:6" ht="24" customHeight="1" x14ac:dyDescent="0.2">
      <c r="A44" s="21">
        <v>6</v>
      </c>
      <c r="B44" s="48" t="s">
        <v>340</v>
      </c>
      <c r="C44" s="51">
        <v>24515877</v>
      </c>
      <c r="D44" s="51">
        <v>24075381</v>
      </c>
      <c r="E44" s="23">
        <v>23341797</v>
      </c>
      <c r="F44" s="5"/>
    </row>
    <row r="45" spans="1:6" ht="24" customHeight="1" x14ac:dyDescent="0.2">
      <c r="A45" s="21">
        <v>7</v>
      </c>
      <c r="B45" s="48" t="s">
        <v>341</v>
      </c>
      <c r="C45" s="51">
        <v>716609</v>
      </c>
      <c r="D45" s="51">
        <v>250966</v>
      </c>
      <c r="E45" s="23">
        <v>680119</v>
      </c>
      <c r="F45" s="5"/>
    </row>
    <row r="46" spans="1:6" ht="24" customHeight="1" x14ac:dyDescent="0.2">
      <c r="A46" s="21">
        <v>8</v>
      </c>
      <c r="B46" s="48" t="s">
        <v>342</v>
      </c>
      <c r="C46" s="51">
        <v>51276724</v>
      </c>
      <c r="D46" s="51">
        <v>52184837</v>
      </c>
      <c r="E46" s="23">
        <v>52514475</v>
      </c>
      <c r="F46" s="5"/>
    </row>
    <row r="47" spans="1:6" ht="24" customHeight="1" x14ac:dyDescent="0.2">
      <c r="A47" s="21">
        <v>9</v>
      </c>
      <c r="B47" s="48" t="s">
        <v>343</v>
      </c>
      <c r="C47" s="51">
        <v>3397401</v>
      </c>
      <c r="D47" s="51">
        <v>3222487</v>
      </c>
      <c r="E47" s="174">
        <v>3911673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344</v>
      </c>
      <c r="C49" s="175">
        <f>IF(C38=0,0,IF(C51=0,0,(C50/C51)/C38))</f>
        <v>0.8983617021635848</v>
      </c>
      <c r="D49" s="175">
        <f>IF(D38=0,0,IF(D51=0,0,(D50/D51)/D38))</f>
        <v>0.90593039710403156</v>
      </c>
      <c r="E49" s="175">
        <f>IF(E38=0,0,IF(E51=0,0,(E50/E51)/E38))</f>
        <v>0.92007966185749479</v>
      </c>
      <c r="F49" s="7"/>
    </row>
    <row r="50" spans="1:6" ht="24" customHeight="1" x14ac:dyDescent="0.25">
      <c r="A50" s="21">
        <v>11</v>
      </c>
      <c r="B50" s="48" t="s">
        <v>345</v>
      </c>
      <c r="C50" s="176">
        <v>21164872</v>
      </c>
      <c r="D50" s="176">
        <v>24162906</v>
      </c>
      <c r="E50" s="176">
        <v>24473538</v>
      </c>
      <c r="F50" s="11"/>
    </row>
    <row r="51" spans="1:6" ht="24" customHeight="1" x14ac:dyDescent="0.25">
      <c r="A51" s="21">
        <v>12</v>
      </c>
      <c r="B51" s="48" t="s">
        <v>346</v>
      </c>
      <c r="C51" s="176">
        <v>59558096</v>
      </c>
      <c r="D51" s="176">
        <v>65446208</v>
      </c>
      <c r="E51" s="176">
        <v>71393432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347</v>
      </c>
      <c r="C53" s="175">
        <f>IF(C38=0,0,IF(C55=0,0,(C54/C55)/C38))</f>
        <v>0.77395770368068428</v>
      </c>
      <c r="D53" s="175">
        <f>IF(D38=0,0,IF(D55=0,0,(D54/D55)/D38))</f>
        <v>0.66869853203115659</v>
      </c>
      <c r="E53" s="175">
        <f>IF(E38=0,0,IF(E55=0,0,(E54/E55)/E38))</f>
        <v>0.66661910607293262</v>
      </c>
      <c r="F53" s="13"/>
    </row>
    <row r="54" spans="1:6" ht="24" customHeight="1" x14ac:dyDescent="0.25">
      <c r="A54" s="21">
        <v>14</v>
      </c>
      <c r="B54" s="48" t="s">
        <v>348</v>
      </c>
      <c r="C54" s="176">
        <v>1480573</v>
      </c>
      <c r="D54" s="176">
        <v>1938129</v>
      </c>
      <c r="E54" s="176">
        <v>2002907</v>
      </c>
      <c r="F54" s="13"/>
    </row>
    <row r="55" spans="1:6" ht="24" customHeight="1" x14ac:dyDescent="0.25">
      <c r="A55" s="21">
        <v>15</v>
      </c>
      <c r="B55" s="48" t="s">
        <v>349</v>
      </c>
      <c r="C55" s="176">
        <v>4836030</v>
      </c>
      <c r="D55" s="176">
        <v>7111848</v>
      </c>
      <c r="E55" s="176">
        <v>8064361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350</v>
      </c>
      <c r="C57" s="53">
        <f>+C60*C38</f>
        <v>995024.5036138586</v>
      </c>
      <c r="D57" s="53">
        <f>+D60*D38</f>
        <v>1825630.4091733543</v>
      </c>
      <c r="E57" s="53">
        <f>+E60*E38</f>
        <v>1400677.2444454813</v>
      </c>
      <c r="F57" s="13"/>
    </row>
    <row r="58" spans="1:6" ht="24" customHeight="1" x14ac:dyDescent="0.25">
      <c r="A58" s="21">
        <v>17</v>
      </c>
      <c r="B58" s="48" t="s">
        <v>351</v>
      </c>
      <c r="C58" s="51">
        <v>767288</v>
      </c>
      <c r="D58" s="51">
        <v>942411</v>
      </c>
      <c r="E58" s="52">
        <v>760089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1748130</v>
      </c>
      <c r="D59" s="51">
        <v>3537228</v>
      </c>
      <c r="E59" s="52">
        <v>2999367</v>
      </c>
      <c r="F59" s="28"/>
    </row>
    <row r="60" spans="1:6" ht="24" customHeight="1" x14ac:dyDescent="0.25">
      <c r="A60" s="21">
        <v>19</v>
      </c>
      <c r="B60" s="48" t="s">
        <v>352</v>
      </c>
      <c r="C60" s="51">
        <v>2515418</v>
      </c>
      <c r="D60" s="51">
        <v>4479639</v>
      </c>
      <c r="E60" s="52">
        <v>3759456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353</v>
      </c>
      <c r="C62" s="178">
        <f>IF(C63=0,0,+C57/C63)</f>
        <v>2.0682882997626717E-2</v>
      </c>
      <c r="D62" s="178">
        <f>IF(D63=0,0,+D57/D63)</f>
        <v>3.4405706615563927E-2</v>
      </c>
      <c r="E62" s="178">
        <f>IF(E63=0,0,+E57/E63)</f>
        <v>2.7068782657343866E-2</v>
      </c>
      <c r="F62" s="13"/>
    </row>
    <row r="63" spans="1:6" ht="24" customHeight="1" x14ac:dyDescent="0.25">
      <c r="A63" s="21">
        <v>21</v>
      </c>
      <c r="B63" s="45" t="s">
        <v>336</v>
      </c>
      <c r="C63" s="176">
        <v>48108598</v>
      </c>
      <c r="D63" s="176">
        <v>53061849</v>
      </c>
      <c r="E63" s="176">
        <v>51745114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354</v>
      </c>
      <c r="B65" s="41" t="s">
        <v>355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356</v>
      </c>
      <c r="C67" s="179">
        <f>IF(C69=0,0,C68/C69)</f>
        <v>1.5090906873724148</v>
      </c>
      <c r="D67" s="179">
        <f>IF(D69=0,0,D68/D69)</f>
        <v>1.3738446402001705</v>
      </c>
      <c r="E67" s="179">
        <f>IF(E69=0,0,E68/E69)</f>
        <v>1.7801806406166703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9281368</v>
      </c>
      <c r="D68" s="180">
        <v>9594446</v>
      </c>
      <c r="E68" s="180">
        <v>9299993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6150305</v>
      </c>
      <c r="D69" s="180">
        <v>6983647</v>
      </c>
      <c r="E69" s="180">
        <v>5224185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357</v>
      </c>
      <c r="C71" s="181">
        <f>IF((C77/365)=0,0,+C74/(C77/365))</f>
        <v>0</v>
      </c>
      <c r="D71" s="181">
        <f>IF((D77/365)=0,0,+D74/(D77/365))</f>
        <v>0</v>
      </c>
      <c r="E71" s="181">
        <f>IF((E77/365)=0,0,+E74/(E77/365))</f>
        <v>0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0</v>
      </c>
      <c r="D72" s="182">
        <v>0</v>
      </c>
      <c r="E72" s="182">
        <v>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358</v>
      </c>
      <c r="C74" s="180">
        <f>+C72+C73</f>
        <v>0</v>
      </c>
      <c r="D74" s="180">
        <f>+D72+D73</f>
        <v>0</v>
      </c>
      <c r="E74" s="180">
        <f>+E72+E73</f>
        <v>0</v>
      </c>
      <c r="F74" s="28"/>
    </row>
    <row r="75" spans="1:6" ht="24" customHeight="1" x14ac:dyDescent="0.25">
      <c r="A75" s="21">
        <v>8</v>
      </c>
      <c r="B75" s="48" t="s">
        <v>336</v>
      </c>
      <c r="C75" s="180">
        <f>+C14</f>
        <v>48108598</v>
      </c>
      <c r="D75" s="180">
        <f>+D14</f>
        <v>53061849</v>
      </c>
      <c r="E75" s="180">
        <f>+E14</f>
        <v>51745114</v>
      </c>
      <c r="F75" s="28"/>
    </row>
    <row r="76" spans="1:6" ht="24" customHeight="1" x14ac:dyDescent="0.25">
      <c r="A76" s="21">
        <v>9</v>
      </c>
      <c r="B76" s="45" t="s">
        <v>359</v>
      </c>
      <c r="C76" s="180">
        <v>3147818</v>
      </c>
      <c r="D76" s="180">
        <v>3122389</v>
      </c>
      <c r="E76" s="180">
        <v>3051773</v>
      </c>
      <c r="F76" s="28"/>
    </row>
    <row r="77" spans="1:6" ht="24" customHeight="1" x14ac:dyDescent="0.25">
      <c r="A77" s="21">
        <v>10</v>
      </c>
      <c r="B77" s="45" t="s">
        <v>360</v>
      </c>
      <c r="C77" s="180">
        <f>+C75-C76</f>
        <v>44960780</v>
      </c>
      <c r="D77" s="180">
        <f>+D75-D76</f>
        <v>49939460</v>
      </c>
      <c r="E77" s="180">
        <f>+E75-E76</f>
        <v>48693341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361</v>
      </c>
      <c r="C79" s="179">
        <f>IF((C84/365)=0,0,+C83/(C84/365))</f>
        <v>40.170757688848894</v>
      </c>
      <c r="D79" s="179">
        <f>IF((D84/365)=0,0,+D83/(D84/365))</f>
        <v>42.282245155931328</v>
      </c>
      <c r="E79" s="179">
        <f>IF((E84/365)=0,0,+E83/(E84/365))</f>
        <v>46.342022853314745</v>
      </c>
      <c r="F79" s="28"/>
    </row>
    <row r="80" spans="1:6" ht="24" customHeight="1" x14ac:dyDescent="0.25">
      <c r="A80" s="21">
        <v>12</v>
      </c>
      <c r="B80" s="188" t="s">
        <v>362</v>
      </c>
      <c r="C80" s="189">
        <v>5879926</v>
      </c>
      <c r="D80" s="189">
        <v>6874918</v>
      </c>
      <c r="E80" s="189">
        <v>6927031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322546</v>
      </c>
      <c r="D82" s="190">
        <v>441349</v>
      </c>
      <c r="E82" s="190">
        <v>0</v>
      </c>
      <c r="F82" s="28"/>
    </row>
    <row r="83" spans="1:6" ht="33.950000000000003" customHeight="1" x14ac:dyDescent="0.25">
      <c r="A83" s="21">
        <v>15</v>
      </c>
      <c r="B83" s="45" t="s">
        <v>363</v>
      </c>
      <c r="C83" s="191">
        <f>+C80+C81-C82</f>
        <v>5557380</v>
      </c>
      <c r="D83" s="191">
        <f>+D80+D81-D82</f>
        <v>6433569</v>
      </c>
      <c r="E83" s="191">
        <f>+E80+E81-E82</f>
        <v>6927031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50495530</v>
      </c>
      <c r="D84" s="191">
        <f>+D11</f>
        <v>55537559</v>
      </c>
      <c r="E84" s="191">
        <f>+E11</f>
        <v>54558825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364</v>
      </c>
      <c r="C86" s="179">
        <f>IF((C90/365)=0,0,+C87/(C90/365))</f>
        <v>49.929323401417861</v>
      </c>
      <c r="D86" s="179">
        <f>IF((D90/365)=0,0,+D87/(D90/365))</f>
        <v>51.042425268515117</v>
      </c>
      <c r="E86" s="179">
        <f>IF((E90/365)=0,0,+E87/(E90/365))</f>
        <v>39.159923838456677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6150305</v>
      </c>
      <c r="D87" s="51">
        <f>+D69</f>
        <v>6983647</v>
      </c>
      <c r="E87" s="51">
        <f>+E69</f>
        <v>5224185</v>
      </c>
      <c r="F87" s="28"/>
    </row>
    <row r="88" spans="1:6" ht="24" customHeight="1" x14ac:dyDescent="0.25">
      <c r="A88" s="21">
        <v>19</v>
      </c>
      <c r="B88" s="48" t="s">
        <v>336</v>
      </c>
      <c r="C88" s="51">
        <f t="shared" ref="C88:E89" si="0">+C75</f>
        <v>48108598</v>
      </c>
      <c r="D88" s="51">
        <f t="shared" si="0"/>
        <v>53061849</v>
      </c>
      <c r="E88" s="51">
        <f t="shared" si="0"/>
        <v>51745114</v>
      </c>
      <c r="F88" s="28"/>
    </row>
    <row r="89" spans="1:6" ht="24" customHeight="1" x14ac:dyDescent="0.25">
      <c r="A89" s="21">
        <v>20</v>
      </c>
      <c r="B89" s="48" t="s">
        <v>359</v>
      </c>
      <c r="C89" s="52">
        <f t="shared" si="0"/>
        <v>3147818</v>
      </c>
      <c r="D89" s="52">
        <f t="shared" si="0"/>
        <v>3122389</v>
      </c>
      <c r="E89" s="52">
        <f t="shared" si="0"/>
        <v>3051773</v>
      </c>
      <c r="F89" s="28"/>
    </row>
    <row r="90" spans="1:6" ht="24" customHeight="1" x14ac:dyDescent="0.25">
      <c r="A90" s="21">
        <v>21</v>
      </c>
      <c r="B90" s="48" t="s">
        <v>365</v>
      </c>
      <c r="C90" s="51">
        <f>+C88-C89</f>
        <v>44960780</v>
      </c>
      <c r="D90" s="51">
        <f>+D88-D89</f>
        <v>49939460</v>
      </c>
      <c r="E90" s="51">
        <f>+E88-E89</f>
        <v>48693341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366</v>
      </c>
      <c r="B92" s="41" t="s">
        <v>367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368</v>
      </c>
      <c r="C94" s="192">
        <f>IF(C96=0,0,(C95/C96)*100)</f>
        <v>29.941527894276465</v>
      </c>
      <c r="D94" s="192">
        <f>IF(D96=0,0,(D95/D96)*100)</f>
        <v>33.57519062140765</v>
      </c>
      <c r="E94" s="192">
        <f>IF(E96=0,0,(E95/E96)*100)</f>
        <v>52.924117102660162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18267822</v>
      </c>
      <c r="D95" s="51">
        <f>+D32</f>
        <v>21632914</v>
      </c>
      <c r="E95" s="51">
        <f>+E32</f>
        <v>24878651</v>
      </c>
      <c r="F95" s="28"/>
    </row>
    <row r="96" spans="1:6" ht="24" customHeight="1" x14ac:dyDescent="0.25">
      <c r="A96" s="21">
        <v>3</v>
      </c>
      <c r="B96" s="48" t="s">
        <v>43</v>
      </c>
      <c r="C96" s="51">
        <v>61011656</v>
      </c>
      <c r="D96" s="51">
        <v>64431247</v>
      </c>
      <c r="E96" s="51">
        <v>47008155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369</v>
      </c>
      <c r="C98" s="192">
        <f>IF(C104=0,0,(C101/C104)*100)</f>
        <v>15.224603865599523</v>
      </c>
      <c r="D98" s="192">
        <f>IF(D104=0,0,(D101/D104)*100)</f>
        <v>15.018568296184631</v>
      </c>
      <c r="E98" s="192">
        <f>IF(E104=0,0,(E101/E104)*100)</f>
        <v>31.402971741264341</v>
      </c>
      <c r="F98" s="28"/>
    </row>
    <row r="99" spans="1:6" ht="24" customHeight="1" x14ac:dyDescent="0.25">
      <c r="A99" s="21">
        <v>5</v>
      </c>
      <c r="B99" s="48" t="s">
        <v>370</v>
      </c>
      <c r="C99" s="51">
        <f>+C28</f>
        <v>2917330</v>
      </c>
      <c r="D99" s="51">
        <f>+D28</f>
        <v>2933270</v>
      </c>
      <c r="E99" s="51">
        <f>+E28</f>
        <v>3267241</v>
      </c>
      <c r="F99" s="28"/>
    </row>
    <row r="100" spans="1:6" ht="24" customHeight="1" x14ac:dyDescent="0.25">
      <c r="A100" s="21">
        <v>6</v>
      </c>
      <c r="B100" s="48" t="s">
        <v>359</v>
      </c>
      <c r="C100" s="52">
        <f>+C76</f>
        <v>3147818</v>
      </c>
      <c r="D100" s="52">
        <f>+D76</f>
        <v>3122389</v>
      </c>
      <c r="E100" s="52">
        <f>+E76</f>
        <v>3051773</v>
      </c>
      <c r="F100" s="28"/>
    </row>
    <row r="101" spans="1:6" ht="24" customHeight="1" x14ac:dyDescent="0.25">
      <c r="A101" s="21">
        <v>7</v>
      </c>
      <c r="B101" s="48" t="s">
        <v>371</v>
      </c>
      <c r="C101" s="51">
        <f>+C99+C100</f>
        <v>6065148</v>
      </c>
      <c r="D101" s="51">
        <f>+D99+D100</f>
        <v>6055659</v>
      </c>
      <c r="E101" s="51">
        <f>+E99+E100</f>
        <v>6319014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6150305</v>
      </c>
      <c r="D102" s="180">
        <f>+D69</f>
        <v>6983647</v>
      </c>
      <c r="E102" s="180">
        <f>+E69</f>
        <v>5224185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33687500</v>
      </c>
      <c r="D103" s="194">
        <v>33337500</v>
      </c>
      <c r="E103" s="194">
        <v>14898159</v>
      </c>
      <c r="F103" s="28"/>
    </row>
    <row r="104" spans="1:6" ht="24" customHeight="1" x14ac:dyDescent="0.25">
      <c r="A104" s="21">
        <v>10</v>
      </c>
      <c r="B104" s="195" t="s">
        <v>372</v>
      </c>
      <c r="C104" s="180">
        <f>+C102+C103</f>
        <v>39837805</v>
      </c>
      <c r="D104" s="180">
        <f>+D102+D103</f>
        <v>40321147</v>
      </c>
      <c r="E104" s="180">
        <f>+E102+E103</f>
        <v>20122344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373</v>
      </c>
      <c r="C106" s="197">
        <f>IF(C109=0,0,(C107/C109)*100)</f>
        <v>64.839363328361244</v>
      </c>
      <c r="D106" s="197">
        <f>IF(D109=0,0,(D107/D109)*100)</f>
        <v>60.646259640685983</v>
      </c>
      <c r="E106" s="197">
        <f>IF(E109=0,0,(E107/E109)*100)</f>
        <v>37.454383596874663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33687500</v>
      </c>
      <c r="D107" s="180">
        <f>+D103</f>
        <v>33337500</v>
      </c>
      <c r="E107" s="180">
        <f>+E103</f>
        <v>14898159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18267822</v>
      </c>
      <c r="D108" s="180">
        <f>+D32</f>
        <v>21632914</v>
      </c>
      <c r="E108" s="180">
        <f>+E32</f>
        <v>24878651</v>
      </c>
      <c r="F108" s="28"/>
    </row>
    <row r="109" spans="1:6" ht="24" customHeight="1" x14ac:dyDescent="0.25">
      <c r="A109" s="17">
        <v>14</v>
      </c>
      <c r="B109" s="48" t="s">
        <v>374</v>
      </c>
      <c r="C109" s="180">
        <f>+C107+C108</f>
        <v>51955322</v>
      </c>
      <c r="D109" s="180">
        <f>+D107+D108</f>
        <v>54970414</v>
      </c>
      <c r="E109" s="180">
        <f>+E107+E108</f>
        <v>39776810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375</v>
      </c>
      <c r="C111" s="197">
        <f>IF((+C113+C115)=0,0,((+C112+C113+C114)/(+C113+C115)))</f>
        <v>3.8877758032381662</v>
      </c>
      <c r="D111" s="197">
        <f>IF((+D113+D115)=0,0,((+D112+D113+D114)/(+D113+D115)))</f>
        <v>3.8325062675304689</v>
      </c>
      <c r="E111" s="197">
        <f>IF((+E113+E115)=0,0,((+E112+E113+E114)/(+E113+E115)))</f>
        <v>0.19085183299050298</v>
      </c>
    </row>
    <row r="112" spans="1:6" ht="24" customHeight="1" x14ac:dyDescent="0.25">
      <c r="A112" s="17">
        <v>16</v>
      </c>
      <c r="B112" s="48" t="s">
        <v>376</v>
      </c>
      <c r="C112" s="180">
        <f>+C17</f>
        <v>2917330</v>
      </c>
      <c r="D112" s="180">
        <f>+D17</f>
        <v>2933270</v>
      </c>
      <c r="E112" s="180">
        <f>+E17</f>
        <v>3267241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1629083</v>
      </c>
      <c r="D113" s="180">
        <v>1664350</v>
      </c>
      <c r="E113" s="180">
        <v>136325</v>
      </c>
      <c r="F113" s="28"/>
    </row>
    <row r="114" spans="1:8" ht="24" customHeight="1" x14ac:dyDescent="0.25">
      <c r="A114" s="17">
        <v>18</v>
      </c>
      <c r="B114" s="48" t="s">
        <v>377</v>
      </c>
      <c r="C114" s="180">
        <v>3147818</v>
      </c>
      <c r="D114" s="180">
        <v>3122389</v>
      </c>
      <c r="E114" s="180">
        <v>3051773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350000</v>
      </c>
      <c r="D115" s="180">
        <v>350000</v>
      </c>
      <c r="E115" s="180">
        <v>33687500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378</v>
      </c>
      <c r="B117" s="30" t="s">
        <v>379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380</v>
      </c>
      <c r="C119" s="197">
        <f>IF(+C121=0,0,(+C120)/(+C121))</f>
        <v>6.1737581397653871</v>
      </c>
      <c r="D119" s="197">
        <f>IF(+D121=0,0,(+D120)/(+D121))</f>
        <v>7.1916369164764546</v>
      </c>
      <c r="E119" s="197">
        <f>IF(+E121=0,0,(+E120)/(+E121))</f>
        <v>8.5329213542422711</v>
      </c>
    </row>
    <row r="120" spans="1:8" ht="24" customHeight="1" x14ac:dyDescent="0.25">
      <c r="A120" s="17">
        <v>21</v>
      </c>
      <c r="B120" s="48" t="s">
        <v>381</v>
      </c>
      <c r="C120" s="180">
        <v>19433867</v>
      </c>
      <c r="D120" s="180">
        <v>22455088</v>
      </c>
      <c r="E120" s="180">
        <v>26040539</v>
      </c>
      <c r="F120" s="28"/>
    </row>
    <row r="121" spans="1:8" ht="24" customHeight="1" x14ac:dyDescent="0.25">
      <c r="A121" s="17">
        <v>22</v>
      </c>
      <c r="B121" s="48" t="s">
        <v>377</v>
      </c>
      <c r="C121" s="180">
        <v>3147818</v>
      </c>
      <c r="D121" s="180">
        <v>3122389</v>
      </c>
      <c r="E121" s="180">
        <v>3051773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382</v>
      </c>
      <c r="B123" s="30" t="s">
        <v>383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384</v>
      </c>
      <c r="C124" s="198">
        <v>11622</v>
      </c>
      <c r="D124" s="198">
        <v>12355</v>
      </c>
      <c r="E124" s="198">
        <v>11914</v>
      </c>
    </row>
    <row r="125" spans="1:8" ht="24" customHeight="1" x14ac:dyDescent="0.2">
      <c r="A125" s="44">
        <v>2</v>
      </c>
      <c r="B125" s="48" t="s">
        <v>385</v>
      </c>
      <c r="C125" s="198">
        <v>2681</v>
      </c>
      <c r="D125" s="198">
        <v>2703</v>
      </c>
      <c r="E125" s="198">
        <v>2685</v>
      </c>
    </row>
    <row r="126" spans="1:8" ht="24" customHeight="1" x14ac:dyDescent="0.2">
      <c r="A126" s="44">
        <v>3</v>
      </c>
      <c r="B126" s="48" t="s">
        <v>386</v>
      </c>
      <c r="C126" s="199">
        <f>IF(C125=0,0,C124/C125)</f>
        <v>4.3349496456546062</v>
      </c>
      <c r="D126" s="199">
        <f>IF(D125=0,0,D124/D125)</f>
        <v>4.570847206807251</v>
      </c>
      <c r="E126" s="199">
        <f>IF(E125=0,0,E124/E125)</f>
        <v>4.4372439478584731</v>
      </c>
    </row>
    <row r="127" spans="1:8" ht="24" customHeight="1" x14ac:dyDescent="0.2">
      <c r="A127" s="44">
        <v>4</v>
      </c>
      <c r="B127" s="48" t="s">
        <v>387</v>
      </c>
      <c r="C127" s="198">
        <v>47</v>
      </c>
      <c r="D127" s="198">
        <v>49</v>
      </c>
      <c r="E127" s="198">
        <v>49</v>
      </c>
    </row>
    <row r="128" spans="1:8" ht="24" customHeight="1" x14ac:dyDescent="0.2">
      <c r="A128" s="44">
        <v>5</v>
      </c>
      <c r="B128" s="48" t="s">
        <v>388</v>
      </c>
      <c r="C128" s="198">
        <v>0</v>
      </c>
      <c r="D128" s="198">
        <v>94</v>
      </c>
      <c r="E128" s="198">
        <v>94</v>
      </c>
      <c r="G128" s="6"/>
      <c r="H128" s="12"/>
    </row>
    <row r="129" spans="1:8" ht="24" customHeight="1" x14ac:dyDescent="0.2">
      <c r="A129" s="44">
        <v>6</v>
      </c>
      <c r="B129" s="48" t="s">
        <v>389</v>
      </c>
      <c r="C129" s="198">
        <v>94</v>
      </c>
      <c r="D129" s="198">
        <v>94</v>
      </c>
      <c r="E129" s="198">
        <v>94</v>
      </c>
      <c r="G129" s="6"/>
      <c r="H129" s="12"/>
    </row>
    <row r="130" spans="1:8" ht="24" customHeight="1" x14ac:dyDescent="0.2">
      <c r="A130" s="44">
        <v>6</v>
      </c>
      <c r="B130" s="48" t="s">
        <v>390</v>
      </c>
      <c r="C130" s="171">
        <v>0.6774</v>
      </c>
      <c r="D130" s="171">
        <v>0.69079999999999997</v>
      </c>
      <c r="E130" s="171">
        <v>0.66610000000000003</v>
      </c>
    </row>
    <row r="131" spans="1:8" ht="24" customHeight="1" x14ac:dyDescent="0.2">
      <c r="A131" s="44">
        <v>7</v>
      </c>
      <c r="B131" s="48" t="s">
        <v>391</v>
      </c>
      <c r="C131" s="171">
        <v>0.3387</v>
      </c>
      <c r="D131" s="171">
        <v>0.36</v>
      </c>
      <c r="E131" s="171">
        <v>0.34720000000000001</v>
      </c>
    </row>
    <row r="132" spans="1:8" ht="24" customHeight="1" x14ac:dyDescent="0.2">
      <c r="A132" s="44">
        <v>8</v>
      </c>
      <c r="B132" s="48" t="s">
        <v>392</v>
      </c>
      <c r="C132" s="199">
        <v>256.3</v>
      </c>
      <c r="D132" s="199">
        <v>271.5</v>
      </c>
      <c r="E132" s="199">
        <v>255.6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393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394</v>
      </c>
      <c r="C135" s="203">
        <f>IF(C149=0,0,C143/C149)</f>
        <v>0.3954094869574426</v>
      </c>
      <c r="D135" s="203">
        <f>IF(D149=0,0,D143/D149)</f>
        <v>0.37737978812791345</v>
      </c>
      <c r="E135" s="203">
        <f>IF(E149=0,0,E143/E149)</f>
        <v>0.3510957202959985</v>
      </c>
      <c r="G135" s="6"/>
    </row>
    <row r="136" spans="1:8" ht="20.100000000000001" customHeight="1" x14ac:dyDescent="0.2">
      <c r="A136" s="202">
        <v>2</v>
      </c>
      <c r="B136" s="195" t="s">
        <v>395</v>
      </c>
      <c r="C136" s="203">
        <f>IF(C149=0,0,C144/C149)</f>
        <v>0.49185816983089159</v>
      </c>
      <c r="D136" s="203">
        <f>IF(D149=0,0,D144/D149)</f>
        <v>0.50442995707549476</v>
      </c>
      <c r="E136" s="203">
        <f>IF(E149=0,0,E144/E149)</f>
        <v>0.5157301102196411</v>
      </c>
    </row>
    <row r="137" spans="1:8" ht="20.100000000000001" customHeight="1" x14ac:dyDescent="0.2">
      <c r="A137" s="202">
        <v>3</v>
      </c>
      <c r="B137" s="195" t="s">
        <v>396</v>
      </c>
      <c r="C137" s="203">
        <f>IF(C149=0,0,C145/C149)</f>
        <v>3.9938161640481029E-2</v>
      </c>
      <c r="D137" s="203">
        <f>IF(D149=0,0,D145/D149)</f>
        <v>5.4814928030168589E-2</v>
      </c>
      <c r="E137" s="203">
        <f>IF(E149=0,0,E145/E149)</f>
        <v>5.8255131751909259E-2</v>
      </c>
      <c r="G137" s="6"/>
    </row>
    <row r="138" spans="1:8" ht="20.100000000000001" customHeight="1" x14ac:dyDescent="0.2">
      <c r="A138" s="202">
        <v>4</v>
      </c>
      <c r="B138" s="195" t="s">
        <v>397</v>
      </c>
      <c r="C138" s="203">
        <f>IF(C149=0,0,C146/C149)</f>
        <v>4.3785703956150154E-2</v>
      </c>
      <c r="D138" s="203">
        <f>IF(D149=0,0,D146/D149)</f>
        <v>3.6918681603437198E-2</v>
      </c>
      <c r="E138" s="203">
        <f>IF(E149=0,0,E146/E149)</f>
        <v>4.4035881358737233E-2</v>
      </c>
      <c r="G138" s="6"/>
    </row>
    <row r="139" spans="1:8" ht="20.100000000000001" customHeight="1" x14ac:dyDescent="0.2">
      <c r="A139" s="202">
        <v>5</v>
      </c>
      <c r="B139" s="195" t="s">
        <v>398</v>
      </c>
      <c r="C139" s="203">
        <f>IF(C149=0,0,C147/C149)</f>
        <v>2.8057301194478093E-2</v>
      </c>
      <c r="D139" s="203">
        <f>IF(D149=0,0,D147/D149)</f>
        <v>2.4837481479237727E-2</v>
      </c>
      <c r="E139" s="203">
        <f>IF(E149=0,0,E147/E149)</f>
        <v>2.8257046774739641E-2</v>
      </c>
    </row>
    <row r="140" spans="1:8" ht="20.100000000000001" customHeight="1" x14ac:dyDescent="0.2">
      <c r="A140" s="202">
        <v>6</v>
      </c>
      <c r="B140" s="195" t="s">
        <v>399</v>
      </c>
      <c r="C140" s="203">
        <f>IF(C149=0,0,C148/C149)</f>
        <v>9.5117642055653976E-4</v>
      </c>
      <c r="D140" s="203">
        <f>IF(D149=0,0,D148/D149)</f>
        <v>1.6191636837482558E-3</v>
      </c>
      <c r="E140" s="203">
        <f>IF(E149=0,0,E148/E149)</f>
        <v>2.6261095989742818E-3</v>
      </c>
    </row>
    <row r="141" spans="1:8" ht="20.100000000000001" customHeight="1" x14ac:dyDescent="0.2">
      <c r="A141" s="202">
        <v>7</v>
      </c>
      <c r="B141" s="195" t="s">
        <v>400</v>
      </c>
      <c r="C141" s="203">
        <f>SUM(C135:C140)</f>
        <v>1</v>
      </c>
      <c r="D141" s="203">
        <f>SUM(D135:D140)</f>
        <v>1</v>
      </c>
      <c r="E141" s="203">
        <f>SUM(E135:E140)</f>
        <v>0.99999999999999989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401</v>
      </c>
      <c r="C143" s="204">
        <f>+C46-C147</f>
        <v>47879323</v>
      </c>
      <c r="D143" s="205">
        <f>+D46-D147</f>
        <v>48962350</v>
      </c>
      <c r="E143" s="205">
        <f>+E46-E147</f>
        <v>48602802</v>
      </c>
    </row>
    <row r="144" spans="1:8" ht="20.100000000000001" customHeight="1" x14ac:dyDescent="0.2">
      <c r="A144" s="202">
        <v>9</v>
      </c>
      <c r="B144" s="201" t="s">
        <v>402</v>
      </c>
      <c r="C144" s="206">
        <f>+C51</f>
        <v>59558096</v>
      </c>
      <c r="D144" s="205">
        <f>+D51</f>
        <v>65446208</v>
      </c>
      <c r="E144" s="205">
        <f>+E51</f>
        <v>71393432</v>
      </c>
    </row>
    <row r="145" spans="1:7" ht="20.100000000000001" customHeight="1" x14ac:dyDescent="0.2">
      <c r="A145" s="202">
        <v>10</v>
      </c>
      <c r="B145" s="201" t="s">
        <v>403</v>
      </c>
      <c r="C145" s="206">
        <f>+C55</f>
        <v>4836030</v>
      </c>
      <c r="D145" s="205">
        <f>+D55</f>
        <v>7111848</v>
      </c>
      <c r="E145" s="205">
        <f>+E55</f>
        <v>8064361</v>
      </c>
    </row>
    <row r="146" spans="1:7" ht="20.100000000000001" customHeight="1" x14ac:dyDescent="0.2">
      <c r="A146" s="202">
        <v>11</v>
      </c>
      <c r="B146" s="201" t="s">
        <v>404</v>
      </c>
      <c r="C146" s="204">
        <v>5301921</v>
      </c>
      <c r="D146" s="205">
        <v>4789937</v>
      </c>
      <c r="E146" s="205">
        <v>6095965</v>
      </c>
    </row>
    <row r="147" spans="1:7" ht="20.100000000000001" customHeight="1" x14ac:dyDescent="0.2">
      <c r="A147" s="202">
        <v>12</v>
      </c>
      <c r="B147" s="201" t="s">
        <v>405</v>
      </c>
      <c r="C147" s="206">
        <f>+C47</f>
        <v>3397401</v>
      </c>
      <c r="D147" s="205">
        <f>+D47</f>
        <v>3222487</v>
      </c>
      <c r="E147" s="205">
        <f>+E47</f>
        <v>3911673</v>
      </c>
    </row>
    <row r="148" spans="1:7" ht="20.100000000000001" customHeight="1" x14ac:dyDescent="0.2">
      <c r="A148" s="202">
        <v>13</v>
      </c>
      <c r="B148" s="201" t="s">
        <v>406</v>
      </c>
      <c r="C148" s="206">
        <v>115176</v>
      </c>
      <c r="D148" s="205">
        <v>210075</v>
      </c>
      <c r="E148" s="205">
        <v>363537</v>
      </c>
    </row>
    <row r="149" spans="1:7" ht="20.100000000000001" customHeight="1" x14ac:dyDescent="0.2">
      <c r="A149" s="202">
        <v>14</v>
      </c>
      <c r="B149" s="201" t="s">
        <v>407</v>
      </c>
      <c r="C149" s="204">
        <f>SUM(C143:C148)</f>
        <v>121087947</v>
      </c>
      <c r="D149" s="205">
        <f>SUM(D143:D148)</f>
        <v>129742905</v>
      </c>
      <c r="E149" s="205">
        <f>SUM(E143:E148)</f>
        <v>138431770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408</v>
      </c>
      <c r="B151" s="30" t="s">
        <v>409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410</v>
      </c>
      <c r="C152" s="203">
        <f>IF(C166=0,0,C160/C166)</f>
        <v>0.49074957064793451</v>
      </c>
      <c r="D152" s="203">
        <f>IF(D166=0,0,D160/D166)</f>
        <v>0.46358207309692551</v>
      </c>
      <c r="E152" s="203">
        <f>IF(E166=0,0,E160/E166)</f>
        <v>0.44173707004047191</v>
      </c>
    </row>
    <row r="153" spans="1:7" ht="20.100000000000001" customHeight="1" x14ac:dyDescent="0.2">
      <c r="A153" s="202">
        <v>2</v>
      </c>
      <c r="B153" s="195" t="s">
        <v>411</v>
      </c>
      <c r="C153" s="203">
        <f>IF(C166=0,0,C161/C166)</f>
        <v>0.43642736603573234</v>
      </c>
      <c r="D153" s="203">
        <f>IF(D166=0,0,D161/D166)</f>
        <v>0.47016852483161242</v>
      </c>
      <c r="E153" s="203">
        <f>IF(E166=0,0,E161/E166)</f>
        <v>0.47705509581612404</v>
      </c>
    </row>
    <row r="154" spans="1:7" ht="20.100000000000001" customHeight="1" x14ac:dyDescent="0.2">
      <c r="A154" s="202">
        <v>3</v>
      </c>
      <c r="B154" s="195" t="s">
        <v>412</v>
      </c>
      <c r="C154" s="203">
        <f>IF(C166=0,0,C162/C166)</f>
        <v>3.0529954285271478E-2</v>
      </c>
      <c r="D154" s="203">
        <f>IF(D166=0,0,D162/D166)</f>
        <v>3.7712651485850596E-2</v>
      </c>
      <c r="E154" s="203">
        <f>IF(E166=0,0,E162/E166)</f>
        <v>3.9042045771877594E-2</v>
      </c>
    </row>
    <row r="155" spans="1:7" ht="20.100000000000001" customHeight="1" x14ac:dyDescent="0.2">
      <c r="A155" s="202">
        <v>4</v>
      </c>
      <c r="B155" s="195" t="s">
        <v>413</v>
      </c>
      <c r="C155" s="203">
        <f>IF(C166=0,0,C163/C166)</f>
        <v>2.6048344979680591E-2</v>
      </c>
      <c r="D155" s="203">
        <f>IF(D166=0,0,D163/D166)</f>
        <v>2.154965292173525E-2</v>
      </c>
      <c r="E155" s="203">
        <f>IF(E166=0,0,E163/E166)</f>
        <v>2.4683574184364437E-2</v>
      </c>
      <c r="G155" s="6"/>
    </row>
    <row r="156" spans="1:7" ht="20.100000000000001" customHeight="1" x14ac:dyDescent="0.2">
      <c r="A156" s="202">
        <v>5</v>
      </c>
      <c r="B156" s="195" t="s">
        <v>414</v>
      </c>
      <c r="C156" s="203">
        <f>IF(C166=0,0,C164/C166)</f>
        <v>1.477673847247931E-2</v>
      </c>
      <c r="D156" s="203">
        <f>IF(D166=0,0,D164/D166)</f>
        <v>4.8833660157801568E-3</v>
      </c>
      <c r="E156" s="203">
        <f>IF(E166=0,0,E164/E166)</f>
        <v>1.3257349007379581E-2</v>
      </c>
    </row>
    <row r="157" spans="1:7" ht="20.100000000000001" customHeight="1" x14ac:dyDescent="0.2">
      <c r="A157" s="202">
        <v>6</v>
      </c>
      <c r="B157" s="195" t="s">
        <v>415</v>
      </c>
      <c r="C157" s="203">
        <f>IF(C166=0,0,C165/C166)</f>
        <v>1.4680255789017713E-3</v>
      </c>
      <c r="D157" s="203">
        <f>IF(D166=0,0,D165/D166)</f>
        <v>2.1037316480960436E-3</v>
      </c>
      <c r="E157" s="203">
        <f>IF(E166=0,0,E165/E166)</f>
        <v>4.2248651797824471E-3</v>
      </c>
    </row>
    <row r="158" spans="1:7" ht="20.100000000000001" customHeight="1" x14ac:dyDescent="0.2">
      <c r="A158" s="202">
        <v>7</v>
      </c>
      <c r="B158" s="195" t="s">
        <v>416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417</v>
      </c>
      <c r="C160" s="207">
        <f>+C44-C164</f>
        <v>23799268</v>
      </c>
      <c r="D160" s="208">
        <f>+D44-D164</f>
        <v>23824415</v>
      </c>
      <c r="E160" s="208">
        <f>+E44-E164</f>
        <v>22661678</v>
      </c>
    </row>
    <row r="161" spans="1:6" ht="20.100000000000001" customHeight="1" x14ac:dyDescent="0.2">
      <c r="A161" s="202">
        <v>9</v>
      </c>
      <c r="B161" s="201" t="s">
        <v>418</v>
      </c>
      <c r="C161" s="209">
        <f>+C50</f>
        <v>21164872</v>
      </c>
      <c r="D161" s="208">
        <f>+D50</f>
        <v>24162906</v>
      </c>
      <c r="E161" s="208">
        <f>+E50</f>
        <v>24473538</v>
      </c>
    </row>
    <row r="162" spans="1:6" ht="20.100000000000001" customHeight="1" x14ac:dyDescent="0.2">
      <c r="A162" s="202">
        <v>10</v>
      </c>
      <c r="B162" s="201" t="s">
        <v>419</v>
      </c>
      <c r="C162" s="209">
        <f>+C54</f>
        <v>1480573</v>
      </c>
      <c r="D162" s="208">
        <f>+D54</f>
        <v>1938129</v>
      </c>
      <c r="E162" s="208">
        <f>+E54</f>
        <v>2002907</v>
      </c>
    </row>
    <row r="163" spans="1:6" ht="20.100000000000001" customHeight="1" x14ac:dyDescent="0.2">
      <c r="A163" s="202">
        <v>11</v>
      </c>
      <c r="B163" s="201" t="s">
        <v>420</v>
      </c>
      <c r="C163" s="207">
        <v>1263234</v>
      </c>
      <c r="D163" s="208">
        <v>1107480</v>
      </c>
      <c r="E163" s="208">
        <v>1266299</v>
      </c>
    </row>
    <row r="164" spans="1:6" ht="20.100000000000001" customHeight="1" x14ac:dyDescent="0.2">
      <c r="A164" s="202">
        <v>12</v>
      </c>
      <c r="B164" s="201" t="s">
        <v>421</v>
      </c>
      <c r="C164" s="209">
        <f>+C45</f>
        <v>716609</v>
      </c>
      <c r="D164" s="208">
        <f>+D45</f>
        <v>250966</v>
      </c>
      <c r="E164" s="208">
        <f>+E45</f>
        <v>680119</v>
      </c>
    </row>
    <row r="165" spans="1:6" ht="20.100000000000001" customHeight="1" x14ac:dyDescent="0.2">
      <c r="A165" s="202">
        <v>13</v>
      </c>
      <c r="B165" s="201" t="s">
        <v>422</v>
      </c>
      <c r="C165" s="209">
        <v>71193</v>
      </c>
      <c r="D165" s="208">
        <v>108115</v>
      </c>
      <c r="E165" s="208">
        <v>216741</v>
      </c>
    </row>
    <row r="166" spans="1:6" ht="20.100000000000001" customHeight="1" x14ac:dyDescent="0.2">
      <c r="A166" s="202">
        <v>14</v>
      </c>
      <c r="B166" s="201" t="s">
        <v>423</v>
      </c>
      <c r="C166" s="207">
        <f>SUM(C160:C165)</f>
        <v>48495749</v>
      </c>
      <c r="D166" s="208">
        <f>SUM(D160:D165)</f>
        <v>51392011</v>
      </c>
      <c r="E166" s="208">
        <f>SUM(E160:E165)</f>
        <v>51301282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424</v>
      </c>
      <c r="B168" s="30" t="s">
        <v>385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425</v>
      </c>
      <c r="C169" s="198">
        <v>808</v>
      </c>
      <c r="D169" s="198">
        <v>794</v>
      </c>
      <c r="E169" s="198">
        <v>743</v>
      </c>
    </row>
    <row r="170" spans="1:6" ht="20.100000000000001" customHeight="1" x14ac:dyDescent="0.2">
      <c r="A170" s="202">
        <v>2</v>
      </c>
      <c r="B170" s="201" t="s">
        <v>426</v>
      </c>
      <c r="C170" s="198">
        <v>1479</v>
      </c>
      <c r="D170" s="198">
        <v>1530</v>
      </c>
      <c r="E170" s="198">
        <v>1554</v>
      </c>
    </row>
    <row r="171" spans="1:6" ht="20.100000000000001" customHeight="1" x14ac:dyDescent="0.2">
      <c r="A171" s="202">
        <v>3</v>
      </c>
      <c r="B171" s="201" t="s">
        <v>427</v>
      </c>
      <c r="C171" s="198">
        <v>387</v>
      </c>
      <c r="D171" s="198">
        <v>371</v>
      </c>
      <c r="E171" s="198">
        <v>377</v>
      </c>
    </row>
    <row r="172" spans="1:6" ht="20.100000000000001" customHeight="1" x14ac:dyDescent="0.2">
      <c r="A172" s="202">
        <v>4</v>
      </c>
      <c r="B172" s="201" t="s">
        <v>428</v>
      </c>
      <c r="C172" s="198">
        <v>217</v>
      </c>
      <c r="D172" s="198">
        <v>223</v>
      </c>
      <c r="E172" s="198">
        <v>194</v>
      </c>
    </row>
    <row r="173" spans="1:6" ht="20.100000000000001" customHeight="1" x14ac:dyDescent="0.2">
      <c r="A173" s="202">
        <v>5</v>
      </c>
      <c r="B173" s="201" t="s">
        <v>429</v>
      </c>
      <c r="C173" s="198">
        <v>170</v>
      </c>
      <c r="D173" s="198">
        <v>148</v>
      </c>
      <c r="E173" s="198">
        <v>183</v>
      </c>
    </row>
    <row r="174" spans="1:6" ht="20.100000000000001" customHeight="1" x14ac:dyDescent="0.2">
      <c r="A174" s="202">
        <v>6</v>
      </c>
      <c r="B174" s="201" t="s">
        <v>430</v>
      </c>
      <c r="C174" s="198">
        <v>7</v>
      </c>
      <c r="D174" s="198">
        <v>8</v>
      </c>
      <c r="E174" s="198">
        <v>11</v>
      </c>
    </row>
    <row r="175" spans="1:6" ht="20.100000000000001" customHeight="1" x14ac:dyDescent="0.2">
      <c r="A175" s="202">
        <v>7</v>
      </c>
      <c r="B175" s="201" t="s">
        <v>431</v>
      </c>
      <c r="C175" s="198">
        <v>65</v>
      </c>
      <c r="D175" s="198">
        <v>57</v>
      </c>
      <c r="E175" s="198">
        <v>73</v>
      </c>
    </row>
    <row r="176" spans="1:6" ht="20.100000000000001" customHeight="1" x14ac:dyDescent="0.2">
      <c r="A176" s="202">
        <v>8</v>
      </c>
      <c r="B176" s="201" t="s">
        <v>432</v>
      </c>
      <c r="C176" s="198">
        <f>+C169+C170+C171+C174</f>
        <v>2681</v>
      </c>
      <c r="D176" s="198">
        <f>+D169+D170+D171+D174</f>
        <v>2703</v>
      </c>
      <c r="E176" s="198">
        <f>+E169+E170+E171+E174</f>
        <v>2685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433</v>
      </c>
      <c r="B178" s="30" t="s">
        <v>434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425</v>
      </c>
      <c r="C179" s="210">
        <v>0.98860000000000003</v>
      </c>
      <c r="D179" s="210">
        <v>1.0126999999999999</v>
      </c>
      <c r="E179" s="210">
        <v>0.98760000000000003</v>
      </c>
    </row>
    <row r="180" spans="1:6" ht="20.100000000000001" customHeight="1" x14ac:dyDescent="0.2">
      <c r="A180" s="202">
        <v>2</v>
      </c>
      <c r="B180" s="201" t="s">
        <v>426</v>
      </c>
      <c r="C180" s="210">
        <v>1.1483000000000001</v>
      </c>
      <c r="D180" s="210">
        <v>1.2059</v>
      </c>
      <c r="E180" s="210">
        <v>1.1576</v>
      </c>
    </row>
    <row r="181" spans="1:6" ht="20.100000000000001" customHeight="1" x14ac:dyDescent="0.2">
      <c r="A181" s="202">
        <v>3</v>
      </c>
      <c r="B181" s="201" t="s">
        <v>427</v>
      </c>
      <c r="C181" s="210">
        <v>0.85926800000000003</v>
      </c>
      <c r="D181" s="210">
        <v>0.89058800000000005</v>
      </c>
      <c r="E181" s="210">
        <v>0.92894299999999996</v>
      </c>
    </row>
    <row r="182" spans="1:6" ht="20.100000000000001" customHeight="1" x14ac:dyDescent="0.2">
      <c r="A182" s="202">
        <v>4</v>
      </c>
      <c r="B182" s="201" t="s">
        <v>428</v>
      </c>
      <c r="C182" s="210">
        <v>0.85470000000000002</v>
      </c>
      <c r="D182" s="210">
        <v>0.84930000000000005</v>
      </c>
      <c r="E182" s="210">
        <v>0.94869999999999999</v>
      </c>
    </row>
    <row r="183" spans="1:6" ht="20.100000000000001" customHeight="1" x14ac:dyDescent="0.2">
      <c r="A183" s="202">
        <v>5</v>
      </c>
      <c r="B183" s="201" t="s">
        <v>429</v>
      </c>
      <c r="C183" s="210">
        <v>0.86509999999999998</v>
      </c>
      <c r="D183" s="210">
        <v>0.95279999999999998</v>
      </c>
      <c r="E183" s="210">
        <v>0.90800000000000003</v>
      </c>
    </row>
    <row r="184" spans="1:6" ht="20.100000000000001" customHeight="1" x14ac:dyDescent="0.2">
      <c r="A184" s="202">
        <v>6</v>
      </c>
      <c r="B184" s="201" t="s">
        <v>430</v>
      </c>
      <c r="C184" s="210">
        <v>0.68889999999999996</v>
      </c>
      <c r="D184" s="210">
        <v>0.66390000000000005</v>
      </c>
      <c r="E184" s="210">
        <v>0.77580000000000005</v>
      </c>
    </row>
    <row r="185" spans="1:6" ht="20.100000000000001" customHeight="1" x14ac:dyDescent="0.2">
      <c r="A185" s="202">
        <v>7</v>
      </c>
      <c r="B185" s="201" t="s">
        <v>431</v>
      </c>
      <c r="C185" s="210">
        <v>0.81330000000000002</v>
      </c>
      <c r="D185" s="210">
        <v>1.1084000000000001</v>
      </c>
      <c r="E185" s="210">
        <v>0.9919</v>
      </c>
    </row>
    <row r="186" spans="1:6" ht="20.100000000000001" customHeight="1" x14ac:dyDescent="0.2">
      <c r="A186" s="202">
        <v>8</v>
      </c>
      <c r="B186" s="201" t="s">
        <v>435</v>
      </c>
      <c r="C186" s="210">
        <v>1.057248</v>
      </c>
      <c r="D186" s="210">
        <v>1.1042650000000001</v>
      </c>
      <c r="E186" s="210">
        <v>1.0768869999999999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436</v>
      </c>
      <c r="B188" s="30" t="s">
        <v>437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438</v>
      </c>
      <c r="C189" s="198">
        <v>1597</v>
      </c>
      <c r="D189" s="198">
        <v>1720</v>
      </c>
      <c r="E189" s="198">
        <v>1766</v>
      </c>
    </row>
    <row r="190" spans="1:6" ht="20.100000000000001" customHeight="1" x14ac:dyDescent="0.2">
      <c r="A190" s="202">
        <v>2</v>
      </c>
      <c r="B190" s="201" t="s">
        <v>439</v>
      </c>
      <c r="C190" s="198">
        <v>13668</v>
      </c>
      <c r="D190" s="198">
        <v>15938</v>
      </c>
      <c r="E190" s="198">
        <v>15856</v>
      </c>
    </row>
    <row r="191" spans="1:6" ht="20.100000000000001" customHeight="1" x14ac:dyDescent="0.2">
      <c r="A191" s="202">
        <v>3</v>
      </c>
      <c r="B191" s="201" t="s">
        <v>440</v>
      </c>
      <c r="C191" s="198">
        <f>+C190+C189</f>
        <v>15265</v>
      </c>
      <c r="D191" s="198">
        <f>+D190+D189</f>
        <v>17658</v>
      </c>
      <c r="E191" s="198">
        <f>+E190+E189</f>
        <v>17622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FILING&amp;RESSENT-SHARON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441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445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25232</v>
      </c>
      <c r="D14" s="237">
        <v>638506</v>
      </c>
      <c r="E14" s="237">
        <f t="shared" ref="E14:E24" si="0">D14-C14</f>
        <v>613274</v>
      </c>
      <c r="F14" s="238">
        <f t="shared" ref="F14:F24" si="1">IF(C14=0,0,E14/C14)</f>
        <v>24.305405833861762</v>
      </c>
    </row>
    <row r="15" spans="1:7" ht="20.25" customHeight="1" x14ac:dyDescent="0.3">
      <c r="A15" s="235">
        <v>2</v>
      </c>
      <c r="B15" s="236" t="s">
        <v>447</v>
      </c>
      <c r="C15" s="237">
        <v>16798</v>
      </c>
      <c r="D15" s="237">
        <v>265659</v>
      </c>
      <c r="E15" s="237">
        <f t="shared" si="0"/>
        <v>248861</v>
      </c>
      <c r="F15" s="238">
        <f t="shared" si="1"/>
        <v>14.814918442671747</v>
      </c>
    </row>
    <row r="16" spans="1:7" ht="20.25" customHeight="1" x14ac:dyDescent="0.3">
      <c r="A16" s="235">
        <v>3</v>
      </c>
      <c r="B16" s="236" t="s">
        <v>448</v>
      </c>
      <c r="C16" s="237">
        <v>56193</v>
      </c>
      <c r="D16" s="237">
        <v>176330</v>
      </c>
      <c r="E16" s="237">
        <f t="shared" si="0"/>
        <v>120137</v>
      </c>
      <c r="F16" s="238">
        <f t="shared" si="1"/>
        <v>2.1379353300233124</v>
      </c>
    </row>
    <row r="17" spans="1:6" ht="20.25" customHeight="1" x14ac:dyDescent="0.3">
      <c r="A17" s="235">
        <v>4</v>
      </c>
      <c r="B17" s="236" t="s">
        <v>449</v>
      </c>
      <c r="C17" s="237">
        <v>10953</v>
      </c>
      <c r="D17" s="237">
        <v>37661</v>
      </c>
      <c r="E17" s="237">
        <f t="shared" si="0"/>
        <v>26708</v>
      </c>
      <c r="F17" s="238">
        <f t="shared" si="1"/>
        <v>2.4384186980735874</v>
      </c>
    </row>
    <row r="18" spans="1:6" ht="20.25" customHeight="1" x14ac:dyDescent="0.3">
      <c r="A18" s="235">
        <v>5</v>
      </c>
      <c r="B18" s="236" t="s">
        <v>385</v>
      </c>
      <c r="C18" s="239">
        <v>2</v>
      </c>
      <c r="D18" s="239">
        <v>18</v>
      </c>
      <c r="E18" s="239">
        <f t="shared" si="0"/>
        <v>16</v>
      </c>
      <c r="F18" s="238">
        <f t="shared" si="1"/>
        <v>8</v>
      </c>
    </row>
    <row r="19" spans="1:6" ht="20.25" customHeight="1" x14ac:dyDescent="0.3">
      <c r="A19" s="235">
        <v>6</v>
      </c>
      <c r="B19" s="236" t="s">
        <v>384</v>
      </c>
      <c r="C19" s="239">
        <v>4</v>
      </c>
      <c r="D19" s="239">
        <v>165</v>
      </c>
      <c r="E19" s="239">
        <f t="shared" si="0"/>
        <v>161</v>
      </c>
      <c r="F19" s="238">
        <f t="shared" si="1"/>
        <v>40.25</v>
      </c>
    </row>
    <row r="20" spans="1:6" ht="20.25" customHeight="1" x14ac:dyDescent="0.3">
      <c r="A20" s="235">
        <v>7</v>
      </c>
      <c r="B20" s="236" t="s">
        <v>450</v>
      </c>
      <c r="C20" s="239">
        <v>43</v>
      </c>
      <c r="D20" s="239">
        <v>126</v>
      </c>
      <c r="E20" s="239">
        <f t="shared" si="0"/>
        <v>83</v>
      </c>
      <c r="F20" s="238">
        <f t="shared" si="1"/>
        <v>1.930232558139535</v>
      </c>
    </row>
    <row r="21" spans="1:6" ht="20.25" customHeight="1" x14ac:dyDescent="0.3">
      <c r="A21" s="235">
        <v>8</v>
      </c>
      <c r="B21" s="236" t="s">
        <v>451</v>
      </c>
      <c r="C21" s="239">
        <v>2</v>
      </c>
      <c r="D21" s="239">
        <v>19</v>
      </c>
      <c r="E21" s="239">
        <f t="shared" si="0"/>
        <v>17</v>
      </c>
      <c r="F21" s="238">
        <f t="shared" si="1"/>
        <v>8.5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20.25" customHeight="1" x14ac:dyDescent="0.3">
      <c r="A23" s="241"/>
      <c r="B23" s="242" t="s">
        <v>453</v>
      </c>
      <c r="C23" s="243">
        <f>+C14+C16</f>
        <v>81425</v>
      </c>
      <c r="D23" s="243">
        <f>+D14+D16</f>
        <v>814836</v>
      </c>
      <c r="E23" s="243">
        <f t="shared" si="0"/>
        <v>733411</v>
      </c>
      <c r="F23" s="244">
        <f t="shared" si="1"/>
        <v>9.007196806877495</v>
      </c>
    </row>
    <row r="24" spans="1:6" s="240" customFormat="1" ht="20.25" customHeight="1" x14ac:dyDescent="0.3">
      <c r="A24" s="241"/>
      <c r="B24" s="242" t="s">
        <v>454</v>
      </c>
      <c r="C24" s="243">
        <f>+C15+C17</f>
        <v>27751</v>
      </c>
      <c r="D24" s="243">
        <f>+D15+D17</f>
        <v>303320</v>
      </c>
      <c r="E24" s="243">
        <f t="shared" si="0"/>
        <v>275569</v>
      </c>
      <c r="F24" s="244">
        <f t="shared" si="1"/>
        <v>9.9300565745378542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455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446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447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448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449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385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384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450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451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452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453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454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456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446</v>
      </c>
      <c r="C40" s="237">
        <v>86411</v>
      </c>
      <c r="D40" s="237">
        <v>317713</v>
      </c>
      <c r="E40" s="237">
        <f t="shared" ref="E40:E50" si="4">D40-C40</f>
        <v>231302</v>
      </c>
      <c r="F40" s="238">
        <f t="shared" ref="F40:F50" si="5">IF(C40=0,0,E40/C40)</f>
        <v>2.6767656895534135</v>
      </c>
    </row>
    <row r="41" spans="1:6" ht="20.25" customHeight="1" x14ac:dyDescent="0.3">
      <c r="A41" s="235">
        <v>2</v>
      </c>
      <c r="B41" s="236" t="s">
        <v>447</v>
      </c>
      <c r="C41" s="237">
        <v>35058</v>
      </c>
      <c r="D41" s="237">
        <v>141461</v>
      </c>
      <c r="E41" s="237">
        <f t="shared" si="4"/>
        <v>106403</v>
      </c>
      <c r="F41" s="238">
        <f t="shared" si="5"/>
        <v>3.0350561925951283</v>
      </c>
    </row>
    <row r="42" spans="1:6" ht="20.25" customHeight="1" x14ac:dyDescent="0.3">
      <c r="A42" s="235">
        <v>3</v>
      </c>
      <c r="B42" s="236" t="s">
        <v>448</v>
      </c>
      <c r="C42" s="237">
        <v>207776</v>
      </c>
      <c r="D42" s="237">
        <v>376953</v>
      </c>
      <c r="E42" s="237">
        <f t="shared" si="4"/>
        <v>169177</v>
      </c>
      <c r="F42" s="238">
        <f t="shared" si="5"/>
        <v>0.81422782227013712</v>
      </c>
    </row>
    <row r="43" spans="1:6" ht="20.25" customHeight="1" x14ac:dyDescent="0.3">
      <c r="A43" s="235">
        <v>4</v>
      </c>
      <c r="B43" s="236" t="s">
        <v>449</v>
      </c>
      <c r="C43" s="237">
        <v>45861</v>
      </c>
      <c r="D43" s="237">
        <v>80369</v>
      </c>
      <c r="E43" s="237">
        <f t="shared" si="4"/>
        <v>34508</v>
      </c>
      <c r="F43" s="238">
        <f t="shared" si="5"/>
        <v>0.75244761344061406</v>
      </c>
    </row>
    <row r="44" spans="1:6" ht="20.25" customHeight="1" x14ac:dyDescent="0.3">
      <c r="A44" s="235">
        <v>5</v>
      </c>
      <c r="B44" s="236" t="s">
        <v>385</v>
      </c>
      <c r="C44" s="239">
        <v>5</v>
      </c>
      <c r="D44" s="239">
        <v>11</v>
      </c>
      <c r="E44" s="239">
        <f t="shared" si="4"/>
        <v>6</v>
      </c>
      <c r="F44" s="238">
        <f t="shared" si="5"/>
        <v>1.2</v>
      </c>
    </row>
    <row r="45" spans="1:6" ht="20.25" customHeight="1" x14ac:dyDescent="0.3">
      <c r="A45" s="235">
        <v>6</v>
      </c>
      <c r="B45" s="236" t="s">
        <v>384</v>
      </c>
      <c r="C45" s="239">
        <v>28</v>
      </c>
      <c r="D45" s="239">
        <v>55</v>
      </c>
      <c r="E45" s="239">
        <f t="shared" si="4"/>
        <v>27</v>
      </c>
      <c r="F45" s="238">
        <f t="shared" si="5"/>
        <v>0.9642857142857143</v>
      </c>
    </row>
    <row r="46" spans="1:6" ht="20.25" customHeight="1" x14ac:dyDescent="0.3">
      <c r="A46" s="235">
        <v>7</v>
      </c>
      <c r="B46" s="236" t="s">
        <v>450</v>
      </c>
      <c r="C46" s="239">
        <v>277</v>
      </c>
      <c r="D46" s="239">
        <v>446</v>
      </c>
      <c r="E46" s="239">
        <f t="shared" si="4"/>
        <v>169</v>
      </c>
      <c r="F46" s="238">
        <f t="shared" si="5"/>
        <v>0.61010830324909748</v>
      </c>
    </row>
    <row r="47" spans="1:6" ht="20.25" customHeight="1" x14ac:dyDescent="0.3">
      <c r="A47" s="235">
        <v>8</v>
      </c>
      <c r="B47" s="236" t="s">
        <v>451</v>
      </c>
      <c r="C47" s="239">
        <v>11</v>
      </c>
      <c r="D47" s="239">
        <v>24</v>
      </c>
      <c r="E47" s="239">
        <f t="shared" si="4"/>
        <v>13</v>
      </c>
      <c r="F47" s="238">
        <f t="shared" si="5"/>
        <v>1.1818181818181819</v>
      </c>
    </row>
    <row r="48" spans="1:6" ht="20.25" customHeight="1" x14ac:dyDescent="0.3">
      <c r="A48" s="235">
        <v>9</v>
      </c>
      <c r="B48" s="236" t="s">
        <v>452</v>
      </c>
      <c r="C48" s="239">
        <v>0</v>
      </c>
      <c r="D48" s="239">
        <v>0</v>
      </c>
      <c r="E48" s="239">
        <f t="shared" si="4"/>
        <v>0</v>
      </c>
      <c r="F48" s="238">
        <f t="shared" si="5"/>
        <v>0</v>
      </c>
    </row>
    <row r="49" spans="1:6" s="240" customFormat="1" ht="20.25" customHeight="1" x14ac:dyDescent="0.3">
      <c r="A49" s="241"/>
      <c r="B49" s="242" t="s">
        <v>453</v>
      </c>
      <c r="C49" s="243">
        <f>+C40+C42</f>
        <v>294187</v>
      </c>
      <c r="D49" s="243">
        <f>+D40+D42</f>
        <v>694666</v>
      </c>
      <c r="E49" s="243">
        <f t="shared" si="4"/>
        <v>400479</v>
      </c>
      <c r="F49" s="244">
        <f t="shared" si="5"/>
        <v>1.3613076036670553</v>
      </c>
    </row>
    <row r="50" spans="1:6" s="240" customFormat="1" ht="20.25" customHeight="1" x14ac:dyDescent="0.3">
      <c r="A50" s="241"/>
      <c r="B50" s="242" t="s">
        <v>454</v>
      </c>
      <c r="C50" s="243">
        <f>+C41+C43</f>
        <v>80919</v>
      </c>
      <c r="D50" s="243">
        <f>+D41+D43</f>
        <v>221830</v>
      </c>
      <c r="E50" s="243">
        <f t="shared" si="4"/>
        <v>140911</v>
      </c>
      <c r="F50" s="244">
        <f t="shared" si="5"/>
        <v>1.7413833586673093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457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446</v>
      </c>
      <c r="C53" s="237">
        <v>0</v>
      </c>
      <c r="D53" s="237">
        <v>0</v>
      </c>
      <c r="E53" s="237">
        <f t="shared" ref="E53:E63" si="6">D53-C53</f>
        <v>0</v>
      </c>
      <c r="F53" s="238">
        <f t="shared" ref="F53:F63" si="7">IF(C53=0,0,E53/C53)</f>
        <v>0</v>
      </c>
    </row>
    <row r="54" spans="1:6" ht="20.25" customHeight="1" x14ac:dyDescent="0.3">
      <c r="A54" s="235">
        <v>2</v>
      </c>
      <c r="B54" s="236" t="s">
        <v>447</v>
      </c>
      <c r="C54" s="237">
        <v>0</v>
      </c>
      <c r="D54" s="237">
        <v>0</v>
      </c>
      <c r="E54" s="237">
        <f t="shared" si="6"/>
        <v>0</v>
      </c>
      <c r="F54" s="238">
        <f t="shared" si="7"/>
        <v>0</v>
      </c>
    </row>
    <row r="55" spans="1:6" ht="20.25" customHeight="1" x14ac:dyDescent="0.3">
      <c r="A55" s="235">
        <v>3</v>
      </c>
      <c r="B55" s="236" t="s">
        <v>448</v>
      </c>
      <c r="C55" s="237">
        <v>18300</v>
      </c>
      <c r="D55" s="237">
        <v>0</v>
      </c>
      <c r="E55" s="237">
        <f t="shared" si="6"/>
        <v>-18300</v>
      </c>
      <c r="F55" s="238">
        <f t="shared" si="7"/>
        <v>-1</v>
      </c>
    </row>
    <row r="56" spans="1:6" ht="20.25" customHeight="1" x14ac:dyDescent="0.3">
      <c r="A56" s="235">
        <v>4</v>
      </c>
      <c r="B56" s="236" t="s">
        <v>449</v>
      </c>
      <c r="C56" s="237">
        <v>4351</v>
      </c>
      <c r="D56" s="237">
        <v>0</v>
      </c>
      <c r="E56" s="237">
        <f t="shared" si="6"/>
        <v>-4351</v>
      </c>
      <c r="F56" s="238">
        <f t="shared" si="7"/>
        <v>-1</v>
      </c>
    </row>
    <row r="57" spans="1:6" ht="20.25" customHeight="1" x14ac:dyDescent="0.3">
      <c r="A57" s="235">
        <v>5</v>
      </c>
      <c r="B57" s="236" t="s">
        <v>385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6</v>
      </c>
      <c r="B58" s="236" t="s">
        <v>384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ht="20.25" customHeight="1" x14ac:dyDescent="0.3">
      <c r="A59" s="235">
        <v>7</v>
      </c>
      <c r="B59" s="236" t="s">
        <v>450</v>
      </c>
      <c r="C59" s="239">
        <v>25</v>
      </c>
      <c r="D59" s="239">
        <v>0</v>
      </c>
      <c r="E59" s="239">
        <f t="shared" si="6"/>
        <v>-25</v>
      </c>
      <c r="F59" s="238">
        <f t="shared" si="7"/>
        <v>-1</v>
      </c>
    </row>
    <row r="60" spans="1:6" ht="20.25" customHeight="1" x14ac:dyDescent="0.3">
      <c r="A60" s="235">
        <v>8</v>
      </c>
      <c r="B60" s="236" t="s">
        <v>451</v>
      </c>
      <c r="C60" s="239">
        <v>8</v>
      </c>
      <c r="D60" s="239">
        <v>0</v>
      </c>
      <c r="E60" s="239">
        <f t="shared" si="6"/>
        <v>-8</v>
      </c>
      <c r="F60" s="238">
        <f t="shared" si="7"/>
        <v>-1</v>
      </c>
    </row>
    <row r="61" spans="1:6" ht="20.25" customHeight="1" x14ac:dyDescent="0.3">
      <c r="A61" s="235">
        <v>9</v>
      </c>
      <c r="B61" s="236" t="s">
        <v>452</v>
      </c>
      <c r="C61" s="239">
        <v>0</v>
      </c>
      <c r="D61" s="239">
        <v>0</v>
      </c>
      <c r="E61" s="239">
        <f t="shared" si="6"/>
        <v>0</v>
      </c>
      <c r="F61" s="238">
        <f t="shared" si="7"/>
        <v>0</v>
      </c>
    </row>
    <row r="62" spans="1:6" s="240" customFormat="1" ht="20.25" customHeight="1" x14ac:dyDescent="0.3">
      <c r="A62" s="241"/>
      <c r="B62" s="242" t="s">
        <v>453</v>
      </c>
      <c r="C62" s="243">
        <f>+C53+C55</f>
        <v>18300</v>
      </c>
      <c r="D62" s="243">
        <f>+D53+D55</f>
        <v>0</v>
      </c>
      <c r="E62" s="243">
        <f t="shared" si="6"/>
        <v>-18300</v>
      </c>
      <c r="F62" s="244">
        <f t="shared" si="7"/>
        <v>-1</v>
      </c>
    </row>
    <row r="63" spans="1:6" s="240" customFormat="1" ht="20.25" customHeight="1" x14ac:dyDescent="0.3">
      <c r="A63" s="241"/>
      <c r="B63" s="242" t="s">
        <v>454</v>
      </c>
      <c r="C63" s="243">
        <f>+C54+C56</f>
        <v>4351</v>
      </c>
      <c r="D63" s="243">
        <f>+D54+D56</f>
        <v>0</v>
      </c>
      <c r="E63" s="243">
        <f t="shared" si="6"/>
        <v>-4351</v>
      </c>
      <c r="F63" s="244">
        <f t="shared" si="7"/>
        <v>-1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458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446</v>
      </c>
      <c r="C66" s="237">
        <v>224496</v>
      </c>
      <c r="D66" s="237">
        <v>413889</v>
      </c>
      <c r="E66" s="237">
        <f t="shared" ref="E66:E76" si="8">D66-C66</f>
        <v>189393</v>
      </c>
      <c r="F66" s="238">
        <f t="shared" ref="F66:F76" si="9">IF(C66=0,0,E66/C66)</f>
        <v>0.84363641223006203</v>
      </c>
    </row>
    <row r="67" spans="1:6" ht="20.25" customHeight="1" x14ac:dyDescent="0.3">
      <c r="A67" s="235">
        <v>2</v>
      </c>
      <c r="B67" s="236" t="s">
        <v>447</v>
      </c>
      <c r="C67" s="237">
        <v>102312</v>
      </c>
      <c r="D67" s="237">
        <v>205074</v>
      </c>
      <c r="E67" s="237">
        <f t="shared" si="8"/>
        <v>102762</v>
      </c>
      <c r="F67" s="238">
        <f t="shared" si="9"/>
        <v>1.0043983110485573</v>
      </c>
    </row>
    <row r="68" spans="1:6" ht="20.25" customHeight="1" x14ac:dyDescent="0.3">
      <c r="A68" s="235">
        <v>3</v>
      </c>
      <c r="B68" s="236" t="s">
        <v>448</v>
      </c>
      <c r="C68" s="237">
        <v>132011</v>
      </c>
      <c r="D68" s="237">
        <v>196186</v>
      </c>
      <c r="E68" s="237">
        <f t="shared" si="8"/>
        <v>64175</v>
      </c>
      <c r="F68" s="238">
        <f t="shared" si="9"/>
        <v>0.48613373127996912</v>
      </c>
    </row>
    <row r="69" spans="1:6" ht="20.25" customHeight="1" x14ac:dyDescent="0.3">
      <c r="A69" s="235">
        <v>4</v>
      </c>
      <c r="B69" s="236" t="s">
        <v>449</v>
      </c>
      <c r="C69" s="237">
        <v>27399</v>
      </c>
      <c r="D69" s="237">
        <v>45126</v>
      </c>
      <c r="E69" s="237">
        <f t="shared" si="8"/>
        <v>17727</v>
      </c>
      <c r="F69" s="238">
        <f t="shared" si="9"/>
        <v>0.64699441585459327</v>
      </c>
    </row>
    <row r="70" spans="1:6" ht="20.25" customHeight="1" x14ac:dyDescent="0.3">
      <c r="A70" s="235">
        <v>5</v>
      </c>
      <c r="B70" s="236" t="s">
        <v>385</v>
      </c>
      <c r="C70" s="239">
        <v>10</v>
      </c>
      <c r="D70" s="239">
        <v>16</v>
      </c>
      <c r="E70" s="239">
        <f t="shared" si="8"/>
        <v>6</v>
      </c>
      <c r="F70" s="238">
        <f t="shared" si="9"/>
        <v>0.6</v>
      </c>
    </row>
    <row r="71" spans="1:6" ht="20.25" customHeight="1" x14ac:dyDescent="0.3">
      <c r="A71" s="235">
        <v>6</v>
      </c>
      <c r="B71" s="236" t="s">
        <v>384</v>
      </c>
      <c r="C71" s="239">
        <v>49</v>
      </c>
      <c r="D71" s="239">
        <v>83</v>
      </c>
      <c r="E71" s="239">
        <f t="shared" si="8"/>
        <v>34</v>
      </c>
      <c r="F71" s="238">
        <f t="shared" si="9"/>
        <v>0.69387755102040816</v>
      </c>
    </row>
    <row r="72" spans="1:6" ht="20.25" customHeight="1" x14ac:dyDescent="0.3">
      <c r="A72" s="235">
        <v>7</v>
      </c>
      <c r="B72" s="236" t="s">
        <v>450</v>
      </c>
      <c r="C72" s="239">
        <v>156</v>
      </c>
      <c r="D72" s="239">
        <v>188</v>
      </c>
      <c r="E72" s="239">
        <f t="shared" si="8"/>
        <v>32</v>
      </c>
      <c r="F72" s="238">
        <f t="shared" si="9"/>
        <v>0.20512820512820512</v>
      </c>
    </row>
    <row r="73" spans="1:6" ht="20.25" customHeight="1" x14ac:dyDescent="0.3">
      <c r="A73" s="235">
        <v>8</v>
      </c>
      <c r="B73" s="236" t="s">
        <v>451</v>
      </c>
      <c r="C73" s="239">
        <v>29</v>
      </c>
      <c r="D73" s="239">
        <v>21</v>
      </c>
      <c r="E73" s="239">
        <f t="shared" si="8"/>
        <v>-8</v>
      </c>
      <c r="F73" s="238">
        <f t="shared" si="9"/>
        <v>-0.27586206896551724</v>
      </c>
    </row>
    <row r="74" spans="1:6" ht="20.25" customHeight="1" x14ac:dyDescent="0.3">
      <c r="A74" s="235">
        <v>9</v>
      </c>
      <c r="B74" s="236" t="s">
        <v>452</v>
      </c>
      <c r="C74" s="239">
        <v>0</v>
      </c>
      <c r="D74" s="239">
        <v>0</v>
      </c>
      <c r="E74" s="239">
        <f t="shared" si="8"/>
        <v>0</v>
      </c>
      <c r="F74" s="238">
        <f t="shared" si="9"/>
        <v>0</v>
      </c>
    </row>
    <row r="75" spans="1:6" s="240" customFormat="1" ht="20.25" customHeight="1" x14ac:dyDescent="0.3">
      <c r="A75" s="241"/>
      <c r="B75" s="242" t="s">
        <v>453</v>
      </c>
      <c r="C75" s="243">
        <f>+C66+C68</f>
        <v>356507</v>
      </c>
      <c r="D75" s="243">
        <f>+D66+D68</f>
        <v>610075</v>
      </c>
      <c r="E75" s="243">
        <f t="shared" si="8"/>
        <v>253568</v>
      </c>
      <c r="F75" s="244">
        <f t="shared" si="9"/>
        <v>0.71125672146689967</v>
      </c>
    </row>
    <row r="76" spans="1:6" s="240" customFormat="1" ht="20.25" customHeight="1" x14ac:dyDescent="0.3">
      <c r="A76" s="241"/>
      <c r="B76" s="242" t="s">
        <v>454</v>
      </c>
      <c r="C76" s="243">
        <f>+C67+C69</f>
        <v>129711</v>
      </c>
      <c r="D76" s="243">
        <f>+D67+D69</f>
        <v>250200</v>
      </c>
      <c r="E76" s="243">
        <f t="shared" si="8"/>
        <v>120489</v>
      </c>
      <c r="F76" s="244">
        <f t="shared" si="9"/>
        <v>0.92890348544071055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459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446</v>
      </c>
      <c r="C79" s="237">
        <v>34636</v>
      </c>
      <c r="D79" s="237">
        <v>0</v>
      </c>
      <c r="E79" s="237">
        <f t="shared" ref="E79:E89" si="10">D79-C79</f>
        <v>-34636</v>
      </c>
      <c r="F79" s="238">
        <f t="shared" ref="F79:F89" si="11">IF(C79=0,0,E79/C79)</f>
        <v>-1</v>
      </c>
    </row>
    <row r="80" spans="1:6" ht="20.25" customHeight="1" x14ac:dyDescent="0.3">
      <c r="A80" s="235">
        <v>2</v>
      </c>
      <c r="B80" s="236" t="s">
        <v>447</v>
      </c>
      <c r="C80" s="237">
        <v>18084</v>
      </c>
      <c r="D80" s="237">
        <v>0</v>
      </c>
      <c r="E80" s="237">
        <f t="shared" si="10"/>
        <v>-18084</v>
      </c>
      <c r="F80" s="238">
        <f t="shared" si="11"/>
        <v>-1</v>
      </c>
    </row>
    <row r="81" spans="1:6" ht="20.25" customHeight="1" x14ac:dyDescent="0.3">
      <c r="A81" s="235">
        <v>3</v>
      </c>
      <c r="B81" s="236" t="s">
        <v>448</v>
      </c>
      <c r="C81" s="237">
        <v>3279</v>
      </c>
      <c r="D81" s="237">
        <v>16230</v>
      </c>
      <c r="E81" s="237">
        <f t="shared" si="10"/>
        <v>12951</v>
      </c>
      <c r="F81" s="238">
        <f t="shared" si="11"/>
        <v>3.9496797804208601</v>
      </c>
    </row>
    <row r="82" spans="1:6" ht="20.25" customHeight="1" x14ac:dyDescent="0.3">
      <c r="A82" s="235">
        <v>4</v>
      </c>
      <c r="B82" s="236" t="s">
        <v>449</v>
      </c>
      <c r="C82" s="237">
        <v>856</v>
      </c>
      <c r="D82" s="237">
        <v>3602</v>
      </c>
      <c r="E82" s="237">
        <f t="shared" si="10"/>
        <v>2746</v>
      </c>
      <c r="F82" s="238">
        <f t="shared" si="11"/>
        <v>3.207943925233645</v>
      </c>
    </row>
    <row r="83" spans="1:6" ht="20.25" customHeight="1" x14ac:dyDescent="0.3">
      <c r="A83" s="235">
        <v>5</v>
      </c>
      <c r="B83" s="236" t="s">
        <v>385</v>
      </c>
      <c r="C83" s="239">
        <v>2</v>
      </c>
      <c r="D83" s="239">
        <v>0</v>
      </c>
      <c r="E83" s="239">
        <f t="shared" si="10"/>
        <v>-2</v>
      </c>
      <c r="F83" s="238">
        <f t="shared" si="11"/>
        <v>-1</v>
      </c>
    </row>
    <row r="84" spans="1:6" ht="20.25" customHeight="1" x14ac:dyDescent="0.3">
      <c r="A84" s="235">
        <v>6</v>
      </c>
      <c r="B84" s="236" t="s">
        <v>384</v>
      </c>
      <c r="C84" s="239">
        <v>4</v>
      </c>
      <c r="D84" s="239">
        <v>0</v>
      </c>
      <c r="E84" s="239">
        <f t="shared" si="10"/>
        <v>-4</v>
      </c>
      <c r="F84" s="238">
        <f t="shared" si="11"/>
        <v>-1</v>
      </c>
    </row>
    <row r="85" spans="1:6" ht="20.25" customHeight="1" x14ac:dyDescent="0.3">
      <c r="A85" s="235">
        <v>7</v>
      </c>
      <c r="B85" s="236" t="s">
        <v>450</v>
      </c>
      <c r="C85" s="239">
        <v>11</v>
      </c>
      <c r="D85" s="239">
        <v>7</v>
      </c>
      <c r="E85" s="239">
        <f t="shared" si="10"/>
        <v>-4</v>
      </c>
      <c r="F85" s="238">
        <f t="shared" si="11"/>
        <v>-0.36363636363636365</v>
      </c>
    </row>
    <row r="86" spans="1:6" ht="20.25" customHeight="1" x14ac:dyDescent="0.3">
      <c r="A86" s="235">
        <v>8</v>
      </c>
      <c r="B86" s="236" t="s">
        <v>451</v>
      </c>
      <c r="C86" s="239">
        <v>5</v>
      </c>
      <c r="D86" s="239">
        <v>1</v>
      </c>
      <c r="E86" s="239">
        <f t="shared" si="10"/>
        <v>-4</v>
      </c>
      <c r="F86" s="238">
        <f t="shared" si="11"/>
        <v>-0.8</v>
      </c>
    </row>
    <row r="87" spans="1:6" ht="20.25" customHeight="1" x14ac:dyDescent="0.3">
      <c r="A87" s="235">
        <v>9</v>
      </c>
      <c r="B87" s="236" t="s">
        <v>452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453</v>
      </c>
      <c r="C88" s="243">
        <f>+C79+C81</f>
        <v>37915</v>
      </c>
      <c r="D88" s="243">
        <f>+D79+D81</f>
        <v>16230</v>
      </c>
      <c r="E88" s="243">
        <f t="shared" si="10"/>
        <v>-21685</v>
      </c>
      <c r="F88" s="244">
        <f t="shared" si="11"/>
        <v>-0.57193722801002245</v>
      </c>
    </row>
    <row r="89" spans="1:6" s="240" customFormat="1" ht="20.25" customHeight="1" x14ac:dyDescent="0.3">
      <c r="A89" s="241"/>
      <c r="B89" s="242" t="s">
        <v>454</v>
      </c>
      <c r="C89" s="243">
        <f>+C80+C82</f>
        <v>18940</v>
      </c>
      <c r="D89" s="243">
        <f>+D80+D82</f>
        <v>3602</v>
      </c>
      <c r="E89" s="243">
        <f t="shared" si="10"/>
        <v>-15338</v>
      </c>
      <c r="F89" s="244">
        <f t="shared" si="11"/>
        <v>-0.8098204857444562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460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446</v>
      </c>
      <c r="C92" s="237">
        <v>0</v>
      </c>
      <c r="D92" s="237">
        <v>0</v>
      </c>
      <c r="E92" s="237">
        <f t="shared" ref="E92:E102" si="12">D92-C92</f>
        <v>0</v>
      </c>
      <c r="F92" s="238">
        <f t="shared" ref="F92:F102" si="13">IF(C92=0,0,E92/C92)</f>
        <v>0</v>
      </c>
    </row>
    <row r="93" spans="1:6" ht="20.25" customHeight="1" x14ac:dyDescent="0.3">
      <c r="A93" s="235">
        <v>2</v>
      </c>
      <c r="B93" s="236" t="s">
        <v>447</v>
      </c>
      <c r="C93" s="237">
        <v>0</v>
      </c>
      <c r="D93" s="237">
        <v>0</v>
      </c>
      <c r="E93" s="237">
        <f t="shared" si="12"/>
        <v>0</v>
      </c>
      <c r="F93" s="238">
        <f t="shared" si="13"/>
        <v>0</v>
      </c>
    </row>
    <row r="94" spans="1:6" ht="20.25" customHeight="1" x14ac:dyDescent="0.3">
      <c r="A94" s="235">
        <v>3</v>
      </c>
      <c r="B94" s="236" t="s">
        <v>448</v>
      </c>
      <c r="C94" s="237">
        <v>0</v>
      </c>
      <c r="D94" s="237">
        <v>0</v>
      </c>
      <c r="E94" s="237">
        <f t="shared" si="12"/>
        <v>0</v>
      </c>
      <c r="F94" s="238">
        <f t="shared" si="13"/>
        <v>0</v>
      </c>
    </row>
    <row r="95" spans="1:6" ht="20.25" customHeight="1" x14ac:dyDescent="0.3">
      <c r="A95" s="235">
        <v>4</v>
      </c>
      <c r="B95" s="236" t="s">
        <v>449</v>
      </c>
      <c r="C95" s="237">
        <v>0</v>
      </c>
      <c r="D95" s="237">
        <v>0</v>
      </c>
      <c r="E95" s="237">
        <f t="shared" si="12"/>
        <v>0</v>
      </c>
      <c r="F95" s="238">
        <f t="shared" si="13"/>
        <v>0</v>
      </c>
    </row>
    <row r="96" spans="1:6" ht="20.25" customHeight="1" x14ac:dyDescent="0.3">
      <c r="A96" s="235">
        <v>5</v>
      </c>
      <c r="B96" s="236" t="s">
        <v>385</v>
      </c>
      <c r="C96" s="239">
        <v>0</v>
      </c>
      <c r="D96" s="239">
        <v>0</v>
      </c>
      <c r="E96" s="239">
        <f t="shared" si="12"/>
        <v>0</v>
      </c>
      <c r="F96" s="238">
        <f t="shared" si="13"/>
        <v>0</v>
      </c>
    </row>
    <row r="97" spans="1:6" ht="20.25" customHeight="1" x14ac:dyDescent="0.3">
      <c r="A97" s="235">
        <v>6</v>
      </c>
      <c r="B97" s="236" t="s">
        <v>384</v>
      </c>
      <c r="C97" s="239">
        <v>0</v>
      </c>
      <c r="D97" s="239">
        <v>0</v>
      </c>
      <c r="E97" s="239">
        <f t="shared" si="12"/>
        <v>0</v>
      </c>
      <c r="F97" s="238">
        <f t="shared" si="13"/>
        <v>0</v>
      </c>
    </row>
    <row r="98" spans="1:6" ht="20.25" customHeight="1" x14ac:dyDescent="0.3">
      <c r="A98" s="235">
        <v>7</v>
      </c>
      <c r="B98" s="236" t="s">
        <v>450</v>
      </c>
      <c r="C98" s="239">
        <v>0</v>
      </c>
      <c r="D98" s="239">
        <v>0</v>
      </c>
      <c r="E98" s="239">
        <f t="shared" si="12"/>
        <v>0</v>
      </c>
      <c r="F98" s="238">
        <f t="shared" si="13"/>
        <v>0</v>
      </c>
    </row>
    <row r="99" spans="1:6" ht="20.25" customHeight="1" x14ac:dyDescent="0.3">
      <c r="A99" s="235">
        <v>8</v>
      </c>
      <c r="B99" s="236" t="s">
        <v>451</v>
      </c>
      <c r="C99" s="239">
        <v>0</v>
      </c>
      <c r="D99" s="239">
        <v>0</v>
      </c>
      <c r="E99" s="239">
        <f t="shared" si="12"/>
        <v>0</v>
      </c>
      <c r="F99" s="238">
        <f t="shared" si="13"/>
        <v>0</v>
      </c>
    </row>
    <row r="100" spans="1:6" ht="20.25" customHeight="1" x14ac:dyDescent="0.3">
      <c r="A100" s="235">
        <v>9</v>
      </c>
      <c r="B100" s="236" t="s">
        <v>452</v>
      </c>
      <c r="C100" s="239">
        <v>0</v>
      </c>
      <c r="D100" s="239">
        <v>0</v>
      </c>
      <c r="E100" s="239">
        <f t="shared" si="12"/>
        <v>0</v>
      </c>
      <c r="F100" s="238">
        <f t="shared" si="13"/>
        <v>0</v>
      </c>
    </row>
    <row r="101" spans="1:6" s="240" customFormat="1" ht="20.25" customHeight="1" x14ac:dyDescent="0.3">
      <c r="A101" s="241"/>
      <c r="B101" s="242" t="s">
        <v>453</v>
      </c>
      <c r="C101" s="243">
        <f>+C92+C94</f>
        <v>0</v>
      </c>
      <c r="D101" s="243">
        <f>+D92+D94</f>
        <v>0</v>
      </c>
      <c r="E101" s="243">
        <f t="shared" si="12"/>
        <v>0</v>
      </c>
      <c r="F101" s="244">
        <f t="shared" si="13"/>
        <v>0</v>
      </c>
    </row>
    <row r="102" spans="1:6" s="240" customFormat="1" ht="20.25" customHeight="1" x14ac:dyDescent="0.3">
      <c r="A102" s="241"/>
      <c r="B102" s="242" t="s">
        <v>454</v>
      </c>
      <c r="C102" s="243">
        <f>+C93+C95</f>
        <v>0</v>
      </c>
      <c r="D102" s="243">
        <f>+D93+D95</f>
        <v>0</v>
      </c>
      <c r="E102" s="243">
        <f t="shared" si="12"/>
        <v>0</v>
      </c>
      <c r="F102" s="244">
        <f t="shared" si="13"/>
        <v>0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461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446</v>
      </c>
      <c r="C105" s="237">
        <v>68045</v>
      </c>
      <c r="D105" s="237">
        <v>89813</v>
      </c>
      <c r="E105" s="237">
        <f t="shared" ref="E105:E115" si="14">D105-C105</f>
        <v>21768</v>
      </c>
      <c r="F105" s="238">
        <f t="shared" ref="F105:F115" si="15">IF(C105=0,0,E105/C105)</f>
        <v>0.31990594459548827</v>
      </c>
    </row>
    <row r="106" spans="1:6" ht="20.25" customHeight="1" x14ac:dyDescent="0.3">
      <c r="A106" s="235">
        <v>2</v>
      </c>
      <c r="B106" s="236" t="s">
        <v>447</v>
      </c>
      <c r="C106" s="237">
        <v>57372</v>
      </c>
      <c r="D106" s="237">
        <v>57018</v>
      </c>
      <c r="E106" s="237">
        <f t="shared" si="14"/>
        <v>-354</v>
      </c>
      <c r="F106" s="238">
        <f t="shared" si="15"/>
        <v>-6.1702572683539009E-3</v>
      </c>
    </row>
    <row r="107" spans="1:6" ht="20.25" customHeight="1" x14ac:dyDescent="0.3">
      <c r="A107" s="235">
        <v>3</v>
      </c>
      <c r="B107" s="236" t="s">
        <v>448</v>
      </c>
      <c r="C107" s="237">
        <v>18609</v>
      </c>
      <c r="D107" s="237">
        <v>27823</v>
      </c>
      <c r="E107" s="237">
        <f t="shared" si="14"/>
        <v>9214</v>
      </c>
      <c r="F107" s="238">
        <f t="shared" si="15"/>
        <v>0.4951367617819335</v>
      </c>
    </row>
    <row r="108" spans="1:6" ht="20.25" customHeight="1" x14ac:dyDescent="0.3">
      <c r="A108" s="235">
        <v>4</v>
      </c>
      <c r="B108" s="236" t="s">
        <v>449</v>
      </c>
      <c r="C108" s="237">
        <v>3907</v>
      </c>
      <c r="D108" s="237">
        <v>4959</v>
      </c>
      <c r="E108" s="237">
        <f t="shared" si="14"/>
        <v>1052</v>
      </c>
      <c r="F108" s="238">
        <f t="shared" si="15"/>
        <v>0.26926030202201179</v>
      </c>
    </row>
    <row r="109" spans="1:6" ht="20.25" customHeight="1" x14ac:dyDescent="0.3">
      <c r="A109" s="235">
        <v>5</v>
      </c>
      <c r="B109" s="236" t="s">
        <v>385</v>
      </c>
      <c r="C109" s="239">
        <v>3</v>
      </c>
      <c r="D109" s="239">
        <v>5</v>
      </c>
      <c r="E109" s="239">
        <f t="shared" si="14"/>
        <v>2</v>
      </c>
      <c r="F109" s="238">
        <f t="shared" si="15"/>
        <v>0.66666666666666663</v>
      </c>
    </row>
    <row r="110" spans="1:6" ht="20.25" customHeight="1" x14ac:dyDescent="0.3">
      <c r="A110" s="235">
        <v>6</v>
      </c>
      <c r="B110" s="236" t="s">
        <v>384</v>
      </c>
      <c r="C110" s="239">
        <v>13</v>
      </c>
      <c r="D110" s="239">
        <v>14</v>
      </c>
      <c r="E110" s="239">
        <f t="shared" si="14"/>
        <v>1</v>
      </c>
      <c r="F110" s="238">
        <f t="shared" si="15"/>
        <v>7.6923076923076927E-2</v>
      </c>
    </row>
    <row r="111" spans="1:6" ht="20.25" customHeight="1" x14ac:dyDescent="0.3">
      <c r="A111" s="235">
        <v>7</v>
      </c>
      <c r="B111" s="236" t="s">
        <v>450</v>
      </c>
      <c r="C111" s="239">
        <v>11</v>
      </c>
      <c r="D111" s="239">
        <v>22</v>
      </c>
      <c r="E111" s="239">
        <f t="shared" si="14"/>
        <v>11</v>
      </c>
      <c r="F111" s="238">
        <f t="shared" si="15"/>
        <v>1</v>
      </c>
    </row>
    <row r="112" spans="1:6" ht="20.25" customHeight="1" x14ac:dyDescent="0.3">
      <c r="A112" s="235">
        <v>8</v>
      </c>
      <c r="B112" s="236" t="s">
        <v>451</v>
      </c>
      <c r="C112" s="239">
        <v>11</v>
      </c>
      <c r="D112" s="239">
        <v>8</v>
      </c>
      <c r="E112" s="239">
        <f t="shared" si="14"/>
        <v>-3</v>
      </c>
      <c r="F112" s="238">
        <f t="shared" si="15"/>
        <v>-0.27272727272727271</v>
      </c>
    </row>
    <row r="113" spans="1:6" ht="20.25" customHeight="1" x14ac:dyDescent="0.3">
      <c r="A113" s="235">
        <v>9</v>
      </c>
      <c r="B113" s="236" t="s">
        <v>452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453</v>
      </c>
      <c r="C114" s="243">
        <f>+C105+C107</f>
        <v>86654</v>
      </c>
      <c r="D114" s="243">
        <f>+D105+D107</f>
        <v>117636</v>
      </c>
      <c r="E114" s="243">
        <f t="shared" si="14"/>
        <v>30982</v>
      </c>
      <c r="F114" s="244">
        <f t="shared" si="15"/>
        <v>0.35753687077342072</v>
      </c>
    </row>
    <row r="115" spans="1:6" s="240" customFormat="1" ht="20.25" customHeight="1" x14ac:dyDescent="0.3">
      <c r="A115" s="241"/>
      <c r="B115" s="242" t="s">
        <v>454</v>
      </c>
      <c r="C115" s="243">
        <f>+C106+C108</f>
        <v>61279</v>
      </c>
      <c r="D115" s="243">
        <f>+D106+D108</f>
        <v>61977</v>
      </c>
      <c r="E115" s="243">
        <f t="shared" si="14"/>
        <v>698</v>
      </c>
      <c r="F115" s="244">
        <f t="shared" si="15"/>
        <v>1.1390525302305847E-2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462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446</v>
      </c>
      <c r="C118" s="237">
        <v>31483</v>
      </c>
      <c r="D118" s="237">
        <v>151535</v>
      </c>
      <c r="E118" s="237">
        <f t="shared" ref="E118:E128" si="16">D118-C118</f>
        <v>120052</v>
      </c>
      <c r="F118" s="238">
        <f t="shared" ref="F118:F128" si="17">IF(C118=0,0,E118/C118)</f>
        <v>3.8132325381952166</v>
      </c>
    </row>
    <row r="119" spans="1:6" ht="20.25" customHeight="1" x14ac:dyDescent="0.3">
      <c r="A119" s="235">
        <v>2</v>
      </c>
      <c r="B119" s="236" t="s">
        <v>447</v>
      </c>
      <c r="C119" s="237">
        <v>29003</v>
      </c>
      <c r="D119" s="237">
        <v>57824</v>
      </c>
      <c r="E119" s="237">
        <f t="shared" si="16"/>
        <v>28821</v>
      </c>
      <c r="F119" s="238">
        <f t="shared" si="17"/>
        <v>0.99372478709099055</v>
      </c>
    </row>
    <row r="120" spans="1:6" ht="20.25" customHeight="1" x14ac:dyDescent="0.3">
      <c r="A120" s="235">
        <v>3</v>
      </c>
      <c r="B120" s="236" t="s">
        <v>448</v>
      </c>
      <c r="C120" s="237">
        <v>55342</v>
      </c>
      <c r="D120" s="237">
        <v>100090</v>
      </c>
      <c r="E120" s="237">
        <f t="shared" si="16"/>
        <v>44748</v>
      </c>
      <c r="F120" s="238">
        <f t="shared" si="17"/>
        <v>0.80857215134978855</v>
      </c>
    </row>
    <row r="121" spans="1:6" ht="20.25" customHeight="1" x14ac:dyDescent="0.3">
      <c r="A121" s="235">
        <v>4</v>
      </c>
      <c r="B121" s="236" t="s">
        <v>449</v>
      </c>
      <c r="C121" s="237">
        <v>13387</v>
      </c>
      <c r="D121" s="237">
        <v>25397</v>
      </c>
      <c r="E121" s="237">
        <f t="shared" si="16"/>
        <v>12010</v>
      </c>
      <c r="F121" s="238">
        <f t="shared" si="17"/>
        <v>0.89713901546276242</v>
      </c>
    </row>
    <row r="122" spans="1:6" ht="20.25" customHeight="1" x14ac:dyDescent="0.3">
      <c r="A122" s="235">
        <v>5</v>
      </c>
      <c r="B122" s="236" t="s">
        <v>385</v>
      </c>
      <c r="C122" s="239">
        <v>3</v>
      </c>
      <c r="D122" s="239">
        <v>3</v>
      </c>
      <c r="E122" s="239">
        <f t="shared" si="16"/>
        <v>0</v>
      </c>
      <c r="F122" s="238">
        <f t="shared" si="17"/>
        <v>0</v>
      </c>
    </row>
    <row r="123" spans="1:6" ht="20.25" customHeight="1" x14ac:dyDescent="0.3">
      <c r="A123" s="235">
        <v>6</v>
      </c>
      <c r="B123" s="236" t="s">
        <v>384</v>
      </c>
      <c r="C123" s="239">
        <v>10</v>
      </c>
      <c r="D123" s="239">
        <v>38</v>
      </c>
      <c r="E123" s="239">
        <f t="shared" si="16"/>
        <v>28</v>
      </c>
      <c r="F123" s="238">
        <f t="shared" si="17"/>
        <v>2.8</v>
      </c>
    </row>
    <row r="124" spans="1:6" ht="20.25" customHeight="1" x14ac:dyDescent="0.3">
      <c r="A124" s="235">
        <v>7</v>
      </c>
      <c r="B124" s="236" t="s">
        <v>450</v>
      </c>
      <c r="C124" s="239">
        <v>96</v>
      </c>
      <c r="D124" s="239">
        <v>98</v>
      </c>
      <c r="E124" s="239">
        <f t="shared" si="16"/>
        <v>2</v>
      </c>
      <c r="F124" s="238">
        <f t="shared" si="17"/>
        <v>2.0833333333333332E-2</v>
      </c>
    </row>
    <row r="125" spans="1:6" ht="20.25" customHeight="1" x14ac:dyDescent="0.3">
      <c r="A125" s="235">
        <v>8</v>
      </c>
      <c r="B125" s="236" t="s">
        <v>451</v>
      </c>
      <c r="C125" s="239">
        <v>8</v>
      </c>
      <c r="D125" s="239">
        <v>13</v>
      </c>
      <c r="E125" s="239">
        <f t="shared" si="16"/>
        <v>5</v>
      </c>
      <c r="F125" s="238">
        <f t="shared" si="17"/>
        <v>0.625</v>
      </c>
    </row>
    <row r="126" spans="1:6" ht="20.25" customHeight="1" x14ac:dyDescent="0.3">
      <c r="A126" s="235">
        <v>9</v>
      </c>
      <c r="B126" s="236" t="s">
        <v>452</v>
      </c>
      <c r="C126" s="239">
        <v>0</v>
      </c>
      <c r="D126" s="239">
        <v>0</v>
      </c>
      <c r="E126" s="239">
        <f t="shared" si="16"/>
        <v>0</v>
      </c>
      <c r="F126" s="238">
        <f t="shared" si="17"/>
        <v>0</v>
      </c>
    </row>
    <row r="127" spans="1:6" s="240" customFormat="1" ht="20.25" customHeight="1" x14ac:dyDescent="0.3">
      <c r="A127" s="241"/>
      <c r="B127" s="242" t="s">
        <v>453</v>
      </c>
      <c r="C127" s="243">
        <f>+C118+C120</f>
        <v>86825</v>
      </c>
      <c r="D127" s="243">
        <f>+D118+D120</f>
        <v>251625</v>
      </c>
      <c r="E127" s="243">
        <f t="shared" si="16"/>
        <v>164800</v>
      </c>
      <c r="F127" s="244">
        <f t="shared" si="17"/>
        <v>1.8980708321336022</v>
      </c>
    </row>
    <row r="128" spans="1:6" s="240" customFormat="1" ht="20.25" customHeight="1" x14ac:dyDescent="0.3">
      <c r="A128" s="241"/>
      <c r="B128" s="242" t="s">
        <v>454</v>
      </c>
      <c r="C128" s="243">
        <f>+C119+C121</f>
        <v>42390</v>
      </c>
      <c r="D128" s="243">
        <f>+D119+D121</f>
        <v>83221</v>
      </c>
      <c r="E128" s="243">
        <f t="shared" si="16"/>
        <v>40831</v>
      </c>
      <c r="F128" s="244">
        <f t="shared" si="17"/>
        <v>0.96322245812691676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463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446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447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448</v>
      </c>
      <c r="C133" s="237">
        <v>119033</v>
      </c>
      <c r="D133" s="237">
        <v>0</v>
      </c>
      <c r="E133" s="237">
        <f t="shared" si="18"/>
        <v>-119033</v>
      </c>
      <c r="F133" s="238">
        <f t="shared" si="19"/>
        <v>-1</v>
      </c>
    </row>
    <row r="134" spans="1:6" ht="20.25" customHeight="1" x14ac:dyDescent="0.3">
      <c r="A134" s="235">
        <v>4</v>
      </c>
      <c r="B134" s="236" t="s">
        <v>449</v>
      </c>
      <c r="C134" s="237">
        <v>45307</v>
      </c>
      <c r="D134" s="237">
        <v>0</v>
      </c>
      <c r="E134" s="237">
        <f t="shared" si="18"/>
        <v>-45307</v>
      </c>
      <c r="F134" s="238">
        <f t="shared" si="19"/>
        <v>-1</v>
      </c>
    </row>
    <row r="135" spans="1:6" ht="20.25" customHeight="1" x14ac:dyDescent="0.3">
      <c r="A135" s="235">
        <v>5</v>
      </c>
      <c r="B135" s="236" t="s">
        <v>385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384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450</v>
      </c>
      <c r="C137" s="239">
        <v>32</v>
      </c>
      <c r="D137" s="239">
        <v>0</v>
      </c>
      <c r="E137" s="239">
        <f t="shared" si="18"/>
        <v>-32</v>
      </c>
      <c r="F137" s="238">
        <f t="shared" si="19"/>
        <v>-1</v>
      </c>
    </row>
    <row r="138" spans="1:6" ht="20.25" customHeight="1" x14ac:dyDescent="0.3">
      <c r="A138" s="235">
        <v>8</v>
      </c>
      <c r="B138" s="236" t="s">
        <v>451</v>
      </c>
      <c r="C138" s="239">
        <v>3</v>
      </c>
      <c r="D138" s="239">
        <v>0</v>
      </c>
      <c r="E138" s="239">
        <f t="shared" si="18"/>
        <v>-3</v>
      </c>
      <c r="F138" s="238">
        <f t="shared" si="19"/>
        <v>-1</v>
      </c>
    </row>
    <row r="139" spans="1:6" ht="20.25" customHeight="1" x14ac:dyDescent="0.3">
      <c r="A139" s="235">
        <v>9</v>
      </c>
      <c r="B139" s="236" t="s">
        <v>452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453</v>
      </c>
      <c r="C140" s="243">
        <f>+C131+C133</f>
        <v>119033</v>
      </c>
      <c r="D140" s="243">
        <f>+D131+D133</f>
        <v>0</v>
      </c>
      <c r="E140" s="243">
        <f t="shared" si="18"/>
        <v>-119033</v>
      </c>
      <c r="F140" s="244">
        <f t="shared" si="19"/>
        <v>-1</v>
      </c>
    </row>
    <row r="141" spans="1:6" s="240" customFormat="1" ht="20.25" customHeight="1" x14ac:dyDescent="0.3">
      <c r="A141" s="241"/>
      <c r="B141" s="242" t="s">
        <v>454</v>
      </c>
      <c r="C141" s="243">
        <f>+C132+C134</f>
        <v>45307</v>
      </c>
      <c r="D141" s="243">
        <f>+D132+D134</f>
        <v>0</v>
      </c>
      <c r="E141" s="243">
        <f t="shared" si="18"/>
        <v>-45307</v>
      </c>
      <c r="F141" s="244">
        <f t="shared" si="19"/>
        <v>-1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230</v>
      </c>
      <c r="B143" s="231" t="s">
        <v>464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446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447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448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449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385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384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450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451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452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453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454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465</v>
      </c>
      <c r="B156" s="231" t="s">
        <v>466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446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447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448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449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385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384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450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451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452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453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454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467</v>
      </c>
      <c r="B169" s="231" t="s">
        <v>468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446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447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448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449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385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384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450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451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452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453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454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469</v>
      </c>
      <c r="B182" s="231" t="s">
        <v>470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446</v>
      </c>
      <c r="C183" s="237">
        <v>406850</v>
      </c>
      <c r="D183" s="237">
        <v>465129</v>
      </c>
      <c r="E183" s="237">
        <f t="shared" ref="E183:E193" si="26">D183-C183</f>
        <v>58279</v>
      </c>
      <c r="F183" s="238">
        <f t="shared" ref="F183:F193" si="27">IF(C183=0,0,E183/C183)</f>
        <v>0.14324443898242595</v>
      </c>
    </row>
    <row r="184" spans="1:6" ht="20.25" customHeight="1" x14ac:dyDescent="0.3">
      <c r="A184" s="235">
        <v>2</v>
      </c>
      <c r="B184" s="236" t="s">
        <v>447</v>
      </c>
      <c r="C184" s="237">
        <v>180754</v>
      </c>
      <c r="D184" s="237">
        <v>250937</v>
      </c>
      <c r="E184" s="237">
        <f t="shared" si="26"/>
        <v>70183</v>
      </c>
      <c r="F184" s="238">
        <f t="shared" si="27"/>
        <v>0.38827909755800699</v>
      </c>
    </row>
    <row r="185" spans="1:6" ht="20.25" customHeight="1" x14ac:dyDescent="0.3">
      <c r="A185" s="235">
        <v>3</v>
      </c>
      <c r="B185" s="236" t="s">
        <v>448</v>
      </c>
      <c r="C185" s="237">
        <v>517293</v>
      </c>
      <c r="D185" s="237">
        <v>645343</v>
      </c>
      <c r="E185" s="237">
        <f t="shared" si="26"/>
        <v>128050</v>
      </c>
      <c r="F185" s="238">
        <f t="shared" si="27"/>
        <v>0.24753862897816131</v>
      </c>
    </row>
    <row r="186" spans="1:6" ht="20.25" customHeight="1" x14ac:dyDescent="0.3">
      <c r="A186" s="235">
        <v>4</v>
      </c>
      <c r="B186" s="236" t="s">
        <v>449</v>
      </c>
      <c r="C186" s="237">
        <v>111457</v>
      </c>
      <c r="D186" s="237">
        <v>161638</v>
      </c>
      <c r="E186" s="237">
        <f t="shared" si="26"/>
        <v>50181</v>
      </c>
      <c r="F186" s="238">
        <f t="shared" si="27"/>
        <v>0.45022744197313763</v>
      </c>
    </row>
    <row r="187" spans="1:6" ht="20.25" customHeight="1" x14ac:dyDescent="0.3">
      <c r="A187" s="235">
        <v>5</v>
      </c>
      <c r="B187" s="236" t="s">
        <v>385</v>
      </c>
      <c r="C187" s="239">
        <v>20</v>
      </c>
      <c r="D187" s="239">
        <v>28</v>
      </c>
      <c r="E187" s="239">
        <f t="shared" si="26"/>
        <v>8</v>
      </c>
      <c r="F187" s="238">
        <f t="shared" si="27"/>
        <v>0.4</v>
      </c>
    </row>
    <row r="188" spans="1:6" ht="20.25" customHeight="1" x14ac:dyDescent="0.3">
      <c r="A188" s="235">
        <v>6</v>
      </c>
      <c r="B188" s="236" t="s">
        <v>384</v>
      </c>
      <c r="C188" s="239">
        <v>109</v>
      </c>
      <c r="D188" s="239">
        <v>126</v>
      </c>
      <c r="E188" s="239">
        <f t="shared" si="26"/>
        <v>17</v>
      </c>
      <c r="F188" s="238">
        <f t="shared" si="27"/>
        <v>0.15596330275229359</v>
      </c>
    </row>
    <row r="189" spans="1:6" ht="20.25" customHeight="1" x14ac:dyDescent="0.3">
      <c r="A189" s="235">
        <v>7</v>
      </c>
      <c r="B189" s="236" t="s">
        <v>450</v>
      </c>
      <c r="C189" s="239">
        <v>848</v>
      </c>
      <c r="D189" s="239">
        <v>663</v>
      </c>
      <c r="E189" s="239">
        <f t="shared" si="26"/>
        <v>-185</v>
      </c>
      <c r="F189" s="238">
        <f t="shared" si="27"/>
        <v>-0.21816037735849056</v>
      </c>
    </row>
    <row r="190" spans="1:6" ht="20.25" customHeight="1" x14ac:dyDescent="0.3">
      <c r="A190" s="235">
        <v>8</v>
      </c>
      <c r="B190" s="236" t="s">
        <v>451</v>
      </c>
      <c r="C190" s="239">
        <v>56</v>
      </c>
      <c r="D190" s="239">
        <v>63</v>
      </c>
      <c r="E190" s="239">
        <f t="shared" si="26"/>
        <v>7</v>
      </c>
      <c r="F190" s="238">
        <f t="shared" si="27"/>
        <v>0.125</v>
      </c>
    </row>
    <row r="191" spans="1:6" ht="20.25" customHeight="1" x14ac:dyDescent="0.3">
      <c r="A191" s="235">
        <v>9</v>
      </c>
      <c r="B191" s="236" t="s">
        <v>452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453</v>
      </c>
      <c r="C192" s="243">
        <f>+C183+C185</f>
        <v>924143</v>
      </c>
      <c r="D192" s="243">
        <f>+D183+D185</f>
        <v>1110472</v>
      </c>
      <c r="E192" s="243">
        <f t="shared" si="26"/>
        <v>186329</v>
      </c>
      <c r="F192" s="244">
        <f t="shared" si="27"/>
        <v>0.2016235582588409</v>
      </c>
    </row>
    <row r="193" spans="1:9" s="240" customFormat="1" ht="20.25" customHeight="1" x14ac:dyDescent="0.3">
      <c r="A193" s="241"/>
      <c r="B193" s="242" t="s">
        <v>454</v>
      </c>
      <c r="C193" s="243">
        <f>+C184+C186</f>
        <v>292211</v>
      </c>
      <c r="D193" s="243">
        <f>+D184+D186</f>
        <v>412575</v>
      </c>
      <c r="E193" s="243">
        <f t="shared" si="26"/>
        <v>120364</v>
      </c>
      <c r="F193" s="244">
        <f t="shared" si="27"/>
        <v>0.41190783372289203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471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472</v>
      </c>
      <c r="C198" s="243">
        <f t="shared" ref="C198:D206" si="28">+C183+C170+C157+C144+C131+C118+C105+C92+C79+C66+C53+C40+C27+C14</f>
        <v>877153</v>
      </c>
      <c r="D198" s="243">
        <f t="shared" si="28"/>
        <v>2076585</v>
      </c>
      <c r="E198" s="243">
        <f t="shared" ref="E198:E208" si="29">D198-C198</f>
        <v>1199432</v>
      </c>
      <c r="F198" s="251">
        <f t="shared" ref="F198:F208" si="30">IF(C198=0,0,E198/C198)</f>
        <v>1.3674148067668925</v>
      </c>
    </row>
    <row r="199" spans="1:9" ht="20.25" customHeight="1" x14ac:dyDescent="0.3">
      <c r="A199" s="249"/>
      <c r="B199" s="250" t="s">
        <v>473</v>
      </c>
      <c r="C199" s="243">
        <f t="shared" si="28"/>
        <v>439381</v>
      </c>
      <c r="D199" s="243">
        <f t="shared" si="28"/>
        <v>977973</v>
      </c>
      <c r="E199" s="243">
        <f t="shared" si="29"/>
        <v>538592</v>
      </c>
      <c r="F199" s="251">
        <f t="shared" si="30"/>
        <v>1.2257972010624036</v>
      </c>
    </row>
    <row r="200" spans="1:9" ht="20.25" customHeight="1" x14ac:dyDescent="0.3">
      <c r="A200" s="249"/>
      <c r="B200" s="250" t="s">
        <v>474</v>
      </c>
      <c r="C200" s="243">
        <f t="shared" si="28"/>
        <v>1127836</v>
      </c>
      <c r="D200" s="243">
        <f t="shared" si="28"/>
        <v>1538955</v>
      </c>
      <c r="E200" s="243">
        <f t="shared" si="29"/>
        <v>411119</v>
      </c>
      <c r="F200" s="251">
        <f t="shared" si="30"/>
        <v>0.3645201961987381</v>
      </c>
    </row>
    <row r="201" spans="1:9" ht="20.25" customHeight="1" x14ac:dyDescent="0.3">
      <c r="A201" s="249"/>
      <c r="B201" s="250" t="s">
        <v>475</v>
      </c>
      <c r="C201" s="243">
        <f t="shared" si="28"/>
        <v>263478</v>
      </c>
      <c r="D201" s="243">
        <f t="shared" si="28"/>
        <v>358752</v>
      </c>
      <c r="E201" s="243">
        <f t="shared" si="29"/>
        <v>95274</v>
      </c>
      <c r="F201" s="251">
        <f t="shared" si="30"/>
        <v>0.36160134812014666</v>
      </c>
    </row>
    <row r="202" spans="1:9" ht="20.25" customHeight="1" x14ac:dyDescent="0.3">
      <c r="A202" s="249"/>
      <c r="B202" s="250" t="s">
        <v>476</v>
      </c>
      <c r="C202" s="252">
        <f t="shared" si="28"/>
        <v>45</v>
      </c>
      <c r="D202" s="252">
        <f t="shared" si="28"/>
        <v>81</v>
      </c>
      <c r="E202" s="252">
        <f t="shared" si="29"/>
        <v>36</v>
      </c>
      <c r="F202" s="251">
        <f t="shared" si="30"/>
        <v>0.8</v>
      </c>
    </row>
    <row r="203" spans="1:9" ht="20.25" customHeight="1" x14ac:dyDescent="0.3">
      <c r="A203" s="249"/>
      <c r="B203" s="250" t="s">
        <v>477</v>
      </c>
      <c r="C203" s="252">
        <f t="shared" si="28"/>
        <v>217</v>
      </c>
      <c r="D203" s="252">
        <f t="shared" si="28"/>
        <v>481</v>
      </c>
      <c r="E203" s="252">
        <f t="shared" si="29"/>
        <v>264</v>
      </c>
      <c r="F203" s="251">
        <f t="shared" si="30"/>
        <v>1.2165898617511521</v>
      </c>
    </row>
    <row r="204" spans="1:9" ht="39.950000000000003" customHeight="1" x14ac:dyDescent="0.3">
      <c r="A204" s="249"/>
      <c r="B204" s="250" t="s">
        <v>478</v>
      </c>
      <c r="C204" s="252">
        <f t="shared" si="28"/>
        <v>1499</v>
      </c>
      <c r="D204" s="252">
        <f t="shared" si="28"/>
        <v>1550</v>
      </c>
      <c r="E204" s="252">
        <f t="shared" si="29"/>
        <v>51</v>
      </c>
      <c r="F204" s="251">
        <f t="shared" si="30"/>
        <v>3.4022681787858569E-2</v>
      </c>
    </row>
    <row r="205" spans="1:9" ht="39.950000000000003" customHeight="1" x14ac:dyDescent="0.3">
      <c r="A205" s="249"/>
      <c r="B205" s="250" t="s">
        <v>479</v>
      </c>
      <c r="C205" s="252">
        <f t="shared" si="28"/>
        <v>133</v>
      </c>
      <c r="D205" s="252">
        <f t="shared" si="28"/>
        <v>149</v>
      </c>
      <c r="E205" s="252">
        <f t="shared" si="29"/>
        <v>16</v>
      </c>
      <c r="F205" s="251">
        <f t="shared" si="30"/>
        <v>0.12030075187969924</v>
      </c>
    </row>
    <row r="206" spans="1:9" ht="39.950000000000003" customHeight="1" x14ac:dyDescent="0.3">
      <c r="A206" s="249"/>
      <c r="B206" s="250" t="s">
        <v>480</v>
      </c>
      <c r="C206" s="252">
        <f t="shared" si="28"/>
        <v>0</v>
      </c>
      <c r="D206" s="252">
        <f t="shared" si="28"/>
        <v>0</v>
      </c>
      <c r="E206" s="252">
        <f t="shared" si="29"/>
        <v>0</v>
      </c>
      <c r="F206" s="251">
        <f t="shared" si="30"/>
        <v>0</v>
      </c>
    </row>
    <row r="207" spans="1:9" ht="20.25" customHeight="1" x14ac:dyDescent="0.3">
      <c r="A207" s="249"/>
      <c r="B207" s="242" t="s">
        <v>481</v>
      </c>
      <c r="C207" s="243">
        <f>+C198+C200</f>
        <v>2004989</v>
      </c>
      <c r="D207" s="243">
        <f>+D198+D200</f>
        <v>3615540</v>
      </c>
      <c r="E207" s="243">
        <f t="shared" si="29"/>
        <v>1610551</v>
      </c>
      <c r="F207" s="251">
        <f t="shared" si="30"/>
        <v>0.80327173864794266</v>
      </c>
    </row>
    <row r="208" spans="1:9" ht="20.25" customHeight="1" x14ac:dyDescent="0.3">
      <c r="A208" s="249"/>
      <c r="B208" s="242" t="s">
        <v>482</v>
      </c>
      <c r="C208" s="243">
        <f>+C199+C201</f>
        <v>702859</v>
      </c>
      <c r="D208" s="243">
        <f>+D199+D201</f>
        <v>1336725</v>
      </c>
      <c r="E208" s="243">
        <f t="shared" si="29"/>
        <v>633866</v>
      </c>
      <c r="F208" s="251">
        <f t="shared" si="30"/>
        <v>0.90183948700948557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FILING&amp;RESSENT-SHARON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483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484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449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453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482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485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446</v>
      </c>
      <c r="C26" s="237">
        <v>781602</v>
      </c>
      <c r="D26" s="237">
        <v>373099</v>
      </c>
      <c r="E26" s="237">
        <f t="shared" ref="E26:E36" si="2">D26-C26</f>
        <v>-408503</v>
      </c>
      <c r="F26" s="238">
        <f t="shared" ref="F26:F36" si="3">IF(C26=0,0,E26/C26)</f>
        <v>-0.52264835555692024</v>
      </c>
    </row>
    <row r="27" spans="1:6" ht="20.25" customHeight="1" x14ac:dyDescent="0.3">
      <c r="A27" s="235">
        <v>2</v>
      </c>
      <c r="B27" s="236" t="s">
        <v>447</v>
      </c>
      <c r="C27" s="237">
        <v>192418</v>
      </c>
      <c r="D27" s="237">
        <v>77810</v>
      </c>
      <c r="E27" s="237">
        <f t="shared" si="2"/>
        <v>-114608</v>
      </c>
      <c r="F27" s="238">
        <f t="shared" si="3"/>
        <v>-0.59561995239530607</v>
      </c>
    </row>
    <row r="28" spans="1:6" ht="20.25" customHeight="1" x14ac:dyDescent="0.3">
      <c r="A28" s="235">
        <v>3</v>
      </c>
      <c r="B28" s="236" t="s">
        <v>448</v>
      </c>
      <c r="C28" s="237">
        <v>1359252</v>
      </c>
      <c r="D28" s="237">
        <v>368221</v>
      </c>
      <c r="E28" s="237">
        <f t="shared" si="2"/>
        <v>-991031</v>
      </c>
      <c r="F28" s="238">
        <f t="shared" si="3"/>
        <v>-0.72910026985430221</v>
      </c>
    </row>
    <row r="29" spans="1:6" ht="20.25" customHeight="1" x14ac:dyDescent="0.3">
      <c r="A29" s="235">
        <v>4</v>
      </c>
      <c r="B29" s="236" t="s">
        <v>449</v>
      </c>
      <c r="C29" s="237">
        <v>349871</v>
      </c>
      <c r="D29" s="237">
        <v>88023</v>
      </c>
      <c r="E29" s="237">
        <f t="shared" si="2"/>
        <v>-261848</v>
      </c>
      <c r="F29" s="238">
        <f t="shared" si="3"/>
        <v>-0.74841298650073884</v>
      </c>
    </row>
    <row r="30" spans="1:6" ht="20.25" customHeight="1" x14ac:dyDescent="0.3">
      <c r="A30" s="235">
        <v>5</v>
      </c>
      <c r="B30" s="236" t="s">
        <v>385</v>
      </c>
      <c r="C30" s="239">
        <v>65</v>
      </c>
      <c r="D30" s="239">
        <v>21</v>
      </c>
      <c r="E30" s="239">
        <f t="shared" si="2"/>
        <v>-44</v>
      </c>
      <c r="F30" s="238">
        <f t="shared" si="3"/>
        <v>-0.67692307692307696</v>
      </c>
    </row>
    <row r="31" spans="1:6" ht="20.25" customHeight="1" x14ac:dyDescent="0.3">
      <c r="A31" s="235">
        <v>6</v>
      </c>
      <c r="B31" s="236" t="s">
        <v>384</v>
      </c>
      <c r="C31" s="239">
        <v>157</v>
      </c>
      <c r="D31" s="239">
        <v>60</v>
      </c>
      <c r="E31" s="239">
        <f t="shared" si="2"/>
        <v>-97</v>
      </c>
      <c r="F31" s="238">
        <f t="shared" si="3"/>
        <v>-0.61783439490445857</v>
      </c>
    </row>
    <row r="32" spans="1:6" ht="20.25" customHeight="1" x14ac:dyDescent="0.3">
      <c r="A32" s="235">
        <v>7</v>
      </c>
      <c r="B32" s="236" t="s">
        <v>450</v>
      </c>
      <c r="C32" s="239">
        <v>1035</v>
      </c>
      <c r="D32" s="239">
        <v>333</v>
      </c>
      <c r="E32" s="239">
        <f t="shared" si="2"/>
        <v>-702</v>
      </c>
      <c r="F32" s="238">
        <f t="shared" si="3"/>
        <v>-0.67826086956521736</v>
      </c>
    </row>
    <row r="33" spans="1:6" ht="20.25" customHeight="1" x14ac:dyDescent="0.3">
      <c r="A33" s="235">
        <v>8</v>
      </c>
      <c r="B33" s="236" t="s">
        <v>451</v>
      </c>
      <c r="C33" s="239">
        <v>575</v>
      </c>
      <c r="D33" s="239">
        <v>146</v>
      </c>
      <c r="E33" s="239">
        <f t="shared" si="2"/>
        <v>-429</v>
      </c>
      <c r="F33" s="238">
        <f t="shared" si="3"/>
        <v>-0.74608695652173918</v>
      </c>
    </row>
    <row r="34" spans="1:6" ht="20.25" customHeight="1" x14ac:dyDescent="0.3">
      <c r="A34" s="235">
        <v>9</v>
      </c>
      <c r="B34" s="236" t="s">
        <v>452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s="240" customFormat="1" ht="39.950000000000003" customHeight="1" x14ac:dyDescent="0.3">
      <c r="A35" s="245"/>
      <c r="B35" s="242" t="s">
        <v>453</v>
      </c>
      <c r="C35" s="243">
        <f>+C26+C28</f>
        <v>2140854</v>
      </c>
      <c r="D35" s="243">
        <f>+D26+D28</f>
        <v>741320</v>
      </c>
      <c r="E35" s="243">
        <f t="shared" si="2"/>
        <v>-1399534</v>
      </c>
      <c r="F35" s="244">
        <f t="shared" si="3"/>
        <v>-0.65372697063881979</v>
      </c>
    </row>
    <row r="36" spans="1:6" s="240" customFormat="1" ht="39.950000000000003" customHeight="1" x14ac:dyDescent="0.3">
      <c r="A36" s="245"/>
      <c r="B36" s="242" t="s">
        <v>482</v>
      </c>
      <c r="C36" s="243">
        <f>+C27+C29</f>
        <v>542289</v>
      </c>
      <c r="D36" s="243">
        <f>+D27+D29</f>
        <v>165833</v>
      </c>
      <c r="E36" s="243">
        <f t="shared" si="2"/>
        <v>-376456</v>
      </c>
      <c r="F36" s="244">
        <f t="shared" si="3"/>
        <v>-0.69419811207677085</v>
      </c>
    </row>
    <row r="37" spans="1:6" ht="42" customHeight="1" x14ac:dyDescent="0.3">
      <c r="A37" s="227" t="s">
        <v>141</v>
      </c>
      <c r="B37" s="261" t="s">
        <v>486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446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447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448</v>
      </c>
      <c r="C40" s="237">
        <v>543</v>
      </c>
      <c r="D40" s="237">
        <v>0</v>
      </c>
      <c r="E40" s="237">
        <f t="shared" si="4"/>
        <v>-543</v>
      </c>
      <c r="F40" s="238">
        <f t="shared" si="5"/>
        <v>-1</v>
      </c>
    </row>
    <row r="41" spans="1:6" ht="20.25" customHeight="1" x14ac:dyDescent="0.3">
      <c r="A41" s="235">
        <v>4</v>
      </c>
      <c r="B41" s="236" t="s">
        <v>449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385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384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450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451</v>
      </c>
      <c r="C45" s="239">
        <v>1</v>
      </c>
      <c r="D45" s="239">
        <v>0</v>
      </c>
      <c r="E45" s="239">
        <f t="shared" si="4"/>
        <v>-1</v>
      </c>
      <c r="F45" s="238">
        <f t="shared" si="5"/>
        <v>-1</v>
      </c>
    </row>
    <row r="46" spans="1:6" ht="20.25" customHeight="1" x14ac:dyDescent="0.3">
      <c r="A46" s="235">
        <v>9</v>
      </c>
      <c r="B46" s="236" t="s">
        <v>452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453</v>
      </c>
      <c r="C47" s="243">
        <f>+C38+C40</f>
        <v>543</v>
      </c>
      <c r="D47" s="243">
        <f>+D38+D40</f>
        <v>0</v>
      </c>
      <c r="E47" s="243">
        <f t="shared" si="4"/>
        <v>-543</v>
      </c>
      <c r="F47" s="244">
        <f t="shared" si="5"/>
        <v>-1</v>
      </c>
    </row>
    <row r="48" spans="1:6" s="240" customFormat="1" ht="39.950000000000003" customHeight="1" x14ac:dyDescent="0.3">
      <c r="A48" s="245"/>
      <c r="B48" s="242" t="s">
        <v>482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487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446</v>
      </c>
      <c r="C50" s="237">
        <v>897619</v>
      </c>
      <c r="D50" s="237">
        <v>20243</v>
      </c>
      <c r="E50" s="237">
        <f t="shared" ref="E50:E60" si="6">D50-C50</f>
        <v>-877376</v>
      </c>
      <c r="F50" s="238">
        <f t="shared" ref="F50:F60" si="7">IF(C50=0,0,E50/C50)</f>
        <v>-0.97744811551448885</v>
      </c>
    </row>
    <row r="51" spans="1:6" ht="20.25" customHeight="1" x14ac:dyDescent="0.3">
      <c r="A51" s="235">
        <v>2</v>
      </c>
      <c r="B51" s="236" t="s">
        <v>447</v>
      </c>
      <c r="C51" s="237">
        <v>295375</v>
      </c>
      <c r="D51" s="237">
        <v>8629</v>
      </c>
      <c r="E51" s="237">
        <f t="shared" si="6"/>
        <v>-286746</v>
      </c>
      <c r="F51" s="238">
        <f t="shared" si="7"/>
        <v>-0.97078628861616589</v>
      </c>
    </row>
    <row r="52" spans="1:6" ht="20.25" customHeight="1" x14ac:dyDescent="0.3">
      <c r="A52" s="235">
        <v>3</v>
      </c>
      <c r="B52" s="236" t="s">
        <v>448</v>
      </c>
      <c r="C52" s="237">
        <v>597363</v>
      </c>
      <c r="D52" s="237">
        <v>80760</v>
      </c>
      <c r="E52" s="237">
        <f t="shared" si="6"/>
        <v>-516603</v>
      </c>
      <c r="F52" s="238">
        <f t="shared" si="7"/>
        <v>-0.86480582158586994</v>
      </c>
    </row>
    <row r="53" spans="1:6" ht="20.25" customHeight="1" x14ac:dyDescent="0.3">
      <c r="A53" s="235">
        <v>4</v>
      </c>
      <c r="B53" s="236" t="s">
        <v>449</v>
      </c>
      <c r="C53" s="237">
        <v>122875</v>
      </c>
      <c r="D53" s="237">
        <v>9293</v>
      </c>
      <c r="E53" s="237">
        <f t="shared" si="6"/>
        <v>-113582</v>
      </c>
      <c r="F53" s="238">
        <f t="shared" si="7"/>
        <v>-0.92437029501525936</v>
      </c>
    </row>
    <row r="54" spans="1:6" ht="20.25" customHeight="1" x14ac:dyDescent="0.3">
      <c r="A54" s="235">
        <v>5</v>
      </c>
      <c r="B54" s="236" t="s">
        <v>385</v>
      </c>
      <c r="C54" s="239">
        <v>58</v>
      </c>
      <c r="D54" s="239">
        <v>2</v>
      </c>
      <c r="E54" s="239">
        <f t="shared" si="6"/>
        <v>-56</v>
      </c>
      <c r="F54" s="238">
        <f t="shared" si="7"/>
        <v>-0.96551724137931039</v>
      </c>
    </row>
    <row r="55" spans="1:6" ht="20.25" customHeight="1" x14ac:dyDescent="0.3">
      <c r="A55" s="235">
        <v>6</v>
      </c>
      <c r="B55" s="236" t="s">
        <v>384</v>
      </c>
      <c r="C55" s="239">
        <v>233</v>
      </c>
      <c r="D55" s="239">
        <v>6</v>
      </c>
      <c r="E55" s="239">
        <f t="shared" si="6"/>
        <v>-227</v>
      </c>
      <c r="F55" s="238">
        <f t="shared" si="7"/>
        <v>-0.97424892703862664</v>
      </c>
    </row>
    <row r="56" spans="1:6" ht="20.25" customHeight="1" x14ac:dyDescent="0.3">
      <c r="A56" s="235">
        <v>7</v>
      </c>
      <c r="B56" s="236" t="s">
        <v>450</v>
      </c>
      <c r="C56" s="239">
        <v>322</v>
      </c>
      <c r="D56" s="239">
        <v>0</v>
      </c>
      <c r="E56" s="239">
        <f t="shared" si="6"/>
        <v>-322</v>
      </c>
      <c r="F56" s="238">
        <f t="shared" si="7"/>
        <v>-1</v>
      </c>
    </row>
    <row r="57" spans="1:6" ht="20.25" customHeight="1" x14ac:dyDescent="0.3">
      <c r="A57" s="235">
        <v>8</v>
      </c>
      <c r="B57" s="236" t="s">
        <v>451</v>
      </c>
      <c r="C57" s="239">
        <v>499</v>
      </c>
      <c r="D57" s="239">
        <v>29</v>
      </c>
      <c r="E57" s="239">
        <f t="shared" si="6"/>
        <v>-470</v>
      </c>
      <c r="F57" s="238">
        <f t="shared" si="7"/>
        <v>-0.94188376753507019</v>
      </c>
    </row>
    <row r="58" spans="1:6" ht="20.25" customHeight="1" x14ac:dyDescent="0.3">
      <c r="A58" s="235">
        <v>9</v>
      </c>
      <c r="B58" s="236" t="s">
        <v>452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453</v>
      </c>
      <c r="C59" s="243">
        <f>+C50+C52</f>
        <v>1494982</v>
      </c>
      <c r="D59" s="243">
        <f>+D50+D52</f>
        <v>101003</v>
      </c>
      <c r="E59" s="243">
        <f t="shared" si="6"/>
        <v>-1393979</v>
      </c>
      <c r="F59" s="244">
        <f t="shared" si="7"/>
        <v>-0.93243865143526816</v>
      </c>
    </row>
    <row r="60" spans="1:6" s="240" customFormat="1" ht="39.950000000000003" customHeight="1" x14ac:dyDescent="0.3">
      <c r="A60" s="245"/>
      <c r="B60" s="242" t="s">
        <v>482</v>
      </c>
      <c r="C60" s="243">
        <f>+C51+C53</f>
        <v>418250</v>
      </c>
      <c r="D60" s="243">
        <f>+D51+D53</f>
        <v>17922</v>
      </c>
      <c r="E60" s="243">
        <f t="shared" si="6"/>
        <v>-400328</v>
      </c>
      <c r="F60" s="244">
        <f t="shared" si="7"/>
        <v>-0.95715002988643161</v>
      </c>
    </row>
    <row r="61" spans="1:6" ht="42" customHeight="1" x14ac:dyDescent="0.3">
      <c r="A61" s="227" t="s">
        <v>176</v>
      </c>
      <c r="B61" s="261" t="s">
        <v>461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446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447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448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449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385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384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450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451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452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453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482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488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446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447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448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449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385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384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450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451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452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453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482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489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446</v>
      </c>
      <c r="C86" s="237">
        <v>108552</v>
      </c>
      <c r="D86" s="237">
        <v>0</v>
      </c>
      <c r="E86" s="237">
        <f t="shared" ref="E86:E96" si="12">D86-C86</f>
        <v>-108552</v>
      </c>
      <c r="F86" s="238">
        <f t="shared" ref="F86:F96" si="13">IF(C86=0,0,E86/C86)</f>
        <v>-1</v>
      </c>
    </row>
    <row r="87" spans="1:6" ht="20.25" customHeight="1" x14ac:dyDescent="0.3">
      <c r="A87" s="235">
        <v>2</v>
      </c>
      <c r="B87" s="236" t="s">
        <v>447</v>
      </c>
      <c r="C87" s="237">
        <v>36488</v>
      </c>
      <c r="D87" s="237">
        <v>0</v>
      </c>
      <c r="E87" s="237">
        <f t="shared" si="12"/>
        <v>-36488</v>
      </c>
      <c r="F87" s="238">
        <f t="shared" si="13"/>
        <v>-1</v>
      </c>
    </row>
    <row r="88" spans="1:6" ht="20.25" customHeight="1" x14ac:dyDescent="0.3">
      <c r="A88" s="235">
        <v>3</v>
      </c>
      <c r="B88" s="236" t="s">
        <v>448</v>
      </c>
      <c r="C88" s="237">
        <v>66059</v>
      </c>
      <c r="D88" s="237">
        <v>8328</v>
      </c>
      <c r="E88" s="237">
        <f t="shared" si="12"/>
        <v>-57731</v>
      </c>
      <c r="F88" s="238">
        <f t="shared" si="13"/>
        <v>-0.8739308799709351</v>
      </c>
    </row>
    <row r="89" spans="1:6" ht="20.25" customHeight="1" x14ac:dyDescent="0.3">
      <c r="A89" s="235">
        <v>4</v>
      </c>
      <c r="B89" s="236" t="s">
        <v>449</v>
      </c>
      <c r="C89" s="237">
        <v>17007</v>
      </c>
      <c r="D89" s="237">
        <v>1671</v>
      </c>
      <c r="E89" s="237">
        <f t="shared" si="12"/>
        <v>-15336</v>
      </c>
      <c r="F89" s="238">
        <f t="shared" si="13"/>
        <v>-0.90174633974245899</v>
      </c>
    </row>
    <row r="90" spans="1:6" ht="20.25" customHeight="1" x14ac:dyDescent="0.3">
      <c r="A90" s="235">
        <v>5</v>
      </c>
      <c r="B90" s="236" t="s">
        <v>385</v>
      </c>
      <c r="C90" s="239">
        <v>9</v>
      </c>
      <c r="D90" s="239">
        <v>0</v>
      </c>
      <c r="E90" s="239">
        <f t="shared" si="12"/>
        <v>-9</v>
      </c>
      <c r="F90" s="238">
        <f t="shared" si="13"/>
        <v>-1</v>
      </c>
    </row>
    <row r="91" spans="1:6" ht="20.25" customHeight="1" x14ac:dyDescent="0.3">
      <c r="A91" s="235">
        <v>6</v>
      </c>
      <c r="B91" s="236" t="s">
        <v>384</v>
      </c>
      <c r="C91" s="239">
        <v>26</v>
      </c>
      <c r="D91" s="239">
        <v>0</v>
      </c>
      <c r="E91" s="239">
        <f t="shared" si="12"/>
        <v>-26</v>
      </c>
      <c r="F91" s="238">
        <f t="shared" si="13"/>
        <v>-1</v>
      </c>
    </row>
    <row r="92" spans="1:6" ht="20.25" customHeight="1" x14ac:dyDescent="0.3">
      <c r="A92" s="235">
        <v>7</v>
      </c>
      <c r="B92" s="236" t="s">
        <v>450</v>
      </c>
      <c r="C92" s="239">
        <v>74</v>
      </c>
      <c r="D92" s="239">
        <v>15</v>
      </c>
      <c r="E92" s="239">
        <f t="shared" si="12"/>
        <v>-59</v>
      </c>
      <c r="F92" s="238">
        <f t="shared" si="13"/>
        <v>-0.79729729729729726</v>
      </c>
    </row>
    <row r="93" spans="1:6" ht="20.25" customHeight="1" x14ac:dyDescent="0.3">
      <c r="A93" s="235">
        <v>8</v>
      </c>
      <c r="B93" s="236" t="s">
        <v>451</v>
      </c>
      <c r="C93" s="239">
        <v>36</v>
      </c>
      <c r="D93" s="239">
        <v>9</v>
      </c>
      <c r="E93" s="239">
        <f t="shared" si="12"/>
        <v>-27</v>
      </c>
      <c r="F93" s="238">
        <f t="shared" si="13"/>
        <v>-0.75</v>
      </c>
    </row>
    <row r="94" spans="1:6" ht="20.25" customHeight="1" x14ac:dyDescent="0.3">
      <c r="A94" s="235">
        <v>9</v>
      </c>
      <c r="B94" s="236" t="s">
        <v>452</v>
      </c>
      <c r="C94" s="239">
        <v>0</v>
      </c>
      <c r="D94" s="239">
        <v>0</v>
      </c>
      <c r="E94" s="239">
        <f t="shared" si="12"/>
        <v>0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453</v>
      </c>
      <c r="C95" s="243">
        <f>+C86+C88</f>
        <v>174611</v>
      </c>
      <c r="D95" s="243">
        <f>+D86+D88</f>
        <v>8328</v>
      </c>
      <c r="E95" s="243">
        <f t="shared" si="12"/>
        <v>-166283</v>
      </c>
      <c r="F95" s="244">
        <f t="shared" si="13"/>
        <v>-0.95230541031206506</v>
      </c>
    </row>
    <row r="96" spans="1:6" s="240" customFormat="1" ht="39.950000000000003" customHeight="1" x14ac:dyDescent="0.3">
      <c r="A96" s="245"/>
      <c r="B96" s="242" t="s">
        <v>482</v>
      </c>
      <c r="C96" s="243">
        <f>+C87+C89</f>
        <v>53495</v>
      </c>
      <c r="D96" s="243">
        <f>+D87+D89</f>
        <v>1671</v>
      </c>
      <c r="E96" s="243">
        <f t="shared" si="12"/>
        <v>-51824</v>
      </c>
      <c r="F96" s="244">
        <f t="shared" si="13"/>
        <v>-0.96876343583512481</v>
      </c>
    </row>
    <row r="97" spans="1:7" ht="42" customHeight="1" x14ac:dyDescent="0.3">
      <c r="A97" s="227" t="s">
        <v>187</v>
      </c>
      <c r="B97" s="261" t="s">
        <v>462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446</v>
      </c>
      <c r="C98" s="237">
        <v>435675</v>
      </c>
      <c r="D98" s="237">
        <v>126205</v>
      </c>
      <c r="E98" s="237">
        <f t="shared" ref="E98:E108" si="14">D98-C98</f>
        <v>-309470</v>
      </c>
      <c r="F98" s="238">
        <f t="shared" ref="F98:F108" si="15">IF(C98=0,0,E98/C98)</f>
        <v>-0.71032306191541861</v>
      </c>
    </row>
    <row r="99" spans="1:7" ht="20.25" customHeight="1" x14ac:dyDescent="0.3">
      <c r="A99" s="235">
        <v>2</v>
      </c>
      <c r="B99" s="236" t="s">
        <v>447</v>
      </c>
      <c r="C99" s="237">
        <v>144224</v>
      </c>
      <c r="D99" s="237">
        <v>31192</v>
      </c>
      <c r="E99" s="237">
        <f t="shared" si="14"/>
        <v>-113032</v>
      </c>
      <c r="F99" s="238">
        <f t="shared" si="15"/>
        <v>-0.78372531617483909</v>
      </c>
    </row>
    <row r="100" spans="1:7" ht="20.25" customHeight="1" x14ac:dyDescent="0.3">
      <c r="A100" s="235">
        <v>3</v>
      </c>
      <c r="B100" s="236" t="s">
        <v>448</v>
      </c>
      <c r="C100" s="237">
        <v>364221</v>
      </c>
      <c r="D100" s="237">
        <v>72216</v>
      </c>
      <c r="E100" s="237">
        <f t="shared" si="14"/>
        <v>-292005</v>
      </c>
      <c r="F100" s="238">
        <f t="shared" si="15"/>
        <v>-0.80172477698979461</v>
      </c>
    </row>
    <row r="101" spans="1:7" ht="20.25" customHeight="1" x14ac:dyDescent="0.3">
      <c r="A101" s="235">
        <v>4</v>
      </c>
      <c r="B101" s="236" t="s">
        <v>449</v>
      </c>
      <c r="C101" s="237">
        <v>97091</v>
      </c>
      <c r="D101" s="237">
        <v>19423</v>
      </c>
      <c r="E101" s="237">
        <f t="shared" si="14"/>
        <v>-77668</v>
      </c>
      <c r="F101" s="238">
        <f t="shared" si="15"/>
        <v>-0.79995056184404323</v>
      </c>
    </row>
    <row r="102" spans="1:7" ht="20.25" customHeight="1" x14ac:dyDescent="0.3">
      <c r="A102" s="235">
        <v>5</v>
      </c>
      <c r="B102" s="236" t="s">
        <v>385</v>
      </c>
      <c r="C102" s="239">
        <v>35</v>
      </c>
      <c r="D102" s="239">
        <v>10</v>
      </c>
      <c r="E102" s="239">
        <f t="shared" si="14"/>
        <v>-25</v>
      </c>
      <c r="F102" s="238">
        <f t="shared" si="15"/>
        <v>-0.7142857142857143</v>
      </c>
    </row>
    <row r="103" spans="1:7" ht="20.25" customHeight="1" x14ac:dyDescent="0.3">
      <c r="A103" s="235">
        <v>6</v>
      </c>
      <c r="B103" s="236" t="s">
        <v>384</v>
      </c>
      <c r="C103" s="239">
        <v>94</v>
      </c>
      <c r="D103" s="239">
        <v>20</v>
      </c>
      <c r="E103" s="239">
        <f t="shared" si="14"/>
        <v>-74</v>
      </c>
      <c r="F103" s="238">
        <f t="shared" si="15"/>
        <v>-0.78723404255319152</v>
      </c>
    </row>
    <row r="104" spans="1:7" ht="20.25" customHeight="1" x14ac:dyDescent="0.3">
      <c r="A104" s="235">
        <v>7</v>
      </c>
      <c r="B104" s="236" t="s">
        <v>450</v>
      </c>
      <c r="C104" s="239">
        <v>233</v>
      </c>
      <c r="D104" s="239">
        <v>92</v>
      </c>
      <c r="E104" s="239">
        <f t="shared" si="14"/>
        <v>-141</v>
      </c>
      <c r="F104" s="238">
        <f t="shared" si="15"/>
        <v>-0.60515021459227469</v>
      </c>
    </row>
    <row r="105" spans="1:7" ht="20.25" customHeight="1" x14ac:dyDescent="0.3">
      <c r="A105" s="235">
        <v>8</v>
      </c>
      <c r="B105" s="236" t="s">
        <v>451</v>
      </c>
      <c r="C105" s="239">
        <v>147</v>
      </c>
      <c r="D105" s="239">
        <v>25</v>
      </c>
      <c r="E105" s="239">
        <f t="shared" si="14"/>
        <v>-122</v>
      </c>
      <c r="F105" s="238">
        <f t="shared" si="15"/>
        <v>-0.82993197278911568</v>
      </c>
    </row>
    <row r="106" spans="1:7" ht="20.25" customHeight="1" x14ac:dyDescent="0.3">
      <c r="A106" s="235">
        <v>9</v>
      </c>
      <c r="B106" s="236" t="s">
        <v>452</v>
      </c>
      <c r="C106" s="239">
        <v>0</v>
      </c>
      <c r="D106" s="239">
        <v>0</v>
      </c>
      <c r="E106" s="239">
        <f t="shared" si="14"/>
        <v>0</v>
      </c>
      <c r="F106" s="238">
        <f t="shared" si="15"/>
        <v>0</v>
      </c>
    </row>
    <row r="107" spans="1:7" s="240" customFormat="1" ht="39.950000000000003" customHeight="1" x14ac:dyDescent="0.3">
      <c r="A107" s="245"/>
      <c r="B107" s="242" t="s">
        <v>453</v>
      </c>
      <c r="C107" s="243">
        <f>+C98+C100</f>
        <v>799896</v>
      </c>
      <c r="D107" s="243">
        <f>+D98+D100</f>
        <v>198421</v>
      </c>
      <c r="E107" s="243">
        <f t="shared" si="14"/>
        <v>-601475</v>
      </c>
      <c r="F107" s="244">
        <f t="shared" si="15"/>
        <v>-0.75194150239531143</v>
      </c>
    </row>
    <row r="108" spans="1:7" s="240" customFormat="1" ht="39.950000000000003" customHeight="1" x14ac:dyDescent="0.3">
      <c r="A108" s="245"/>
      <c r="B108" s="242" t="s">
        <v>482</v>
      </c>
      <c r="C108" s="243">
        <f>+C99+C101</f>
        <v>241315</v>
      </c>
      <c r="D108" s="243">
        <f>+D99+D101</f>
        <v>50615</v>
      </c>
      <c r="E108" s="243">
        <f t="shared" si="14"/>
        <v>-190700</v>
      </c>
      <c r="F108" s="244">
        <f t="shared" si="15"/>
        <v>-0.79025340322814575</v>
      </c>
    </row>
    <row r="109" spans="1:7" s="240" customFormat="1" ht="20.25" customHeight="1" x14ac:dyDescent="0.3">
      <c r="A109" s="688" t="s">
        <v>44</v>
      </c>
      <c r="B109" s="689" t="s">
        <v>490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472</v>
      </c>
      <c r="C112" s="243">
        <f t="shared" ref="C112:D120" si="16">+C98+C86+C74+C62+C50+C38+C26+C14</f>
        <v>2223448</v>
      </c>
      <c r="D112" s="243">
        <f t="shared" si="16"/>
        <v>519547</v>
      </c>
      <c r="E112" s="243">
        <f t="shared" ref="E112:E122" si="17">D112-C112</f>
        <v>-1703901</v>
      </c>
      <c r="F112" s="244">
        <f t="shared" ref="F112:F122" si="18">IF(C112=0,0,E112/C112)</f>
        <v>-0.76633274086014158</v>
      </c>
    </row>
    <row r="113" spans="1:6" ht="20.25" customHeight="1" x14ac:dyDescent="0.3">
      <c r="A113" s="249"/>
      <c r="B113" s="250" t="s">
        <v>473</v>
      </c>
      <c r="C113" s="243">
        <f t="shared" si="16"/>
        <v>668505</v>
      </c>
      <c r="D113" s="243">
        <f t="shared" si="16"/>
        <v>117631</v>
      </c>
      <c r="E113" s="243">
        <f t="shared" si="17"/>
        <v>-550874</v>
      </c>
      <c r="F113" s="244">
        <f t="shared" si="18"/>
        <v>-0.82403871324821809</v>
      </c>
    </row>
    <row r="114" spans="1:6" ht="20.25" customHeight="1" x14ac:dyDescent="0.3">
      <c r="A114" s="249"/>
      <c r="B114" s="250" t="s">
        <v>474</v>
      </c>
      <c r="C114" s="243">
        <f t="shared" si="16"/>
        <v>2387438</v>
      </c>
      <c r="D114" s="243">
        <f t="shared" si="16"/>
        <v>529525</v>
      </c>
      <c r="E114" s="243">
        <f t="shared" si="17"/>
        <v>-1857913</v>
      </c>
      <c r="F114" s="244">
        <f t="shared" si="18"/>
        <v>-0.77820366434646682</v>
      </c>
    </row>
    <row r="115" spans="1:6" ht="20.25" customHeight="1" x14ac:dyDescent="0.3">
      <c r="A115" s="249"/>
      <c r="B115" s="250" t="s">
        <v>475</v>
      </c>
      <c r="C115" s="243">
        <f t="shared" si="16"/>
        <v>586844</v>
      </c>
      <c r="D115" s="243">
        <f t="shared" si="16"/>
        <v>118410</v>
      </c>
      <c r="E115" s="243">
        <f t="shared" si="17"/>
        <v>-468434</v>
      </c>
      <c r="F115" s="244">
        <f t="shared" si="18"/>
        <v>-0.79822576357600994</v>
      </c>
    </row>
    <row r="116" spans="1:6" ht="20.25" customHeight="1" x14ac:dyDescent="0.3">
      <c r="A116" s="249"/>
      <c r="B116" s="250" t="s">
        <v>476</v>
      </c>
      <c r="C116" s="252">
        <f t="shared" si="16"/>
        <v>167</v>
      </c>
      <c r="D116" s="252">
        <f t="shared" si="16"/>
        <v>33</v>
      </c>
      <c r="E116" s="252">
        <f t="shared" si="17"/>
        <v>-134</v>
      </c>
      <c r="F116" s="244">
        <f t="shared" si="18"/>
        <v>-0.80239520958083832</v>
      </c>
    </row>
    <row r="117" spans="1:6" ht="20.25" customHeight="1" x14ac:dyDescent="0.3">
      <c r="A117" s="249"/>
      <c r="B117" s="250" t="s">
        <v>477</v>
      </c>
      <c r="C117" s="252">
        <f t="shared" si="16"/>
        <v>510</v>
      </c>
      <c r="D117" s="252">
        <f t="shared" si="16"/>
        <v>86</v>
      </c>
      <c r="E117" s="252">
        <f t="shared" si="17"/>
        <v>-424</v>
      </c>
      <c r="F117" s="244">
        <f t="shared" si="18"/>
        <v>-0.83137254901960789</v>
      </c>
    </row>
    <row r="118" spans="1:6" ht="39.950000000000003" customHeight="1" x14ac:dyDescent="0.3">
      <c r="A118" s="249"/>
      <c r="B118" s="250" t="s">
        <v>478</v>
      </c>
      <c r="C118" s="252">
        <f t="shared" si="16"/>
        <v>1664</v>
      </c>
      <c r="D118" s="252">
        <f t="shared" si="16"/>
        <v>440</v>
      </c>
      <c r="E118" s="252">
        <f t="shared" si="17"/>
        <v>-1224</v>
      </c>
      <c r="F118" s="244">
        <f t="shared" si="18"/>
        <v>-0.73557692307692313</v>
      </c>
    </row>
    <row r="119" spans="1:6" ht="39.950000000000003" customHeight="1" x14ac:dyDescent="0.3">
      <c r="A119" s="249"/>
      <c r="B119" s="250" t="s">
        <v>479</v>
      </c>
      <c r="C119" s="252">
        <f t="shared" si="16"/>
        <v>1258</v>
      </c>
      <c r="D119" s="252">
        <f t="shared" si="16"/>
        <v>209</v>
      </c>
      <c r="E119" s="252">
        <f t="shared" si="17"/>
        <v>-1049</v>
      </c>
      <c r="F119" s="244">
        <f t="shared" si="18"/>
        <v>-0.83386327503974567</v>
      </c>
    </row>
    <row r="120" spans="1:6" ht="39.950000000000003" customHeight="1" x14ac:dyDescent="0.3">
      <c r="A120" s="249"/>
      <c r="B120" s="250" t="s">
        <v>480</v>
      </c>
      <c r="C120" s="252">
        <f t="shared" si="16"/>
        <v>0</v>
      </c>
      <c r="D120" s="252">
        <f t="shared" si="16"/>
        <v>0</v>
      </c>
      <c r="E120" s="252">
        <f t="shared" si="17"/>
        <v>0</v>
      </c>
      <c r="F120" s="244">
        <f t="shared" si="18"/>
        <v>0</v>
      </c>
    </row>
    <row r="121" spans="1:6" ht="39.950000000000003" customHeight="1" x14ac:dyDescent="0.3">
      <c r="A121" s="249"/>
      <c r="B121" s="242" t="s">
        <v>453</v>
      </c>
      <c r="C121" s="243">
        <f>+C112+C114</f>
        <v>4610886</v>
      </c>
      <c r="D121" s="243">
        <f>+D112+D114</f>
        <v>1049072</v>
      </c>
      <c r="E121" s="243">
        <f t="shared" si="17"/>
        <v>-3561814</v>
      </c>
      <c r="F121" s="244">
        <f t="shared" si="18"/>
        <v>-0.77247930224256245</v>
      </c>
    </row>
    <row r="122" spans="1:6" ht="39.950000000000003" customHeight="1" x14ac:dyDescent="0.3">
      <c r="A122" s="249"/>
      <c r="B122" s="242" t="s">
        <v>482</v>
      </c>
      <c r="C122" s="243">
        <f>+C113+C115</f>
        <v>1255349</v>
      </c>
      <c r="D122" s="243">
        <f>+D113+D115</f>
        <v>236041</v>
      </c>
      <c r="E122" s="243">
        <f t="shared" si="17"/>
        <v>-1019308</v>
      </c>
      <c r="F122" s="244">
        <f t="shared" si="18"/>
        <v>-0.81197181022966525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FILING&amp;RESSENT-SHARON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491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492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0</v>
      </c>
      <c r="D13" s="23">
        <v>0</v>
      </c>
      <c r="E13" s="23">
        <f t="shared" ref="E13:E22" si="0">D13-C13</f>
        <v>0</v>
      </c>
      <c r="F13" s="24">
        <f t="shared" ref="F13:F22" si="1">IF(C13=0,0,E13/C13)</f>
        <v>0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7311670</v>
      </c>
      <c r="D15" s="23">
        <v>7516850</v>
      </c>
      <c r="E15" s="23">
        <f t="shared" si="0"/>
        <v>205180</v>
      </c>
      <c r="F15" s="24">
        <f t="shared" si="1"/>
        <v>2.8061988574429646E-2</v>
      </c>
    </row>
    <row r="16" spans="1:8" ht="35.1" customHeight="1" x14ac:dyDescent="0.2">
      <c r="A16" s="21">
        <v>4</v>
      </c>
      <c r="B16" s="22" t="s">
        <v>19</v>
      </c>
      <c r="C16" s="23">
        <v>0</v>
      </c>
      <c r="D16" s="23">
        <v>0</v>
      </c>
      <c r="E16" s="23">
        <f t="shared" si="0"/>
        <v>0</v>
      </c>
      <c r="F16" s="24">
        <f t="shared" si="1"/>
        <v>0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1160296</v>
      </c>
      <c r="D19" s="23">
        <v>1143076</v>
      </c>
      <c r="E19" s="23">
        <f t="shared" si="0"/>
        <v>-17220</v>
      </c>
      <c r="F19" s="24">
        <f t="shared" si="1"/>
        <v>-1.4841040562063474E-2</v>
      </c>
    </row>
    <row r="20" spans="1:11" ht="24" customHeight="1" x14ac:dyDescent="0.2">
      <c r="A20" s="21">
        <v>8</v>
      </c>
      <c r="B20" s="22" t="s">
        <v>23</v>
      </c>
      <c r="C20" s="23">
        <v>659267</v>
      </c>
      <c r="D20" s="23">
        <v>552202</v>
      </c>
      <c r="E20" s="23">
        <f t="shared" si="0"/>
        <v>-107065</v>
      </c>
      <c r="F20" s="24">
        <f t="shared" si="1"/>
        <v>-0.16240005945997601</v>
      </c>
    </row>
    <row r="21" spans="1:11" ht="24" customHeight="1" x14ac:dyDescent="0.2">
      <c r="A21" s="21">
        <v>9</v>
      </c>
      <c r="B21" s="22" t="s">
        <v>24</v>
      </c>
      <c r="C21" s="23">
        <v>899965</v>
      </c>
      <c r="D21" s="23">
        <v>730076</v>
      </c>
      <c r="E21" s="23">
        <f t="shared" si="0"/>
        <v>-169889</v>
      </c>
      <c r="F21" s="24">
        <f t="shared" si="1"/>
        <v>-0.18877289672376149</v>
      </c>
    </row>
    <row r="22" spans="1:11" ht="24" customHeight="1" x14ac:dyDescent="0.25">
      <c r="A22" s="25"/>
      <c r="B22" s="26" t="s">
        <v>25</v>
      </c>
      <c r="C22" s="27">
        <f>SUM(C13:C21)</f>
        <v>10031198</v>
      </c>
      <c r="D22" s="27">
        <f>SUM(D13:D21)</f>
        <v>9942204</v>
      </c>
      <c r="E22" s="27">
        <f t="shared" si="0"/>
        <v>-88994</v>
      </c>
      <c r="F22" s="28">
        <f t="shared" si="1"/>
        <v>-8.8717220016990995E-3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0</v>
      </c>
      <c r="D28" s="23">
        <v>0</v>
      </c>
      <c r="E28" s="23">
        <f>D28-C28</f>
        <v>0</v>
      </c>
      <c r="F28" s="24">
        <f>IF(C28=0,0,E28/C28)</f>
        <v>0</v>
      </c>
    </row>
    <row r="29" spans="1:11" ht="35.1" customHeight="1" x14ac:dyDescent="0.25">
      <c r="A29" s="25"/>
      <c r="B29" s="26" t="s">
        <v>32</v>
      </c>
      <c r="C29" s="27">
        <f>SUM(C25:C28)</f>
        <v>0</v>
      </c>
      <c r="D29" s="27">
        <f>SUM(D25:D28)</f>
        <v>0</v>
      </c>
      <c r="E29" s="27">
        <f>D29-C29</f>
        <v>0</v>
      </c>
      <c r="F29" s="28">
        <f>IF(C29=0,0,E29/C29)</f>
        <v>0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0</v>
      </c>
      <c r="D32" s="23">
        <v>0</v>
      </c>
      <c r="E32" s="23">
        <f>D32-C32</f>
        <v>0</v>
      </c>
      <c r="F32" s="24">
        <f>IF(C32=0,0,E32/C32)</f>
        <v>0</v>
      </c>
    </row>
    <row r="33" spans="1:8" ht="24" customHeight="1" x14ac:dyDescent="0.2">
      <c r="A33" s="21">
        <v>7</v>
      </c>
      <c r="B33" s="22" t="s">
        <v>35</v>
      </c>
      <c r="C33" s="23">
        <v>11012577</v>
      </c>
      <c r="D33" s="23">
        <v>1942091</v>
      </c>
      <c r="E33" s="23">
        <f>D33-C33</f>
        <v>-9070486</v>
      </c>
      <c r="F33" s="24">
        <f>IF(C33=0,0,E33/C33)</f>
        <v>-0.82364790729726567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59691984</v>
      </c>
      <c r="D36" s="23">
        <v>62033192</v>
      </c>
      <c r="E36" s="23">
        <f>D36-C36</f>
        <v>2341208</v>
      </c>
      <c r="F36" s="24">
        <f>IF(C36=0,0,E36/C36)</f>
        <v>3.9221480726792393E-2</v>
      </c>
    </row>
    <row r="37" spans="1:8" ht="24" customHeight="1" x14ac:dyDescent="0.2">
      <c r="A37" s="21">
        <v>2</v>
      </c>
      <c r="B37" s="22" t="s">
        <v>39</v>
      </c>
      <c r="C37" s="23">
        <v>22976106</v>
      </c>
      <c r="D37" s="23">
        <v>26189685</v>
      </c>
      <c r="E37" s="23">
        <f>D37-C37</f>
        <v>3213579</v>
      </c>
      <c r="F37" s="23">
        <f>IF(C37=0,0,E37/C37)</f>
        <v>0.13986612875132104</v>
      </c>
    </row>
    <row r="38" spans="1:8" ht="24" customHeight="1" x14ac:dyDescent="0.25">
      <c r="A38" s="25"/>
      <c r="B38" s="26" t="s">
        <v>40</v>
      </c>
      <c r="C38" s="27">
        <f>C36-C37</f>
        <v>36715878</v>
      </c>
      <c r="D38" s="27">
        <f>D36-D37</f>
        <v>35843507</v>
      </c>
      <c r="E38" s="27">
        <f>D38-C38</f>
        <v>-872371</v>
      </c>
      <c r="F38" s="28">
        <f>IF(C38=0,0,E38/C38)</f>
        <v>-2.3760047356078479E-2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1286396</v>
      </c>
      <c r="D40" s="23">
        <v>429573</v>
      </c>
      <c r="E40" s="23">
        <f>D40-C40</f>
        <v>-856823</v>
      </c>
      <c r="F40" s="24">
        <f>IF(C40=0,0,E40/C40)</f>
        <v>-0.66606472656942339</v>
      </c>
    </row>
    <row r="41" spans="1:8" ht="24" customHeight="1" x14ac:dyDescent="0.25">
      <c r="A41" s="25"/>
      <c r="B41" s="26" t="s">
        <v>42</v>
      </c>
      <c r="C41" s="27">
        <f>+C38+C40</f>
        <v>38002274</v>
      </c>
      <c r="D41" s="27">
        <f>+D38+D40</f>
        <v>36273080</v>
      </c>
      <c r="E41" s="27">
        <f>D41-C41</f>
        <v>-1729194</v>
      </c>
      <c r="F41" s="28">
        <f>IF(C41=0,0,E41/C41)</f>
        <v>-4.5502382304806285E-2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59046049</v>
      </c>
      <c r="D43" s="27">
        <f>D22+D29+D31+D32+D33+D41</f>
        <v>48157375</v>
      </c>
      <c r="E43" s="27">
        <f>D43-C43</f>
        <v>-10888674</v>
      </c>
      <c r="F43" s="28">
        <f>IF(C43=0,0,E43/C43)</f>
        <v>-0.18440986627233941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1540982</v>
      </c>
      <c r="D49" s="23">
        <v>1836580</v>
      </c>
      <c r="E49" s="23">
        <f t="shared" ref="E49:E56" si="2">D49-C49</f>
        <v>295598</v>
      </c>
      <c r="F49" s="24">
        <f t="shared" ref="F49:F56" si="3">IF(C49=0,0,E49/C49)</f>
        <v>0.1918244340297291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4553440</v>
      </c>
      <c r="D50" s="23">
        <v>4114911</v>
      </c>
      <c r="E50" s="23">
        <f t="shared" si="2"/>
        <v>-438529</v>
      </c>
      <c r="F50" s="24">
        <f t="shared" si="3"/>
        <v>-9.6307187532942123E-2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441349</v>
      </c>
      <c r="D51" s="23">
        <v>9120</v>
      </c>
      <c r="E51" s="23">
        <f t="shared" si="2"/>
        <v>-432229</v>
      </c>
      <c r="F51" s="24">
        <f t="shared" si="3"/>
        <v>-0.97933608096993541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0</v>
      </c>
      <c r="D53" s="23">
        <v>0</v>
      </c>
      <c r="E53" s="23">
        <f t="shared" si="2"/>
        <v>0</v>
      </c>
      <c r="F53" s="24">
        <f t="shared" si="3"/>
        <v>0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660667</v>
      </c>
      <c r="D54" s="23">
        <v>0</v>
      </c>
      <c r="E54" s="23">
        <f t="shared" si="2"/>
        <v>-660667</v>
      </c>
      <c r="F54" s="24">
        <f t="shared" si="3"/>
        <v>-1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7196438</v>
      </c>
      <c r="D56" s="27">
        <f>SUM(D49:D55)</f>
        <v>5960611</v>
      </c>
      <c r="E56" s="27">
        <f t="shared" si="2"/>
        <v>-1235827</v>
      </c>
      <c r="F56" s="28">
        <f t="shared" si="3"/>
        <v>-0.17172759634697055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33337500</v>
      </c>
      <c r="D60" s="23">
        <v>24196785</v>
      </c>
      <c r="E60" s="23">
        <f>D60-C60</f>
        <v>-9140715</v>
      </c>
      <c r="F60" s="24">
        <f>IF(C60=0,0,E60/C60)</f>
        <v>-0.27418717660292463</v>
      </c>
    </row>
    <row r="61" spans="1:6" ht="24" customHeight="1" x14ac:dyDescent="0.25">
      <c r="A61" s="25"/>
      <c r="B61" s="26" t="s">
        <v>58</v>
      </c>
      <c r="C61" s="27">
        <f>SUM(C59:C60)</f>
        <v>33337500</v>
      </c>
      <c r="D61" s="27">
        <f>SUM(D59:D60)</f>
        <v>24196785</v>
      </c>
      <c r="E61" s="27">
        <f>D61-C61</f>
        <v>-9140715</v>
      </c>
      <c r="F61" s="28">
        <f>IF(C61=0,0,E61/C61)</f>
        <v>-0.27418717660292463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1386000</v>
      </c>
      <c r="D63" s="23">
        <v>1403000</v>
      </c>
      <c r="E63" s="23">
        <f>D63-C63</f>
        <v>17000</v>
      </c>
      <c r="F63" s="24">
        <f>IF(C63=0,0,E63/C63)</f>
        <v>1.2265512265512266E-2</v>
      </c>
    </row>
    <row r="64" spans="1:6" ht="24" customHeight="1" x14ac:dyDescent="0.2">
      <c r="A64" s="21">
        <v>4</v>
      </c>
      <c r="B64" s="22" t="s">
        <v>60</v>
      </c>
      <c r="C64" s="23">
        <v>1091186</v>
      </c>
      <c r="D64" s="23">
        <v>354160</v>
      </c>
      <c r="E64" s="23">
        <f>D64-C64</f>
        <v>-737026</v>
      </c>
      <c r="F64" s="24">
        <f>IF(C64=0,0,E64/C64)</f>
        <v>-0.67543571856677043</v>
      </c>
    </row>
    <row r="65" spans="1:6" ht="24" customHeight="1" x14ac:dyDescent="0.25">
      <c r="A65" s="25"/>
      <c r="B65" s="26" t="s">
        <v>61</v>
      </c>
      <c r="C65" s="27">
        <f>SUM(C61:C64)</f>
        <v>35814686</v>
      </c>
      <c r="D65" s="27">
        <f>SUM(D61:D64)</f>
        <v>25953945</v>
      </c>
      <c r="E65" s="27">
        <f>D65-C65</f>
        <v>-9860741</v>
      </c>
      <c r="F65" s="28">
        <f>IF(C65=0,0,E65/C65)</f>
        <v>-0.27532674724552941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250000</v>
      </c>
      <c r="E67" s="23">
        <f>D67-C67</f>
        <v>250000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16034925</v>
      </c>
      <c r="D70" s="23">
        <v>15992819</v>
      </c>
      <c r="E70" s="23">
        <f>D70-C70</f>
        <v>-42106</v>
      </c>
      <c r="F70" s="24">
        <f>IF(C70=0,0,E70/C70)</f>
        <v>-2.6258931675701633E-3</v>
      </c>
    </row>
    <row r="71" spans="1:6" ht="24" customHeight="1" x14ac:dyDescent="0.2">
      <c r="A71" s="21">
        <v>2</v>
      </c>
      <c r="B71" s="22" t="s">
        <v>65</v>
      </c>
      <c r="C71" s="23">
        <v>0</v>
      </c>
      <c r="D71" s="23">
        <v>0</v>
      </c>
      <c r="E71" s="23">
        <f>D71-C71</f>
        <v>0</v>
      </c>
      <c r="F71" s="24">
        <f>IF(C71=0,0,E71/C71)</f>
        <v>0</v>
      </c>
    </row>
    <row r="72" spans="1:6" ht="24" customHeight="1" x14ac:dyDescent="0.2">
      <c r="A72" s="21">
        <v>3</v>
      </c>
      <c r="B72" s="22" t="s">
        <v>66</v>
      </c>
      <c r="C72" s="23">
        <v>0</v>
      </c>
      <c r="D72" s="23">
        <v>0</v>
      </c>
      <c r="E72" s="23">
        <f>D72-C72</f>
        <v>0</v>
      </c>
      <c r="F72" s="24">
        <f>IF(C72=0,0,E72/C72)</f>
        <v>0</v>
      </c>
    </row>
    <row r="73" spans="1:6" ht="24" customHeight="1" x14ac:dyDescent="0.25">
      <c r="A73" s="21"/>
      <c r="B73" s="26" t="s">
        <v>67</v>
      </c>
      <c r="C73" s="27">
        <f>SUM(C70:C72)</f>
        <v>16034925</v>
      </c>
      <c r="D73" s="27">
        <f>SUM(D70:D72)</f>
        <v>15992819</v>
      </c>
      <c r="E73" s="27">
        <f>D73-C73</f>
        <v>-42106</v>
      </c>
      <c r="F73" s="28">
        <f>IF(C73=0,0,E73/C73)</f>
        <v>-2.6258931675701633E-3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59046049</v>
      </c>
      <c r="D75" s="27">
        <f>D56+D65+D67+D73</f>
        <v>48157375</v>
      </c>
      <c r="E75" s="27">
        <f>D75-C75</f>
        <v>-10888674</v>
      </c>
      <c r="F75" s="28">
        <f>IF(C75=0,0,E75/C75)</f>
        <v>-0.18440986627233941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FILING&amp;RSHARON HOSPITAL HOLDING CO,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491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493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136983069</v>
      </c>
      <c r="D12" s="51">
        <v>146615022</v>
      </c>
      <c r="E12" s="51">
        <f t="shared" ref="E12:E19" si="0">D12-C12</f>
        <v>9631953</v>
      </c>
      <c r="F12" s="70">
        <f t="shared" ref="F12:F19" si="1">IF(C12=0,0,E12/C12)</f>
        <v>7.0314916071854111E-2</v>
      </c>
    </row>
    <row r="13" spans="1:8" ht="23.1" customHeight="1" x14ac:dyDescent="0.2">
      <c r="A13" s="25">
        <v>2</v>
      </c>
      <c r="B13" s="48" t="s">
        <v>72</v>
      </c>
      <c r="C13" s="51">
        <v>76700497</v>
      </c>
      <c r="D13" s="51">
        <v>85945146</v>
      </c>
      <c r="E13" s="51">
        <f t="shared" si="0"/>
        <v>9244649</v>
      </c>
      <c r="F13" s="70">
        <f t="shared" si="1"/>
        <v>0.12052919292035356</v>
      </c>
    </row>
    <row r="14" spans="1:8" ht="23.1" customHeight="1" x14ac:dyDescent="0.2">
      <c r="A14" s="25">
        <v>3</v>
      </c>
      <c r="B14" s="48" t="s">
        <v>73</v>
      </c>
      <c r="C14" s="51">
        <v>942411</v>
      </c>
      <c r="D14" s="51">
        <v>760089</v>
      </c>
      <c r="E14" s="51">
        <f t="shared" si="0"/>
        <v>-182322</v>
      </c>
      <c r="F14" s="70">
        <f t="shared" si="1"/>
        <v>-0.19346336152697707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530703</v>
      </c>
      <c r="E15" s="51">
        <f t="shared" si="0"/>
        <v>530703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59340161</v>
      </c>
      <c r="D16" s="27">
        <f>D12-D13-D14-D15</f>
        <v>59379084</v>
      </c>
      <c r="E16" s="27">
        <f t="shared" si="0"/>
        <v>38923</v>
      </c>
      <c r="F16" s="28">
        <f t="shared" si="1"/>
        <v>6.5593013810663571E-4</v>
      </c>
    </row>
    <row r="17" spans="1:7" ht="23.1" customHeight="1" x14ac:dyDescent="0.2">
      <c r="A17" s="25">
        <v>5</v>
      </c>
      <c r="B17" s="48" t="s">
        <v>76</v>
      </c>
      <c r="C17" s="51">
        <v>458274</v>
      </c>
      <c r="D17" s="51">
        <v>482704</v>
      </c>
      <c r="E17" s="51">
        <f t="shared" si="0"/>
        <v>24430</v>
      </c>
      <c r="F17" s="70">
        <f t="shared" si="1"/>
        <v>5.330871923783588E-2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59798435</v>
      </c>
      <c r="D19" s="27">
        <f>SUM(D16:D18)</f>
        <v>59861788</v>
      </c>
      <c r="E19" s="27">
        <f t="shared" si="0"/>
        <v>63353</v>
      </c>
      <c r="F19" s="28">
        <f t="shared" si="1"/>
        <v>1.0594424419301275E-3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20275583</v>
      </c>
      <c r="D22" s="51">
        <v>20311872</v>
      </c>
      <c r="E22" s="51">
        <f t="shared" ref="E22:E31" si="2">D22-C22</f>
        <v>36289</v>
      </c>
      <c r="F22" s="70">
        <f t="shared" ref="F22:F31" si="3">IF(C22=0,0,E22/C22)</f>
        <v>1.7897882393813288E-3</v>
      </c>
    </row>
    <row r="23" spans="1:7" ht="23.1" customHeight="1" x14ac:dyDescent="0.2">
      <c r="A23" s="25">
        <v>2</v>
      </c>
      <c r="B23" s="48" t="s">
        <v>81</v>
      </c>
      <c r="C23" s="51">
        <v>4288690</v>
      </c>
      <c r="D23" s="51">
        <v>4776447</v>
      </c>
      <c r="E23" s="51">
        <f t="shared" si="2"/>
        <v>487757</v>
      </c>
      <c r="F23" s="70">
        <f t="shared" si="3"/>
        <v>0.11373099944272028</v>
      </c>
    </row>
    <row r="24" spans="1:7" ht="23.1" customHeight="1" x14ac:dyDescent="0.2">
      <c r="A24" s="25">
        <v>3</v>
      </c>
      <c r="B24" s="48" t="s">
        <v>82</v>
      </c>
      <c r="C24" s="51">
        <v>1650916</v>
      </c>
      <c r="D24" s="51">
        <v>1399248</v>
      </c>
      <c r="E24" s="51">
        <f t="shared" si="2"/>
        <v>-251668</v>
      </c>
      <c r="F24" s="70">
        <f t="shared" si="3"/>
        <v>-0.15244143251382869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6316079</v>
      </c>
      <c r="D25" s="51">
        <v>6837410</v>
      </c>
      <c r="E25" s="51">
        <f t="shared" si="2"/>
        <v>521331</v>
      </c>
      <c r="F25" s="70">
        <f t="shared" si="3"/>
        <v>8.2540291215483536E-2</v>
      </c>
    </row>
    <row r="26" spans="1:7" ht="23.1" customHeight="1" x14ac:dyDescent="0.2">
      <c r="A26" s="25">
        <v>5</v>
      </c>
      <c r="B26" s="48" t="s">
        <v>84</v>
      </c>
      <c r="C26" s="51">
        <v>3230817</v>
      </c>
      <c r="D26" s="51">
        <v>3213579</v>
      </c>
      <c r="E26" s="51">
        <f t="shared" si="2"/>
        <v>-17238</v>
      </c>
      <c r="F26" s="70">
        <f t="shared" si="3"/>
        <v>-5.3354925395031659E-3</v>
      </c>
    </row>
    <row r="27" spans="1:7" ht="23.1" customHeight="1" x14ac:dyDescent="0.2">
      <c r="A27" s="25">
        <v>6</v>
      </c>
      <c r="B27" s="48" t="s">
        <v>85</v>
      </c>
      <c r="C27" s="51">
        <v>3904445</v>
      </c>
      <c r="D27" s="51">
        <v>3224489</v>
      </c>
      <c r="E27" s="51">
        <f t="shared" si="2"/>
        <v>-679956</v>
      </c>
      <c r="F27" s="70">
        <f t="shared" si="3"/>
        <v>-0.17414920686550842</v>
      </c>
    </row>
    <row r="28" spans="1:7" ht="23.1" customHeight="1" x14ac:dyDescent="0.2">
      <c r="A28" s="25">
        <v>7</v>
      </c>
      <c r="B28" s="48" t="s">
        <v>86</v>
      </c>
      <c r="C28" s="51">
        <v>1664350</v>
      </c>
      <c r="D28" s="51">
        <v>136325</v>
      </c>
      <c r="E28" s="51">
        <f t="shared" si="2"/>
        <v>-1528025</v>
      </c>
      <c r="F28" s="70">
        <f t="shared" si="3"/>
        <v>-0.91809114669390457</v>
      </c>
    </row>
    <row r="29" spans="1:7" ht="23.1" customHeight="1" x14ac:dyDescent="0.2">
      <c r="A29" s="25">
        <v>8</v>
      </c>
      <c r="B29" s="48" t="s">
        <v>87</v>
      </c>
      <c r="C29" s="51">
        <v>1184253</v>
      </c>
      <c r="D29" s="51">
        <v>1113805</v>
      </c>
      <c r="E29" s="51">
        <f t="shared" si="2"/>
        <v>-70448</v>
      </c>
      <c r="F29" s="70">
        <f t="shared" si="3"/>
        <v>-5.9487288611470693E-2</v>
      </c>
    </row>
    <row r="30" spans="1:7" ht="23.1" customHeight="1" x14ac:dyDescent="0.2">
      <c r="A30" s="25">
        <v>9</v>
      </c>
      <c r="B30" s="48" t="s">
        <v>88</v>
      </c>
      <c r="C30" s="51">
        <v>15786519</v>
      </c>
      <c r="D30" s="51">
        <v>18869214</v>
      </c>
      <c r="E30" s="51">
        <f t="shared" si="2"/>
        <v>3082695</v>
      </c>
      <c r="F30" s="70">
        <f t="shared" si="3"/>
        <v>0.19527389160333572</v>
      </c>
    </row>
    <row r="31" spans="1:7" ht="23.1" customHeight="1" x14ac:dyDescent="0.25">
      <c r="A31" s="29"/>
      <c r="B31" s="71" t="s">
        <v>89</v>
      </c>
      <c r="C31" s="27">
        <f>SUM(C22:C30)</f>
        <v>58301652</v>
      </c>
      <c r="D31" s="27">
        <f>SUM(D22:D30)</f>
        <v>59882389</v>
      </c>
      <c r="E31" s="27">
        <f t="shared" si="2"/>
        <v>1580737</v>
      </c>
      <c r="F31" s="28">
        <f t="shared" si="3"/>
        <v>2.7113073914269186E-2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1496783</v>
      </c>
      <c r="D33" s="27">
        <f>+D19-D31</f>
        <v>-20601</v>
      </c>
      <c r="E33" s="27">
        <f>D33-C33</f>
        <v>-1517384</v>
      </c>
      <c r="F33" s="28">
        <f>IF(C33=0,0,E33/C33)</f>
        <v>-1.0137635181586109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0</v>
      </c>
      <c r="E36" s="51">
        <f>D36-C36</f>
        <v>0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0</v>
      </c>
      <c r="D38" s="51">
        <v>0</v>
      </c>
      <c r="E38" s="51">
        <f>D38-C38</f>
        <v>0</v>
      </c>
      <c r="F38" s="70">
        <f>IF(C38=0,0,E38/C38)</f>
        <v>0</v>
      </c>
    </row>
    <row r="39" spans="1:6" ht="23.1" customHeight="1" x14ac:dyDescent="0.25">
      <c r="A39" s="20"/>
      <c r="B39" s="71" t="s">
        <v>95</v>
      </c>
      <c r="C39" s="27">
        <f>SUM(C36:C38)</f>
        <v>0</v>
      </c>
      <c r="D39" s="27">
        <f>SUM(D36:D38)</f>
        <v>0</v>
      </c>
      <c r="E39" s="27">
        <f>D39-C39</f>
        <v>0</v>
      </c>
      <c r="F39" s="28">
        <f>IF(C39=0,0,E39/C39)</f>
        <v>0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1496783</v>
      </c>
      <c r="D41" s="27">
        <f>D33+D39</f>
        <v>-20601</v>
      </c>
      <c r="E41" s="27">
        <f>D41-C41</f>
        <v>-1517384</v>
      </c>
      <c r="F41" s="28">
        <f>IF(C41=0,0,E41/C41)</f>
        <v>-1.0137635181586109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1496783</v>
      </c>
      <c r="D48" s="27">
        <f>D41+D46</f>
        <v>-20601</v>
      </c>
      <c r="E48" s="27">
        <f>D48-C48</f>
        <v>-1517384</v>
      </c>
      <c r="F48" s="28">
        <f>IF(C48=0,0,E48/C48)</f>
        <v>-1.0137635181586109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FILING&amp;R&amp;8SHARON HOSPITAL HOLDING CO,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2013-09-11T11:49:11Z</cp:lastPrinted>
  <dcterms:created xsi:type="dcterms:W3CDTF">2006-08-03T13:49:12Z</dcterms:created>
  <dcterms:modified xsi:type="dcterms:W3CDTF">2013-09-12T14:56:17Z</dcterms:modified>
</cp:coreProperties>
</file>