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5" i="14"/>
  <c r="D130" i="14"/>
  <c r="D129" i="14"/>
  <c r="D124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32" i="14"/>
  <c r="D29" i="14"/>
  <c r="D24" i="14"/>
  <c r="D23" i="14"/>
  <c r="D20" i="14"/>
  <c r="D21" i="14"/>
  <c r="D126" i="14"/>
  <c r="D127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101" i="19"/>
  <c r="E103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2" i="19"/>
  <c r="E53" i="19"/>
  <c r="E21" i="19"/>
  <c r="D21" i="19"/>
  <c r="C21" i="19"/>
  <c r="E12" i="19"/>
  <c r="E34" i="19"/>
  <c r="E33" i="19"/>
  <c r="D12" i="19"/>
  <c r="D33" i="19"/>
  <c r="C12" i="19"/>
  <c r="C34" i="19"/>
  <c r="C22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E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F24" i="17"/>
  <c r="E24" i="17"/>
  <c r="F23" i="17"/>
  <c r="E23" i="17"/>
  <c r="F22" i="17"/>
  <c r="E22" i="17"/>
  <c r="E25" i="17"/>
  <c r="F25" i="17"/>
  <c r="D19" i="17"/>
  <c r="D20" i="17"/>
  <c r="E20" i="17"/>
  <c r="C19" i="17"/>
  <c r="C20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1" i="16"/>
  <c r="E328" i="15"/>
  <c r="E325" i="15"/>
  <c r="D324" i="15"/>
  <c r="D326" i="15"/>
  <c r="C324" i="15"/>
  <c r="C326" i="15"/>
  <c r="C330" i="15"/>
  <c r="E318" i="15"/>
  <c r="E315" i="15"/>
  <c r="D314" i="15"/>
  <c r="D316" i="15"/>
  <c r="D320" i="15"/>
  <c r="C314" i="15"/>
  <c r="E314" i="15"/>
  <c r="E308" i="15"/>
  <c r="E305" i="15"/>
  <c r="D301" i="15"/>
  <c r="D303" i="15"/>
  <c r="D306" i="15"/>
  <c r="D310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E276" i="15"/>
  <c r="C276" i="15"/>
  <c r="E270" i="15"/>
  <c r="D265" i="15"/>
  <c r="D302" i="15"/>
  <c r="C265" i="15"/>
  <c r="C302" i="15"/>
  <c r="D262" i="15"/>
  <c r="E262" i="15"/>
  <c r="C262" i="15"/>
  <c r="D251" i="15"/>
  <c r="C251" i="15"/>
  <c r="D233" i="15"/>
  <c r="E233" i="15"/>
  <c r="C233" i="15"/>
  <c r="D232" i="15"/>
  <c r="C232" i="15"/>
  <c r="E232" i="15"/>
  <c r="D231" i="15"/>
  <c r="C231" i="15"/>
  <c r="D230" i="15"/>
  <c r="C230" i="15"/>
  <c r="E230" i="15"/>
  <c r="D228" i="15"/>
  <c r="C228" i="15"/>
  <c r="D227" i="15"/>
  <c r="E227" i="15"/>
  <c r="C227" i="15"/>
  <c r="D221" i="15"/>
  <c r="D245" i="15"/>
  <c r="C221" i="15"/>
  <c r="E221" i="15"/>
  <c r="D220" i="15"/>
  <c r="D244" i="15"/>
  <c r="E220" i="15"/>
  <c r="C220" i="15"/>
  <c r="C244" i="15"/>
  <c r="D219" i="15"/>
  <c r="E219" i="15"/>
  <c r="C219" i="15"/>
  <c r="C243" i="15"/>
  <c r="D218" i="15"/>
  <c r="D242" i="15"/>
  <c r="C218" i="15"/>
  <c r="C242" i="15"/>
  <c r="C217" i="15"/>
  <c r="D216" i="15"/>
  <c r="E216" i="15"/>
  <c r="C216" i="15"/>
  <c r="C240" i="15"/>
  <c r="D215" i="15"/>
  <c r="D239" i="15"/>
  <c r="C215" i="15"/>
  <c r="E209" i="15"/>
  <c r="E208" i="15"/>
  <c r="E207" i="15"/>
  <c r="E206" i="15"/>
  <c r="D205" i="15"/>
  <c r="D229" i="15"/>
  <c r="C205" i="15"/>
  <c r="C210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E186" i="15"/>
  <c r="E185" i="15"/>
  <c r="D179" i="15"/>
  <c r="C179" i="15"/>
  <c r="E179" i="15"/>
  <c r="D178" i="15"/>
  <c r="C178" i="15"/>
  <c r="D177" i="15"/>
  <c r="C177" i="15"/>
  <c r="E177" i="15"/>
  <c r="D176" i="15"/>
  <c r="E176" i="15"/>
  <c r="C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E151" i="15"/>
  <c r="E150" i="15"/>
  <c r="E149" i="15"/>
  <c r="C144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C71" i="15"/>
  <c r="D70" i="15"/>
  <c r="E70" i="15"/>
  <c r="C70" i="15"/>
  <c r="C76" i="15"/>
  <c r="D69" i="15"/>
  <c r="C69" i="15"/>
  <c r="C77" i="15"/>
  <c r="C65" i="15"/>
  <c r="C66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E37" i="15"/>
  <c r="D36" i="15"/>
  <c r="E36" i="15"/>
  <c r="C36" i="15"/>
  <c r="D32" i="15"/>
  <c r="C32" i="15"/>
  <c r="C33" i="15"/>
  <c r="C295" i="15"/>
  <c r="E31" i="15"/>
  <c r="E30" i="15"/>
  <c r="E29" i="15"/>
  <c r="E28" i="15"/>
  <c r="E27" i="15"/>
  <c r="E26" i="15"/>
  <c r="E25" i="15"/>
  <c r="D21" i="15"/>
  <c r="D22" i="15"/>
  <c r="E22" i="15"/>
  <c r="C21" i="15"/>
  <c r="C22" i="15"/>
  <c r="C284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F308" i="14"/>
  <c r="E308" i="14"/>
  <c r="E307" i="14"/>
  <c r="C307" i="14"/>
  <c r="C299" i="14"/>
  <c r="C298" i="14"/>
  <c r="E298" i="14"/>
  <c r="F298" i="14"/>
  <c r="C297" i="14"/>
  <c r="C296" i="14"/>
  <c r="E296" i="14"/>
  <c r="F296" i="14"/>
  <c r="C295" i="14"/>
  <c r="C294" i="14"/>
  <c r="E294" i="14"/>
  <c r="F294" i="14"/>
  <c r="C250" i="14"/>
  <c r="E250" i="14"/>
  <c r="F250" i="14"/>
  <c r="C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F238" i="14"/>
  <c r="C237" i="14"/>
  <c r="E237" i="14"/>
  <c r="E234" i="14"/>
  <c r="F234" i="14"/>
  <c r="F233" i="14"/>
  <c r="E233" i="14"/>
  <c r="E230" i="14"/>
  <c r="C230" i="14"/>
  <c r="C229" i="14"/>
  <c r="E228" i="14"/>
  <c r="F228" i="14"/>
  <c r="C226" i="14"/>
  <c r="F225" i="14"/>
  <c r="E225" i="14"/>
  <c r="E224" i="14"/>
  <c r="F224" i="14"/>
  <c r="C223" i="14"/>
  <c r="E222" i="14"/>
  <c r="F222" i="14"/>
  <c r="E221" i="14"/>
  <c r="F221" i="14"/>
  <c r="C204" i="14"/>
  <c r="C203" i="14"/>
  <c r="C283" i="14"/>
  <c r="C198" i="14"/>
  <c r="E198" i="14"/>
  <c r="C191" i="14"/>
  <c r="C264" i="14"/>
  <c r="C189" i="14"/>
  <c r="C262" i="14"/>
  <c r="C188" i="14"/>
  <c r="C277" i="14"/>
  <c r="C180" i="14"/>
  <c r="E180" i="14"/>
  <c r="C179" i="14"/>
  <c r="E179" i="14"/>
  <c r="C171" i="14"/>
  <c r="E171" i="14"/>
  <c r="F171" i="14"/>
  <c r="C170" i="14"/>
  <c r="E170" i="14"/>
  <c r="E169" i="14"/>
  <c r="F169" i="14"/>
  <c r="E168" i="14"/>
  <c r="F168" i="14"/>
  <c r="C165" i="14"/>
  <c r="E165" i="14"/>
  <c r="F165" i="14"/>
  <c r="C164" i="14"/>
  <c r="E164" i="14"/>
  <c r="E163" i="14"/>
  <c r="F163" i="14"/>
  <c r="C158" i="14"/>
  <c r="E158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F145" i="14"/>
  <c r="E144" i="14"/>
  <c r="C144" i="14"/>
  <c r="C137" i="14"/>
  <c r="C136" i="14"/>
  <c r="C135" i="14"/>
  <c r="E134" i="14"/>
  <c r="F134" i="14"/>
  <c r="E133" i="14"/>
  <c r="F133" i="14"/>
  <c r="C130" i="14"/>
  <c r="E130" i="14"/>
  <c r="C129" i="14"/>
  <c r="E129" i="14"/>
  <c r="F129" i="14"/>
  <c r="E128" i="14"/>
  <c r="F128" i="14"/>
  <c r="C123" i="14"/>
  <c r="C193" i="14"/>
  <c r="E122" i="14"/>
  <c r="F122" i="14"/>
  <c r="E121" i="14"/>
  <c r="F121" i="14"/>
  <c r="C120" i="14"/>
  <c r="E120" i="14"/>
  <c r="E119" i="14"/>
  <c r="F119" i="14"/>
  <c r="E118" i="14"/>
  <c r="F118" i="14"/>
  <c r="C110" i="14"/>
  <c r="C109" i="14"/>
  <c r="C111" i="14"/>
  <c r="C101" i="14"/>
  <c r="C102" i="14"/>
  <c r="E102" i="14"/>
  <c r="C100" i="14"/>
  <c r="E99" i="14"/>
  <c r="F99" i="14"/>
  <c r="E98" i="14"/>
  <c r="F98" i="14"/>
  <c r="E95" i="14"/>
  <c r="C95" i="14"/>
  <c r="F95" i="14"/>
  <c r="C94" i="14"/>
  <c r="E93" i="14"/>
  <c r="F93" i="14"/>
  <c r="C88" i="14"/>
  <c r="C89" i="14"/>
  <c r="E87" i="14"/>
  <c r="F87" i="14"/>
  <c r="E86" i="14"/>
  <c r="F86" i="14"/>
  <c r="C85" i="14"/>
  <c r="E85" i="14"/>
  <c r="E84" i="14"/>
  <c r="F84" i="14"/>
  <c r="E83" i="14"/>
  <c r="F83" i="14"/>
  <c r="E76" i="14"/>
  <c r="C76" i="14"/>
  <c r="C77" i="14"/>
  <c r="F74" i="14"/>
  <c r="E74" i="14"/>
  <c r="F73" i="14"/>
  <c r="E73" i="14"/>
  <c r="C67" i="14"/>
  <c r="C66" i="14"/>
  <c r="C68" i="14"/>
  <c r="C59" i="14"/>
  <c r="E59" i="14"/>
  <c r="C58" i="14"/>
  <c r="E58" i="14"/>
  <c r="F58" i="14"/>
  <c r="F57" i="14"/>
  <c r="E57" i="14"/>
  <c r="F56" i="14"/>
  <c r="E56" i="14"/>
  <c r="C53" i="14"/>
  <c r="C52" i="14"/>
  <c r="E52" i="14"/>
  <c r="E51" i="14"/>
  <c r="F51" i="14"/>
  <c r="C48" i="14"/>
  <c r="C47" i="14"/>
  <c r="E47" i="14"/>
  <c r="F47" i="14"/>
  <c r="F46" i="14"/>
  <c r="E46" i="14"/>
  <c r="F45" i="14"/>
  <c r="E45" i="14"/>
  <c r="C44" i="14"/>
  <c r="E43" i="14"/>
  <c r="F43" i="14"/>
  <c r="E42" i="14"/>
  <c r="F42" i="14"/>
  <c r="C36" i="14"/>
  <c r="E35" i="14"/>
  <c r="C35" i="14"/>
  <c r="C30" i="14"/>
  <c r="E30" i="14"/>
  <c r="F29" i="14"/>
  <c r="C29" i="14"/>
  <c r="E29" i="14"/>
  <c r="E28" i="14"/>
  <c r="F28" i="14"/>
  <c r="E27" i="14"/>
  <c r="F27" i="14"/>
  <c r="C24" i="14"/>
  <c r="C23" i="14"/>
  <c r="E23" i="14"/>
  <c r="F22" i="14"/>
  <c r="E22" i="14"/>
  <c r="C21" i="14"/>
  <c r="E20" i="14"/>
  <c r="C20" i="14"/>
  <c r="F20" i="14"/>
  <c r="E19" i="14"/>
  <c r="F19" i="14"/>
  <c r="E18" i="14"/>
  <c r="F18" i="14"/>
  <c r="C17" i="14"/>
  <c r="E16" i="14"/>
  <c r="F16" i="14"/>
  <c r="E15" i="14"/>
  <c r="F15" i="14"/>
  <c r="D21" i="13"/>
  <c r="C21" i="13"/>
  <c r="E21" i="13"/>
  <c r="E20" i="13"/>
  <c r="F20" i="13"/>
  <c r="D17" i="13"/>
  <c r="C17" i="13"/>
  <c r="E17" i="13"/>
  <c r="E16" i="13"/>
  <c r="F16" i="13"/>
  <c r="D13" i="13"/>
  <c r="E13" i="13"/>
  <c r="F13" i="13"/>
  <c r="C13" i="13"/>
  <c r="E12" i="13"/>
  <c r="F12" i="13"/>
  <c r="D99" i="12"/>
  <c r="C99" i="12"/>
  <c r="E98" i="12"/>
  <c r="F98" i="12"/>
  <c r="E97" i="12"/>
  <c r="F97" i="12"/>
  <c r="E96" i="12"/>
  <c r="F96" i="12"/>
  <c r="D92" i="12"/>
  <c r="E92" i="12"/>
  <c r="C92" i="12"/>
  <c r="E91" i="12"/>
  <c r="F91" i="12"/>
  <c r="E90" i="12"/>
  <c r="F90" i="12"/>
  <c r="E89" i="12"/>
  <c r="F89" i="12"/>
  <c r="F88" i="12"/>
  <c r="E88" i="12"/>
  <c r="E87" i="12"/>
  <c r="F87" i="12"/>
  <c r="D84" i="12"/>
  <c r="E84" i="12"/>
  <c r="C84" i="12"/>
  <c r="E83" i="12"/>
  <c r="F83" i="12"/>
  <c r="F82" i="12"/>
  <c r="E82" i="12"/>
  <c r="E81" i="12"/>
  <c r="F81" i="12"/>
  <c r="E80" i="12"/>
  <c r="F80" i="12"/>
  <c r="F79" i="12"/>
  <c r="E79" i="12"/>
  <c r="D75" i="12"/>
  <c r="C75" i="12"/>
  <c r="E74" i="12"/>
  <c r="F74" i="12"/>
  <c r="E73" i="12"/>
  <c r="F73" i="12"/>
  <c r="D70" i="12"/>
  <c r="E70" i="12"/>
  <c r="C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E54" i="12"/>
  <c r="F54" i="12"/>
  <c r="F53" i="12"/>
  <c r="E53" i="12"/>
  <c r="D50" i="12"/>
  <c r="C50" i="12"/>
  <c r="E50" i="12"/>
  <c r="E49" i="12"/>
  <c r="F49" i="12"/>
  <c r="E48" i="12"/>
  <c r="F48" i="12"/>
  <c r="D45" i="12"/>
  <c r="C45" i="12"/>
  <c r="F45" i="12"/>
  <c r="F44" i="12"/>
  <c r="E44" i="12"/>
  <c r="F43" i="12"/>
  <c r="E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29" i="12"/>
  <c r="E29" i="12"/>
  <c r="F28" i="12"/>
  <c r="E28" i="12"/>
  <c r="E27" i="12"/>
  <c r="F27" i="12"/>
  <c r="E26" i="12"/>
  <c r="F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I17" i="11"/>
  <c r="F17" i="11"/>
  <c r="F31" i="11"/>
  <c r="E17" i="11"/>
  <c r="E33" i="11"/>
  <c r="E36" i="11"/>
  <c r="E38" i="11"/>
  <c r="E40" i="11"/>
  <c r="E31" i="11"/>
  <c r="D17" i="11"/>
  <c r="D31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D75" i="10"/>
  <c r="E73" i="10"/>
  <c r="E75" i="10"/>
  <c r="D73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C50" i="10"/>
  <c r="E54" i="10"/>
  <c r="D54" i="10"/>
  <c r="C54" i="10"/>
  <c r="E50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F46" i="9"/>
  <c r="F45" i="9"/>
  <c r="E45" i="9"/>
  <c r="F44" i="9"/>
  <c r="E44" i="9"/>
  <c r="D39" i="9"/>
  <c r="C39" i="9"/>
  <c r="E38" i="9"/>
  <c r="F38" i="9"/>
  <c r="E37" i="9"/>
  <c r="F37" i="9"/>
  <c r="E36" i="9"/>
  <c r="F36" i="9"/>
  <c r="D31" i="9"/>
  <c r="C31" i="9"/>
  <c r="E30" i="9"/>
  <c r="F30" i="9"/>
  <c r="E29" i="9"/>
  <c r="F29" i="9"/>
  <c r="F28" i="9"/>
  <c r="E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D19" i="9"/>
  <c r="D33" i="9"/>
  <c r="D41" i="9"/>
  <c r="D48" i="9"/>
  <c r="C16" i="9"/>
  <c r="C19" i="9"/>
  <c r="E15" i="9"/>
  <c r="F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E67" i="8"/>
  <c r="F67" i="8"/>
  <c r="E64" i="8"/>
  <c r="F64" i="8"/>
  <c r="F63" i="8"/>
  <c r="E63" i="8"/>
  <c r="D61" i="8"/>
  <c r="D65" i="8"/>
  <c r="C61" i="8"/>
  <c r="E60" i="8"/>
  <c r="F60" i="8"/>
  <c r="F59" i="8"/>
  <c r="E59" i="8"/>
  <c r="D56" i="8"/>
  <c r="E56" i="8"/>
  <c r="D75" i="8"/>
  <c r="C56" i="8"/>
  <c r="E55" i="8"/>
  <c r="F55" i="8"/>
  <c r="F54" i="8"/>
  <c r="E54" i="8"/>
  <c r="E53" i="8"/>
  <c r="F53" i="8"/>
  <c r="F52" i="8"/>
  <c r="E52" i="8"/>
  <c r="E51" i="8"/>
  <c r="F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7" i="8"/>
  <c r="F37" i="8"/>
  <c r="E36" i="8"/>
  <c r="F36" i="8"/>
  <c r="E33" i="8"/>
  <c r="F33" i="8"/>
  <c r="F32" i="8"/>
  <c r="E32" i="8"/>
  <c r="F31" i="8"/>
  <c r="E31" i="8"/>
  <c r="D29" i="8"/>
  <c r="E29" i="8"/>
  <c r="C29" i="8"/>
  <c r="E28" i="8"/>
  <c r="F28" i="8"/>
  <c r="F27" i="8"/>
  <c r="E27" i="8"/>
  <c r="F26" i="8"/>
  <c r="E26" i="8"/>
  <c r="F25" i="8"/>
  <c r="E25" i="8"/>
  <c r="D22" i="8"/>
  <c r="D43" i="8"/>
  <c r="C22" i="8"/>
  <c r="E21" i="8"/>
  <c r="F21" i="8"/>
  <c r="E20" i="8"/>
  <c r="F20" i="8"/>
  <c r="E19" i="8"/>
  <c r="F19" i="8"/>
  <c r="F18" i="8"/>
  <c r="E18" i="8"/>
  <c r="E17" i="8"/>
  <c r="F17" i="8"/>
  <c r="F16" i="8"/>
  <c r="E16" i="8"/>
  <c r="E15" i="8"/>
  <c r="F15" i="8"/>
  <c r="F14" i="8"/>
  <c r="E14" i="8"/>
  <c r="E13" i="8"/>
  <c r="F13" i="8"/>
  <c r="D120" i="7"/>
  <c r="E120" i="7"/>
  <c r="C120" i="7"/>
  <c r="D119" i="7"/>
  <c r="C119" i="7"/>
  <c r="D118" i="7"/>
  <c r="C118" i="7"/>
  <c r="D117" i="7"/>
  <c r="E117" i="7"/>
  <c r="C117" i="7"/>
  <c r="D116" i="7"/>
  <c r="E116" i="7"/>
  <c r="C116" i="7"/>
  <c r="D115" i="7"/>
  <c r="C115" i="7"/>
  <c r="D114" i="7"/>
  <c r="C114" i="7"/>
  <c r="D113" i="7"/>
  <c r="E113" i="7"/>
  <c r="C113" i="7"/>
  <c r="C122" i="7"/>
  <c r="D112" i="7"/>
  <c r="D121" i="7"/>
  <c r="C112" i="7"/>
  <c r="E112" i="7"/>
  <c r="D108" i="7"/>
  <c r="C108" i="7"/>
  <c r="D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D95" i="7"/>
  <c r="E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C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/>
  <c r="D59" i="7"/>
  <c r="E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/>
  <c r="D47" i="7"/>
  <c r="C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D205" i="6"/>
  <c r="C205" i="6"/>
  <c r="D204" i="6"/>
  <c r="C204" i="6"/>
  <c r="E204" i="6"/>
  <c r="D203" i="6"/>
  <c r="E203" i="6"/>
  <c r="C203" i="6"/>
  <c r="D202" i="6"/>
  <c r="E202" i="6"/>
  <c r="C202" i="6"/>
  <c r="D201" i="6"/>
  <c r="C201" i="6"/>
  <c r="D200" i="6"/>
  <c r="C200" i="6"/>
  <c r="E200" i="6"/>
  <c r="D199" i="6"/>
  <c r="D208" i="6"/>
  <c r="C199" i="6"/>
  <c r="E199" i="6"/>
  <c r="D198" i="6"/>
  <c r="D207" i="6"/>
  <c r="C198" i="6"/>
  <c r="C207" i="6"/>
  <c r="D193" i="6"/>
  <c r="C193" i="6"/>
  <c r="D192" i="6"/>
  <c r="E192" i="6"/>
  <c r="C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C180" i="6"/>
  <c r="E180" i="6"/>
  <c r="D179" i="6"/>
  <c r="C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/>
  <c r="D153" i="6"/>
  <c r="C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D140" i="6"/>
  <c r="C140" i="6"/>
  <c r="E140" i="6"/>
  <c r="E139" i="6"/>
  <c r="F139" i="6"/>
  <c r="F138" i="6"/>
  <c r="E138" i="6"/>
  <c r="E137" i="6"/>
  <c r="F137" i="6"/>
  <c r="E136" i="6"/>
  <c r="F136" i="6"/>
  <c r="E135" i="6"/>
  <c r="F135" i="6"/>
  <c r="F134" i="6"/>
  <c r="E134" i="6"/>
  <c r="E133" i="6"/>
  <c r="F133" i="6"/>
  <c r="E132" i="6"/>
  <c r="F132" i="6"/>
  <c r="E131" i="6"/>
  <c r="F131" i="6"/>
  <c r="D128" i="6"/>
  <c r="C128" i="6"/>
  <c r="E128" i="6"/>
  <c r="F128" i="6"/>
  <c r="D127" i="6"/>
  <c r="C127" i="6"/>
  <c r="E127" i="6"/>
  <c r="F127" i="6"/>
  <c r="F126" i="6"/>
  <c r="E126" i="6"/>
  <c r="E125" i="6"/>
  <c r="F125" i="6"/>
  <c r="E124" i="6"/>
  <c r="F124" i="6"/>
  <c r="E123" i="6"/>
  <c r="F123" i="6"/>
  <c r="F122" i="6"/>
  <c r="E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C114" i="6"/>
  <c r="E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E102" i="6"/>
  <c r="D101" i="6"/>
  <c r="C101" i="6"/>
  <c r="E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E89" i="6"/>
  <c r="D88" i="6"/>
  <c r="C88" i="6"/>
  <c r="E88" i="6"/>
  <c r="F87" i="6"/>
  <c r="E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E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E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E37" i="6"/>
  <c r="D36" i="6"/>
  <c r="C36" i="6"/>
  <c r="E36" i="6"/>
  <c r="F35" i="6"/>
  <c r="E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E24" i="6"/>
  <c r="F24" i="6"/>
  <c r="C24" i="6"/>
  <c r="D23" i="6"/>
  <c r="E23" i="6"/>
  <c r="F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C147" i="5"/>
  <c r="C143" i="5"/>
  <c r="C149" i="5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D84" i="5"/>
  <c r="D79" i="5"/>
  <c r="C84" i="5"/>
  <c r="E83" i="5"/>
  <c r="D83" i="5"/>
  <c r="C83" i="5"/>
  <c r="C79" i="5"/>
  <c r="E79" i="5"/>
  <c r="D77" i="5"/>
  <c r="D71" i="5"/>
  <c r="E75" i="5"/>
  <c r="E77" i="5"/>
  <c r="E71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E38" i="5"/>
  <c r="E49" i="5"/>
  <c r="D38" i="5"/>
  <c r="D43" i="5"/>
  <c r="C38" i="5"/>
  <c r="C53" i="5"/>
  <c r="E33" i="5"/>
  <c r="E34" i="5"/>
  <c r="D33" i="5"/>
  <c r="D34" i="5"/>
  <c r="E26" i="5"/>
  <c r="D26" i="5"/>
  <c r="C26" i="5"/>
  <c r="D25" i="5"/>
  <c r="D27" i="5"/>
  <c r="D21" i="5"/>
  <c r="E13" i="5"/>
  <c r="E15" i="5"/>
  <c r="D13" i="5"/>
  <c r="D15" i="5"/>
  <c r="D24" i="5"/>
  <c r="C13" i="5"/>
  <c r="C25" i="5"/>
  <c r="C27" i="5"/>
  <c r="F186" i="4"/>
  <c r="E186" i="4"/>
  <c r="D183" i="4"/>
  <c r="E183" i="4"/>
  <c r="F183" i="4"/>
  <c r="C183" i="4"/>
  <c r="F182" i="4"/>
  <c r="E182" i="4"/>
  <c r="E181" i="4"/>
  <c r="F181" i="4"/>
  <c r="F180" i="4"/>
  <c r="E180" i="4"/>
  <c r="E179" i="4"/>
  <c r="F179" i="4"/>
  <c r="E178" i="4"/>
  <c r="F178" i="4"/>
  <c r="E177" i="4"/>
  <c r="F177" i="4"/>
  <c r="E176" i="4"/>
  <c r="F176" i="4"/>
  <c r="F175" i="4"/>
  <c r="E175" i="4"/>
  <c r="F174" i="4"/>
  <c r="E174" i="4"/>
  <c r="E173" i="4"/>
  <c r="F173" i="4"/>
  <c r="F172" i="4"/>
  <c r="E172" i="4"/>
  <c r="E171" i="4"/>
  <c r="F171" i="4"/>
  <c r="E170" i="4"/>
  <c r="F170" i="4"/>
  <c r="D167" i="4"/>
  <c r="C167" i="4"/>
  <c r="C188" i="4"/>
  <c r="E166" i="4"/>
  <c r="F166" i="4"/>
  <c r="E165" i="4"/>
  <c r="F165" i="4"/>
  <c r="F164" i="4"/>
  <c r="E164" i="4"/>
  <c r="E163" i="4"/>
  <c r="F163" i="4"/>
  <c r="F162" i="4"/>
  <c r="E162" i="4"/>
  <c r="E161" i="4"/>
  <c r="F161" i="4"/>
  <c r="F160" i="4"/>
  <c r="E160" i="4"/>
  <c r="F159" i="4"/>
  <c r="E159" i="4"/>
  <c r="E158" i="4"/>
  <c r="F158" i="4"/>
  <c r="E157" i="4"/>
  <c r="F157" i="4"/>
  <c r="E156" i="4"/>
  <c r="F156" i="4"/>
  <c r="E155" i="4"/>
  <c r="F155" i="4"/>
  <c r="F154" i="4"/>
  <c r="E154" i="4"/>
  <c r="E153" i="4"/>
  <c r="F153" i="4"/>
  <c r="F152" i="4"/>
  <c r="E152" i="4"/>
  <c r="E151" i="4"/>
  <c r="F151" i="4"/>
  <c r="E150" i="4"/>
  <c r="F150" i="4"/>
  <c r="F149" i="4"/>
  <c r="E149" i="4"/>
  <c r="F148" i="4"/>
  <c r="E148" i="4"/>
  <c r="E147" i="4"/>
  <c r="F147" i="4"/>
  <c r="E146" i="4"/>
  <c r="F146" i="4"/>
  <c r="E145" i="4"/>
  <c r="F145" i="4"/>
  <c r="F144" i="4"/>
  <c r="E144" i="4"/>
  <c r="E143" i="4"/>
  <c r="F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E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D121" i="4"/>
  <c r="C121" i="4"/>
  <c r="E121" i="4"/>
  <c r="E120" i="4"/>
  <c r="F120" i="4"/>
  <c r="E119" i="4"/>
  <c r="F119" i="4"/>
  <c r="E118" i="4"/>
  <c r="F118" i="4"/>
  <c r="E117" i="4"/>
  <c r="F117" i="4"/>
  <c r="F116" i="4"/>
  <c r="E116" i="4"/>
  <c r="E115" i="4"/>
  <c r="F115" i="4"/>
  <c r="E114" i="4"/>
  <c r="F114" i="4"/>
  <c r="E113" i="4"/>
  <c r="F113" i="4"/>
  <c r="E112" i="4"/>
  <c r="F112" i="4"/>
  <c r="F111" i="4"/>
  <c r="E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E90" i="4"/>
  <c r="D90" i="4"/>
  <c r="C90" i="4"/>
  <c r="F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F72" i="4"/>
  <c r="E72" i="4"/>
  <c r="E71" i="4"/>
  <c r="F71" i="4"/>
  <c r="E70" i="4"/>
  <c r="F70" i="4"/>
  <c r="E69" i="4"/>
  <c r="F69" i="4"/>
  <c r="E68" i="4"/>
  <c r="F68" i="4"/>
  <c r="F67" i="4"/>
  <c r="E67" i="4"/>
  <c r="E66" i="4"/>
  <c r="F66" i="4"/>
  <c r="E65" i="4"/>
  <c r="F65" i="4"/>
  <c r="F64" i="4"/>
  <c r="E64" i="4"/>
  <c r="E63" i="4"/>
  <c r="F63" i="4"/>
  <c r="E62" i="4"/>
  <c r="F62" i="4"/>
  <c r="D59" i="4"/>
  <c r="E59" i="4"/>
  <c r="F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C95" i="4"/>
  <c r="F40" i="4"/>
  <c r="E40" i="4"/>
  <c r="E39" i="4"/>
  <c r="F39" i="4"/>
  <c r="E38" i="4"/>
  <c r="F38" i="4"/>
  <c r="D35" i="4"/>
  <c r="C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C24" i="4"/>
  <c r="E24" i="4"/>
  <c r="E23" i="4"/>
  <c r="F23" i="4"/>
  <c r="E22" i="4"/>
  <c r="F22" i="4"/>
  <c r="E21" i="4"/>
  <c r="F21" i="4"/>
  <c r="D18" i="4"/>
  <c r="E18" i="4"/>
  <c r="F18" i="4"/>
  <c r="C18" i="4"/>
  <c r="E17" i="4"/>
  <c r="F17" i="4"/>
  <c r="E16" i="4"/>
  <c r="F16" i="4"/>
  <c r="E15" i="4"/>
  <c r="F15" i="4"/>
  <c r="D179" i="3"/>
  <c r="C179" i="3"/>
  <c r="E179" i="3"/>
  <c r="E178" i="3"/>
  <c r="F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5" i="3"/>
  <c r="F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E153" i="3"/>
  <c r="E152" i="3"/>
  <c r="F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F137" i="3"/>
  <c r="C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E124" i="3"/>
  <c r="F124" i="3"/>
  <c r="E123" i="3"/>
  <c r="F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0" i="3"/>
  <c r="F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E94" i="3"/>
  <c r="D93" i="3"/>
  <c r="C93" i="3"/>
  <c r="E93" i="3"/>
  <c r="D92" i="3"/>
  <c r="C92" i="3"/>
  <c r="E92" i="3"/>
  <c r="D91" i="3"/>
  <c r="C91" i="3"/>
  <c r="E91" i="3"/>
  <c r="F91" i="3"/>
  <c r="D90" i="3"/>
  <c r="C90" i="3"/>
  <c r="E90" i="3"/>
  <c r="D89" i="3"/>
  <c r="C89" i="3"/>
  <c r="E89" i="3"/>
  <c r="F89" i="3"/>
  <c r="D88" i="3"/>
  <c r="C88" i="3"/>
  <c r="E88" i="3"/>
  <c r="D87" i="3"/>
  <c r="C87" i="3"/>
  <c r="E87" i="3"/>
  <c r="F87" i="3"/>
  <c r="D86" i="3"/>
  <c r="C86" i="3"/>
  <c r="E86" i="3"/>
  <c r="D85" i="3"/>
  <c r="C85" i="3"/>
  <c r="E85" i="3"/>
  <c r="F85" i="3"/>
  <c r="D84" i="3"/>
  <c r="D95" i="3"/>
  <c r="E95" i="3"/>
  <c r="F95" i="3"/>
  <c r="C84" i="3"/>
  <c r="D81" i="3"/>
  <c r="C81" i="3"/>
  <c r="E81" i="3"/>
  <c r="E80" i="3"/>
  <c r="F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F68" i="3"/>
  <c r="C68" i="3"/>
  <c r="E67" i="3"/>
  <c r="F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E51" i="3"/>
  <c r="F51" i="3"/>
  <c r="D50" i="3"/>
  <c r="C50" i="3"/>
  <c r="E50" i="3"/>
  <c r="D49" i="3"/>
  <c r="C49" i="3"/>
  <c r="E49" i="3"/>
  <c r="F49" i="3"/>
  <c r="D48" i="3"/>
  <c r="C48" i="3"/>
  <c r="E48" i="3"/>
  <c r="D47" i="3"/>
  <c r="C47" i="3"/>
  <c r="E47" i="3"/>
  <c r="F47" i="3"/>
  <c r="D46" i="3"/>
  <c r="C46" i="3"/>
  <c r="E46" i="3"/>
  <c r="D45" i="3"/>
  <c r="C45" i="3"/>
  <c r="E45" i="3"/>
  <c r="F45" i="3"/>
  <c r="D44" i="3"/>
  <c r="C44" i="3"/>
  <c r="E44" i="3"/>
  <c r="D43" i="3"/>
  <c r="C43" i="3"/>
  <c r="E43" i="3"/>
  <c r="F43" i="3"/>
  <c r="D42" i="3"/>
  <c r="C42" i="3"/>
  <c r="E42" i="3"/>
  <c r="D41" i="3"/>
  <c r="D52" i="3"/>
  <c r="C41" i="3"/>
  <c r="E41" i="3"/>
  <c r="D38" i="3"/>
  <c r="C38" i="3"/>
  <c r="E38" i="3"/>
  <c r="F38" i="3"/>
  <c r="E37" i="3"/>
  <c r="F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4" i="3"/>
  <c r="F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5" i="2"/>
  <c r="F45" i="2"/>
  <c r="F44" i="2"/>
  <c r="E44" i="2"/>
  <c r="D39" i="2"/>
  <c r="C39" i="2"/>
  <c r="E38" i="2"/>
  <c r="F38" i="2"/>
  <c r="E37" i="2"/>
  <c r="F37" i="2"/>
  <c r="E36" i="2"/>
  <c r="F36" i="2"/>
  <c r="D31" i="2"/>
  <c r="C31" i="2"/>
  <c r="E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E16" i="2"/>
  <c r="C16" i="2"/>
  <c r="F16" i="2"/>
  <c r="F15" i="2"/>
  <c r="E15" i="2"/>
  <c r="E14" i="2"/>
  <c r="F14" i="2"/>
  <c r="E13" i="2"/>
  <c r="F13" i="2"/>
  <c r="E12" i="2"/>
  <c r="F12" i="2"/>
  <c r="D73" i="1"/>
  <c r="C73" i="1"/>
  <c r="F72" i="1"/>
  <c r="E72" i="1"/>
  <c r="E71" i="1"/>
  <c r="F71" i="1"/>
  <c r="E70" i="1"/>
  <c r="F70" i="1"/>
  <c r="F67" i="1"/>
  <c r="E67" i="1"/>
  <c r="E64" i="1"/>
  <c r="F64" i="1"/>
  <c r="E63" i="1"/>
  <c r="F63" i="1"/>
  <c r="E61" i="1"/>
  <c r="D61" i="1"/>
  <c r="D65" i="1"/>
  <c r="C61" i="1"/>
  <c r="F61" i="1"/>
  <c r="E60" i="1"/>
  <c r="F60" i="1"/>
  <c r="F59" i="1"/>
  <c r="E59" i="1"/>
  <c r="D56" i="1"/>
  <c r="E56" i="1"/>
  <c r="C56" i="1"/>
  <c r="F56" i="1"/>
  <c r="E55" i="1"/>
  <c r="F55" i="1"/>
  <c r="F54" i="1"/>
  <c r="E54" i="1"/>
  <c r="E53" i="1"/>
  <c r="F53" i="1"/>
  <c r="F52" i="1"/>
  <c r="E52" i="1"/>
  <c r="E51" i="1"/>
  <c r="F51" i="1"/>
  <c r="F50" i="1"/>
  <c r="E50" i="1"/>
  <c r="A50" i="1"/>
  <c r="A51" i="1"/>
  <c r="A52" i="1"/>
  <c r="A53" i="1"/>
  <c r="A54" i="1"/>
  <c r="A55" i="1"/>
  <c r="E49" i="1"/>
  <c r="F49" i="1"/>
  <c r="D41" i="1"/>
  <c r="E40" i="1"/>
  <c r="F40" i="1"/>
  <c r="D38" i="1"/>
  <c r="C38" i="1"/>
  <c r="C41" i="1"/>
  <c r="E37" i="1"/>
  <c r="F37" i="1"/>
  <c r="E36" i="1"/>
  <c r="F36" i="1"/>
  <c r="E33" i="1"/>
  <c r="F33" i="1"/>
  <c r="F32" i="1"/>
  <c r="E32" i="1"/>
  <c r="F31" i="1"/>
  <c r="E31" i="1"/>
  <c r="D29" i="1"/>
  <c r="C29" i="1"/>
  <c r="F29" i="1"/>
  <c r="F28" i="1"/>
  <c r="E28" i="1"/>
  <c r="F27" i="1"/>
  <c r="E27" i="1"/>
  <c r="F26" i="1"/>
  <c r="E26" i="1"/>
  <c r="F25" i="1"/>
  <c r="E25" i="1"/>
  <c r="E22" i="1"/>
  <c r="D22" i="1"/>
  <c r="D43" i="1"/>
  <c r="C22" i="1"/>
  <c r="F22" i="1"/>
  <c r="E21" i="1"/>
  <c r="F21" i="1"/>
  <c r="E20" i="1"/>
  <c r="F20" i="1"/>
  <c r="E19" i="1"/>
  <c r="F19" i="1"/>
  <c r="F18" i="1"/>
  <c r="E18" i="1"/>
  <c r="F17" i="1"/>
  <c r="E17" i="1"/>
  <c r="F16" i="1"/>
  <c r="E16" i="1"/>
  <c r="E15" i="1"/>
  <c r="F15" i="1"/>
  <c r="F14" i="1"/>
  <c r="E14" i="1"/>
  <c r="E13" i="1"/>
  <c r="F13" i="1"/>
  <c r="D280" i="14"/>
  <c r="E17" i="14"/>
  <c r="F17" i="14"/>
  <c r="F76" i="14"/>
  <c r="E109" i="14"/>
  <c r="E203" i="14"/>
  <c r="F203" i="14"/>
  <c r="E229" i="14"/>
  <c r="F229" i="14"/>
  <c r="D37" i="14"/>
  <c r="D137" i="14"/>
  <c r="D207" i="14"/>
  <c r="D208" i="14"/>
  <c r="F52" i="14"/>
  <c r="F23" i="14"/>
  <c r="E36" i="14"/>
  <c r="E66" i="14"/>
  <c r="E77" i="14"/>
  <c r="E94" i="14"/>
  <c r="F120" i="14"/>
  <c r="C21" i="5"/>
  <c r="C137" i="5"/>
  <c r="C140" i="5"/>
  <c r="C136" i="5"/>
  <c r="C139" i="5"/>
  <c r="C135" i="5"/>
  <c r="C138" i="5"/>
  <c r="D154" i="5"/>
  <c r="D153" i="5"/>
  <c r="D157" i="5"/>
  <c r="D156" i="5"/>
  <c r="D152" i="5"/>
  <c r="D155" i="5"/>
  <c r="E138" i="5"/>
  <c r="E137" i="5"/>
  <c r="E140" i="5"/>
  <c r="E136" i="5"/>
  <c r="E139" i="5"/>
  <c r="E135" i="5"/>
  <c r="E141" i="5"/>
  <c r="C33" i="9"/>
  <c r="E19" i="9"/>
  <c r="F19" i="9"/>
  <c r="D21" i="10"/>
  <c r="E24" i="5"/>
  <c r="E17" i="5"/>
  <c r="C154" i="5"/>
  <c r="C157" i="5"/>
  <c r="C153" i="5"/>
  <c r="C156" i="5"/>
  <c r="C152" i="5"/>
  <c r="C158" i="5"/>
  <c r="C155" i="5"/>
  <c r="D137" i="5"/>
  <c r="D140" i="5"/>
  <c r="D136" i="5"/>
  <c r="D139" i="5"/>
  <c r="D135" i="5"/>
  <c r="D141" i="5"/>
  <c r="D138" i="5"/>
  <c r="E156" i="5"/>
  <c r="E155" i="5"/>
  <c r="E154" i="5"/>
  <c r="E157" i="5"/>
  <c r="E153" i="5"/>
  <c r="E152" i="5"/>
  <c r="C48" i="10"/>
  <c r="C42" i="10"/>
  <c r="C59" i="10"/>
  <c r="C61" i="10"/>
  <c r="C57" i="10"/>
  <c r="E68" i="14"/>
  <c r="F68" i="14"/>
  <c r="E264" i="14"/>
  <c r="F264" i="14"/>
  <c r="F31" i="2"/>
  <c r="F41" i="3"/>
  <c r="F42" i="3"/>
  <c r="F44" i="3"/>
  <c r="F46" i="3"/>
  <c r="F48" i="3"/>
  <c r="F50" i="3"/>
  <c r="F81" i="3"/>
  <c r="F86" i="3"/>
  <c r="F88" i="3"/>
  <c r="F90" i="3"/>
  <c r="F92" i="3"/>
  <c r="F93" i="3"/>
  <c r="F94" i="3"/>
  <c r="F153" i="3"/>
  <c r="F179" i="3"/>
  <c r="F24" i="4"/>
  <c r="F121" i="4"/>
  <c r="F130" i="4"/>
  <c r="C15" i="5"/>
  <c r="D17" i="5"/>
  <c r="E25" i="5"/>
  <c r="E27" i="5"/>
  <c r="D53" i="5"/>
  <c r="E57" i="5"/>
  <c r="E62" i="5"/>
  <c r="C77" i="5"/>
  <c r="C71" i="5"/>
  <c r="E88" i="5"/>
  <c r="E90" i="5"/>
  <c r="E86" i="5"/>
  <c r="F36" i="6"/>
  <c r="F37" i="6"/>
  <c r="F62" i="6"/>
  <c r="F63" i="6"/>
  <c r="F88" i="6"/>
  <c r="F89" i="6"/>
  <c r="F141" i="6"/>
  <c r="F153" i="6"/>
  <c r="F154" i="6"/>
  <c r="F192" i="6"/>
  <c r="E198" i="6"/>
  <c r="F200" i="6"/>
  <c r="F204" i="6"/>
  <c r="C208" i="6"/>
  <c r="F23" i="7"/>
  <c r="F24" i="7"/>
  <c r="E15" i="10"/>
  <c r="E25" i="10"/>
  <c r="E27" i="10"/>
  <c r="C125" i="15"/>
  <c r="C121" i="15"/>
  <c r="C114" i="15"/>
  <c r="C110" i="15"/>
  <c r="C116" i="15"/>
  <c r="C127" i="15"/>
  <c r="C123" i="15"/>
  <c r="C112" i="15"/>
  <c r="C124" i="15"/>
  <c r="C113" i="15"/>
  <c r="C122" i="15"/>
  <c r="C111" i="15"/>
  <c r="C109" i="15"/>
  <c r="C117" i="15"/>
  <c r="C126" i="15"/>
  <c r="C115" i="15"/>
  <c r="E38" i="1"/>
  <c r="F38" i="1"/>
  <c r="E48" i="7"/>
  <c r="E60" i="7"/>
  <c r="E72" i="7"/>
  <c r="E84" i="7"/>
  <c r="E22" i="8"/>
  <c r="F29" i="8"/>
  <c r="E16" i="9"/>
  <c r="E37" i="12"/>
  <c r="E59" i="10"/>
  <c r="E61" i="10"/>
  <c r="E57" i="10"/>
  <c r="E48" i="10"/>
  <c r="E42" i="10"/>
  <c r="E111" i="14"/>
  <c r="F111" i="14"/>
  <c r="C52" i="3"/>
  <c r="C95" i="3"/>
  <c r="C65" i="1"/>
  <c r="E65" i="1"/>
  <c r="F65" i="1"/>
  <c r="C75" i="1"/>
  <c r="C19" i="2"/>
  <c r="E41" i="4"/>
  <c r="F41" i="4"/>
  <c r="E167" i="4"/>
  <c r="F167" i="4"/>
  <c r="D20" i="5"/>
  <c r="D57" i="5"/>
  <c r="D62" i="5"/>
  <c r="F49" i="6"/>
  <c r="F50" i="6"/>
  <c r="F75" i="6"/>
  <c r="F76" i="6"/>
  <c r="F101" i="6"/>
  <c r="F102" i="6"/>
  <c r="F179" i="6"/>
  <c r="F180" i="6"/>
  <c r="F198" i="6"/>
  <c r="F202" i="6"/>
  <c r="F206" i="6"/>
  <c r="F35" i="7"/>
  <c r="E96" i="7"/>
  <c r="F96" i="7"/>
  <c r="E107" i="7"/>
  <c r="F107" i="7"/>
  <c r="F112" i="7"/>
  <c r="E114" i="7"/>
  <c r="F114" i="7"/>
  <c r="F116" i="7"/>
  <c r="E118" i="7"/>
  <c r="F118" i="7"/>
  <c r="F120" i="7"/>
  <c r="F56" i="8"/>
  <c r="E61" i="8"/>
  <c r="F61" i="8"/>
  <c r="C65" i="8"/>
  <c r="E65" i="8"/>
  <c r="E73" i="8"/>
  <c r="F73" i="8"/>
  <c r="E46" i="9"/>
  <c r="D50" i="10"/>
  <c r="G33" i="11"/>
  <c r="F30" i="12"/>
  <c r="E45" i="12"/>
  <c r="E60" i="12"/>
  <c r="F60" i="12"/>
  <c r="F70" i="12"/>
  <c r="F92" i="12"/>
  <c r="E99" i="12"/>
  <c r="F99" i="12"/>
  <c r="C25" i="10"/>
  <c r="C27" i="10"/>
  <c r="C15" i="10"/>
  <c r="F140" i="6"/>
  <c r="E166" i="6"/>
  <c r="E193" i="6"/>
  <c r="F193" i="6"/>
  <c r="F199" i="6"/>
  <c r="E201" i="6"/>
  <c r="F201" i="6"/>
  <c r="F203" i="6"/>
  <c r="E205" i="6"/>
  <c r="F205" i="6"/>
  <c r="F36" i="7"/>
  <c r="F95" i="7"/>
  <c r="E108" i="7"/>
  <c r="F108" i="7"/>
  <c r="F113" i="7"/>
  <c r="E115" i="7"/>
  <c r="F115" i="7"/>
  <c r="F117" i="7"/>
  <c r="E119" i="7"/>
  <c r="F119" i="7"/>
  <c r="F22" i="8"/>
  <c r="C41" i="8"/>
  <c r="E41" i="8"/>
  <c r="F41" i="8"/>
  <c r="F16" i="9"/>
  <c r="E31" i="9"/>
  <c r="F31" i="9"/>
  <c r="E39" i="9"/>
  <c r="F39" i="9"/>
  <c r="F16" i="12"/>
  <c r="F23" i="12"/>
  <c r="F50" i="12"/>
  <c r="E55" i="12"/>
  <c r="F55" i="12"/>
  <c r="F65" i="12"/>
  <c r="E75" i="12"/>
  <c r="F75" i="12"/>
  <c r="F84" i="12"/>
  <c r="C146" i="14"/>
  <c r="F144" i="14"/>
  <c r="C180" i="15"/>
  <c r="C145" i="15"/>
  <c r="D157" i="15"/>
  <c r="F21" i="13"/>
  <c r="E21" i="14"/>
  <c r="E24" i="14"/>
  <c r="F24" i="14"/>
  <c r="C31" i="14"/>
  <c r="C37" i="14"/>
  <c r="E44" i="14"/>
  <c r="F44" i="14"/>
  <c r="C49" i="14"/>
  <c r="E53" i="14"/>
  <c r="F53" i="14"/>
  <c r="C60" i="14"/>
  <c r="E67" i="14"/>
  <c r="F67" i="14"/>
  <c r="E89" i="14"/>
  <c r="F89" i="14"/>
  <c r="E100" i="14"/>
  <c r="F100" i="14"/>
  <c r="C103" i="14"/>
  <c r="E110" i="14"/>
  <c r="F110" i="14"/>
  <c r="E123" i="14"/>
  <c r="E135" i="14"/>
  <c r="F135" i="14"/>
  <c r="F164" i="14"/>
  <c r="E188" i="14"/>
  <c r="E191" i="14"/>
  <c r="F191" i="14"/>
  <c r="F198" i="14"/>
  <c r="F230" i="14"/>
  <c r="C254" i="14"/>
  <c r="C266" i="14"/>
  <c r="C282" i="14"/>
  <c r="C284" i="14"/>
  <c r="D43" i="15"/>
  <c r="C239" i="15"/>
  <c r="E239" i="15"/>
  <c r="C245" i="15"/>
  <c r="E245" i="15"/>
  <c r="C283" i="15"/>
  <c r="C316" i="15"/>
  <c r="C320" i="15"/>
  <c r="E320" i="15"/>
  <c r="E326" i="15"/>
  <c r="F20" i="17"/>
  <c r="F40" i="17"/>
  <c r="D71" i="15"/>
  <c r="D76" i="15"/>
  <c r="E71" i="15"/>
  <c r="D65" i="15"/>
  <c r="D289" i="15"/>
  <c r="E289" i="15"/>
  <c r="E60" i="15"/>
  <c r="D144" i="15"/>
  <c r="D175" i="15"/>
  <c r="E175" i="15"/>
  <c r="E139" i="15"/>
  <c r="E231" i="15"/>
  <c r="C37" i="16"/>
  <c r="C38" i="16"/>
  <c r="C127" i="16"/>
  <c r="C129" i="16"/>
  <c r="C133" i="16"/>
  <c r="C22" i="16"/>
  <c r="C108" i="19"/>
  <c r="C109" i="19"/>
  <c r="D109" i="19"/>
  <c r="D108" i="19"/>
  <c r="D104" i="14"/>
  <c r="D174" i="14"/>
  <c r="F30" i="14"/>
  <c r="F36" i="14"/>
  <c r="F59" i="14"/>
  <c r="F85" i="14"/>
  <c r="F94" i="14"/>
  <c r="F102" i="14"/>
  <c r="C138" i="14"/>
  <c r="F179" i="14"/>
  <c r="C181" i="14"/>
  <c r="E181" i="14"/>
  <c r="F181" i="14"/>
  <c r="C200" i="14"/>
  <c r="C214" i="14"/>
  <c r="F237" i="14"/>
  <c r="C239" i="14"/>
  <c r="E239" i="14"/>
  <c r="C269" i="14"/>
  <c r="C280" i="14"/>
  <c r="C287" i="14"/>
  <c r="E195" i="15"/>
  <c r="E215" i="15"/>
  <c r="C253" i="15"/>
  <c r="D240" i="15"/>
  <c r="E244" i="15"/>
  <c r="C252" i="15"/>
  <c r="C254" i="15"/>
  <c r="E260" i="15"/>
  <c r="C303" i="15"/>
  <c r="C306" i="15"/>
  <c r="C310" i="15"/>
  <c r="E310" i="15"/>
  <c r="E303" i="15"/>
  <c r="D33" i="15"/>
  <c r="E32" i="15"/>
  <c r="E251" i="15"/>
  <c r="D175" i="14"/>
  <c r="D62" i="14"/>
  <c r="D105" i="14"/>
  <c r="D254" i="14"/>
  <c r="H17" i="11"/>
  <c r="F17" i="13"/>
  <c r="E48" i="14"/>
  <c r="F48" i="14"/>
  <c r="F66" i="14"/>
  <c r="C90" i="14"/>
  <c r="F109" i="14"/>
  <c r="C124" i="14"/>
  <c r="C125" i="14"/>
  <c r="F130" i="14"/>
  <c r="C172" i="14"/>
  <c r="C194" i="14"/>
  <c r="C196" i="14"/>
  <c r="C227" i="14"/>
  <c r="C274" i="14"/>
  <c r="F307" i="14"/>
  <c r="F311" i="14"/>
  <c r="C43" i="15"/>
  <c r="C259" i="15"/>
  <c r="D222" i="15"/>
  <c r="D330" i="15"/>
  <c r="E330" i="15"/>
  <c r="C41" i="17"/>
  <c r="C207" i="14"/>
  <c r="E137" i="14"/>
  <c r="F137" i="14"/>
  <c r="C285" i="14"/>
  <c r="E204" i="14"/>
  <c r="F204" i="14"/>
  <c r="D55" i="15"/>
  <c r="E55" i="15"/>
  <c r="E54" i="15"/>
  <c r="C163" i="15"/>
  <c r="E163" i="15"/>
  <c r="C156" i="15"/>
  <c r="E156" i="15"/>
  <c r="D189" i="15"/>
  <c r="D261" i="15"/>
  <c r="E188" i="15"/>
  <c r="E205" i="15"/>
  <c r="D210" i="15"/>
  <c r="E218" i="15"/>
  <c r="D217" i="15"/>
  <c r="D41" i="17"/>
  <c r="E39" i="17"/>
  <c r="C45" i="19"/>
  <c r="C39" i="19"/>
  <c r="C35" i="19"/>
  <c r="C29" i="19"/>
  <c r="C110" i="19"/>
  <c r="C53" i="19"/>
  <c r="E110" i="19"/>
  <c r="E109" i="19"/>
  <c r="E108" i="19"/>
  <c r="F21" i="14"/>
  <c r="C91" i="14"/>
  <c r="F123" i="14"/>
  <c r="F155" i="14"/>
  <c r="F188" i="14"/>
  <c r="C190" i="14"/>
  <c r="C192" i="14"/>
  <c r="C199" i="14"/>
  <c r="C206" i="14"/>
  <c r="C215" i="14"/>
  <c r="C261" i="14"/>
  <c r="C290" i="14"/>
  <c r="E69" i="15"/>
  <c r="E228" i="15"/>
  <c r="E306" i="15"/>
  <c r="E316" i="15"/>
  <c r="E29" i="19"/>
  <c r="C33" i="19"/>
  <c r="D34" i="19"/>
  <c r="E35" i="19"/>
  <c r="E39" i="19"/>
  <c r="E45" i="19"/>
  <c r="C101" i="19"/>
  <c r="C103" i="19"/>
  <c r="D102" i="19"/>
  <c r="D103" i="19"/>
  <c r="D125" i="14"/>
  <c r="D138" i="14"/>
  <c r="E138" i="14"/>
  <c r="D161" i="14"/>
  <c r="D267" i="14"/>
  <c r="D277" i="14"/>
  <c r="D285" i="14"/>
  <c r="E285" i="14"/>
  <c r="F285" i="14"/>
  <c r="D306" i="14"/>
  <c r="E306" i="14"/>
  <c r="D22" i="19"/>
  <c r="D160" i="14"/>
  <c r="D192" i="14"/>
  <c r="D200" i="14"/>
  <c r="E200" i="14"/>
  <c r="D206" i="14"/>
  <c r="E206" i="14"/>
  <c r="D262" i="14"/>
  <c r="D274" i="14"/>
  <c r="E274" i="14"/>
  <c r="F274" i="14"/>
  <c r="C222" i="15"/>
  <c r="C246" i="15"/>
  <c r="E19" i="17"/>
  <c r="F19" i="17"/>
  <c r="E43" i="17"/>
  <c r="D23" i="19"/>
  <c r="D49" i="14"/>
  <c r="D91" i="14"/>
  <c r="D199" i="14"/>
  <c r="E199" i="14"/>
  <c r="D205" i="14"/>
  <c r="D215" i="14"/>
  <c r="D261" i="14"/>
  <c r="D190" i="14"/>
  <c r="E190" i="14"/>
  <c r="C112" i="19"/>
  <c r="C55" i="19"/>
  <c r="C47" i="19"/>
  <c r="C37" i="19"/>
  <c r="E41" i="17"/>
  <c r="F39" i="17"/>
  <c r="D234" i="15"/>
  <c r="E210" i="15"/>
  <c r="D211" i="15"/>
  <c r="C208" i="14"/>
  <c r="E207" i="14"/>
  <c r="F207" i="14"/>
  <c r="D246" i="15"/>
  <c r="E246" i="15"/>
  <c r="D106" i="14"/>
  <c r="D176" i="14"/>
  <c r="E33" i="15"/>
  <c r="C50" i="14"/>
  <c r="E146" i="14"/>
  <c r="F146" i="14"/>
  <c r="C17" i="10"/>
  <c r="C28" i="10"/>
  <c r="C24" i="10"/>
  <c r="G36" i="11"/>
  <c r="G38" i="11"/>
  <c r="G40" i="11"/>
  <c r="I33" i="11"/>
  <c r="I36" i="11"/>
  <c r="I38" i="11"/>
  <c r="I40" i="11"/>
  <c r="C41" i="9"/>
  <c r="E33" i="9"/>
  <c r="F33" i="9"/>
  <c r="C223" i="15"/>
  <c r="C247" i="15"/>
  <c r="D268" i="14"/>
  <c r="D271" i="14"/>
  <c r="D263" i="14"/>
  <c r="E263" i="14"/>
  <c r="F263" i="14"/>
  <c r="E261" i="14"/>
  <c r="F261" i="14"/>
  <c r="C263" i="14"/>
  <c r="E227" i="14"/>
  <c r="F227" i="14"/>
  <c r="E172" i="14"/>
  <c r="F172" i="14"/>
  <c r="C173" i="14"/>
  <c r="E254" i="14"/>
  <c r="F254" i="14"/>
  <c r="E269" i="14"/>
  <c r="F269" i="14"/>
  <c r="C216" i="14"/>
  <c r="E31" i="14"/>
  <c r="F31" i="14"/>
  <c r="C32" i="14"/>
  <c r="C33" i="2"/>
  <c r="E112" i="5"/>
  <c r="E111" i="5"/>
  <c r="E28" i="5"/>
  <c r="E99" i="5"/>
  <c r="E101" i="5"/>
  <c r="E98" i="5"/>
  <c r="D284" i="15"/>
  <c r="E284" i="15"/>
  <c r="D140" i="14"/>
  <c r="D139" i="14"/>
  <c r="C126" i="14"/>
  <c r="C128" i="15"/>
  <c r="C129" i="15"/>
  <c r="E158" i="5"/>
  <c r="C141" i="5"/>
  <c r="D46" i="19"/>
  <c r="D40" i="19"/>
  <c r="D36" i="19"/>
  <c r="D30" i="19"/>
  <c r="D111" i="19"/>
  <c r="D54" i="19"/>
  <c r="D50" i="14"/>
  <c r="E49" i="14"/>
  <c r="F49" i="14"/>
  <c r="D272" i="14"/>
  <c r="E262" i="14"/>
  <c r="F262" i="14"/>
  <c r="D193" i="14"/>
  <c r="E192" i="14"/>
  <c r="F192" i="14"/>
  <c r="D162" i="14"/>
  <c r="D241" i="15"/>
  <c r="E217" i="15"/>
  <c r="C286" i="14"/>
  <c r="D63" i="14"/>
  <c r="C281" i="14"/>
  <c r="E280" i="14"/>
  <c r="F280" i="14"/>
  <c r="D168" i="15"/>
  <c r="E144" i="15"/>
  <c r="D145" i="15"/>
  <c r="D180" i="15"/>
  <c r="E180" i="15"/>
  <c r="E43" i="15"/>
  <c r="D44" i="15"/>
  <c r="E103" i="14"/>
  <c r="F103" i="14"/>
  <c r="E60" i="14"/>
  <c r="F60" i="14"/>
  <c r="C61" i="14"/>
  <c r="E37" i="14"/>
  <c r="F37" i="14"/>
  <c r="E17" i="10"/>
  <c r="E28" i="10"/>
  <c r="E70" i="10"/>
  <c r="E72" i="10"/>
  <c r="E69" i="10"/>
  <c r="E24" i="10"/>
  <c r="C24" i="5"/>
  <c r="C20" i="5"/>
  <c r="C17" i="5"/>
  <c r="E125" i="14"/>
  <c r="F125" i="14"/>
  <c r="F199" i="14"/>
  <c r="E290" i="14"/>
  <c r="F290" i="14"/>
  <c r="C44" i="15"/>
  <c r="F206" i="14"/>
  <c r="D286" i="14"/>
  <c r="E286" i="14"/>
  <c r="C272" i="14"/>
  <c r="C304" i="14"/>
  <c r="E214" i="14"/>
  <c r="F214" i="14"/>
  <c r="F138" i="14"/>
  <c r="D288" i="14"/>
  <c r="C195" i="14"/>
  <c r="C265" i="14"/>
  <c r="E208" i="6"/>
  <c r="F208" i="6"/>
  <c r="E52" i="3"/>
  <c r="F52" i="3"/>
  <c r="D287" i="14"/>
  <c r="D279" i="14"/>
  <c r="D284" i="14"/>
  <c r="E284" i="14"/>
  <c r="F284" i="14"/>
  <c r="E277" i="14"/>
  <c r="F277" i="14"/>
  <c r="D255" i="14"/>
  <c r="E215" i="14"/>
  <c r="D92" i="14"/>
  <c r="E91" i="14"/>
  <c r="F91" i="14"/>
  <c r="F43" i="17"/>
  <c r="D53" i="19"/>
  <c r="D45" i="19"/>
  <c r="D39" i="19"/>
  <c r="D35" i="19"/>
  <c r="D29" i="19"/>
  <c r="D110" i="19"/>
  <c r="D270" i="14"/>
  <c r="E47" i="19"/>
  <c r="E37" i="19"/>
  <c r="E112" i="19"/>
  <c r="E55" i="19"/>
  <c r="C92" i="14"/>
  <c r="C157" i="15"/>
  <c r="E157" i="15"/>
  <c r="C168" i="15"/>
  <c r="E124" i="14"/>
  <c r="F124" i="14"/>
  <c r="E240" i="15"/>
  <c r="D253" i="15"/>
  <c r="E253" i="15"/>
  <c r="E65" i="15"/>
  <c r="D66" i="15"/>
  <c r="E66" i="15"/>
  <c r="C20" i="10"/>
  <c r="C21" i="10"/>
  <c r="F65" i="8"/>
  <c r="C75" i="8"/>
  <c r="D112" i="5"/>
  <c r="D111" i="5"/>
  <c r="D28" i="5"/>
  <c r="F215" i="14"/>
  <c r="F190" i="14"/>
  <c r="F41" i="17"/>
  <c r="D223" i="15"/>
  <c r="D216" i="14"/>
  <c r="E216" i="14"/>
  <c r="D300" i="14"/>
  <c r="E300" i="14"/>
  <c r="F239" i="14"/>
  <c r="F200" i="14"/>
  <c r="D294" i="15"/>
  <c r="C300" i="14"/>
  <c r="C43" i="8"/>
  <c r="D158" i="5"/>
  <c r="C258" i="15"/>
  <c r="C98" i="15"/>
  <c r="C87" i="15"/>
  <c r="C83" i="15"/>
  <c r="C100" i="15"/>
  <c r="C96" i="15"/>
  <c r="C102" i="15"/>
  <c r="C89" i="15"/>
  <c r="C85" i="15"/>
  <c r="C101" i="15"/>
  <c r="C99" i="15"/>
  <c r="C88" i="15"/>
  <c r="C97" i="15"/>
  <c r="C86" i="15"/>
  <c r="C95" i="15"/>
  <c r="C84" i="15"/>
  <c r="C90" i="15"/>
  <c r="D99" i="15"/>
  <c r="D95" i="15"/>
  <c r="D88" i="15"/>
  <c r="E88" i="15"/>
  <c r="D84" i="15"/>
  <c r="E44" i="15"/>
  <c r="D101" i="15"/>
  <c r="E101" i="15"/>
  <c r="D97" i="15"/>
  <c r="E97" i="15"/>
  <c r="D86" i="15"/>
  <c r="E86" i="15"/>
  <c r="D98" i="15"/>
  <c r="D87" i="15"/>
  <c r="D96" i="15"/>
  <c r="D85" i="15"/>
  <c r="E85" i="15"/>
  <c r="D83" i="15"/>
  <c r="D258" i="15"/>
  <c r="D100" i="15"/>
  <c r="E100" i="15"/>
  <c r="D89" i="15"/>
  <c r="E89" i="15"/>
  <c r="D181" i="15"/>
  <c r="E145" i="15"/>
  <c r="D169" i="15"/>
  <c r="C48" i="9"/>
  <c r="E41" i="9"/>
  <c r="F41" i="9"/>
  <c r="D235" i="15"/>
  <c r="D291" i="14"/>
  <c r="D289" i="14"/>
  <c r="E287" i="14"/>
  <c r="F287" i="14"/>
  <c r="C174" i="14"/>
  <c r="C139" i="14"/>
  <c r="C104" i="14"/>
  <c r="C209" i="14"/>
  <c r="E61" i="14"/>
  <c r="F61" i="14"/>
  <c r="D194" i="14"/>
  <c r="E193" i="14"/>
  <c r="F193" i="14"/>
  <c r="D266" i="14"/>
  <c r="D282" i="14"/>
  <c r="D70" i="14"/>
  <c r="E50" i="14"/>
  <c r="C140" i="14"/>
  <c r="E140" i="14"/>
  <c r="F140" i="14"/>
  <c r="C175" i="14"/>
  <c r="C210" i="14"/>
  <c r="C105" i="14"/>
  <c r="C62" i="14"/>
  <c r="E32" i="14"/>
  <c r="F32" i="14"/>
  <c r="F50" i="14"/>
  <c r="E43" i="8"/>
  <c r="F43" i="8"/>
  <c r="D22" i="5"/>
  <c r="D99" i="5"/>
  <c r="D101" i="5"/>
  <c r="D98" i="5"/>
  <c r="D113" i="19"/>
  <c r="D56" i="19"/>
  <c r="D48" i="19"/>
  <c r="D38" i="19"/>
  <c r="E126" i="14"/>
  <c r="F126" i="14"/>
  <c r="C127" i="14"/>
  <c r="D141" i="14"/>
  <c r="E173" i="14"/>
  <c r="F173" i="14"/>
  <c r="D295" i="15"/>
  <c r="E295" i="15"/>
  <c r="F75" i="8"/>
  <c r="E75" i="8"/>
  <c r="D247" i="15"/>
  <c r="E247" i="15"/>
  <c r="E223" i="15"/>
  <c r="D47" i="19"/>
  <c r="D37" i="19"/>
  <c r="D112" i="19"/>
  <c r="D55" i="19"/>
  <c r="D324" i="14"/>
  <c r="D113" i="14"/>
  <c r="E92" i="14"/>
  <c r="F92" i="14"/>
  <c r="C112" i="5"/>
  <c r="C111" i="5"/>
  <c r="C28" i="5"/>
  <c r="D183" i="14"/>
  <c r="D323" i="14"/>
  <c r="C41" i="2"/>
  <c r="D304" i="14"/>
  <c r="D273" i="14"/>
  <c r="C169" i="15"/>
  <c r="E169" i="15"/>
  <c r="E168" i="15"/>
  <c r="F300" i="14"/>
  <c r="F286" i="14"/>
  <c r="E272" i="14"/>
  <c r="F272" i="14"/>
  <c r="F216" i="14"/>
  <c r="E304" i="14"/>
  <c r="F304" i="14"/>
  <c r="E127" i="14"/>
  <c r="F127" i="14"/>
  <c r="C106" i="14"/>
  <c r="E105" i="14"/>
  <c r="F105" i="14"/>
  <c r="C141" i="14"/>
  <c r="E266" i="14"/>
  <c r="F266" i="14"/>
  <c r="D265" i="14"/>
  <c r="E265" i="14"/>
  <c r="F265" i="14"/>
  <c r="F174" i="14"/>
  <c r="E174" i="14"/>
  <c r="E96" i="15"/>
  <c r="D102" i="15"/>
  <c r="D322" i="14"/>
  <c r="D148" i="14"/>
  <c r="C63" i="14"/>
  <c r="E62" i="14"/>
  <c r="F62" i="14"/>
  <c r="C176" i="14"/>
  <c r="E175" i="14"/>
  <c r="F175" i="14"/>
  <c r="E282" i="14"/>
  <c r="F282" i="14"/>
  <c r="D281" i="14"/>
  <c r="E281" i="14"/>
  <c r="F281" i="14"/>
  <c r="D90" i="15"/>
  <c r="E90" i="15"/>
  <c r="E84" i="15"/>
  <c r="E194" i="14"/>
  <c r="F194" i="14"/>
  <c r="D196" i="14"/>
  <c r="D195" i="14"/>
  <c r="E195" i="14"/>
  <c r="F195" i="14"/>
  <c r="D305" i="14"/>
  <c r="E48" i="9"/>
  <c r="F48" i="9"/>
  <c r="E83" i="15"/>
  <c r="E139" i="14"/>
  <c r="F139" i="14"/>
  <c r="E98" i="15"/>
  <c r="E99" i="15"/>
  <c r="C91" i="15"/>
  <c r="C48" i="2"/>
  <c r="C99" i="5"/>
  <c r="C101" i="5"/>
  <c r="C98" i="5"/>
  <c r="C22" i="5"/>
  <c r="E104" i="14"/>
  <c r="F104" i="14"/>
  <c r="E258" i="15"/>
  <c r="D103" i="15"/>
  <c r="E95" i="15"/>
  <c r="E87" i="15"/>
  <c r="D197" i="14"/>
  <c r="E196" i="14"/>
  <c r="F196" i="14"/>
  <c r="F176" i="14"/>
  <c r="E176" i="14"/>
  <c r="C70" i="14"/>
  <c r="E63" i="14"/>
  <c r="F63" i="14"/>
  <c r="C211" i="14"/>
  <c r="C322" i="14"/>
  <c r="C113" i="14"/>
  <c r="C324" i="14"/>
  <c r="E106" i="14"/>
  <c r="F106" i="14"/>
  <c r="E322" i="14"/>
  <c r="D309" i="14"/>
  <c r="E141" i="14"/>
  <c r="F141" i="14"/>
  <c r="D325" i="14"/>
  <c r="D91" i="15"/>
  <c r="E91" i="15"/>
  <c r="C148" i="14"/>
  <c r="D105" i="15"/>
  <c r="E70" i="14"/>
  <c r="F70" i="14"/>
  <c r="E113" i="14"/>
  <c r="D310" i="14"/>
  <c r="F324" i="14"/>
  <c r="E324" i="14"/>
  <c r="F322" i="14"/>
  <c r="E148" i="14"/>
  <c r="F148" i="14"/>
  <c r="F113" i="14"/>
  <c r="D259" i="15"/>
  <c r="E76" i="15"/>
  <c r="D77" i="15"/>
  <c r="C131" i="15"/>
  <c r="E21" i="5"/>
  <c r="E22" i="5"/>
  <c r="E20" i="5"/>
  <c r="E41" i="1"/>
  <c r="F41" i="1"/>
  <c r="C43" i="1"/>
  <c r="D312" i="14"/>
  <c r="C103" i="15"/>
  <c r="C105" i="15"/>
  <c r="E105" i="15"/>
  <c r="E102" i="15"/>
  <c r="C70" i="10"/>
  <c r="C72" i="10"/>
  <c r="C69" i="10"/>
  <c r="C22" i="10"/>
  <c r="E20" i="10"/>
  <c r="E22" i="10"/>
  <c r="E21" i="10"/>
  <c r="D210" i="14"/>
  <c r="D209" i="14"/>
  <c r="E209" i="14"/>
  <c r="F209" i="14"/>
  <c r="E208" i="14"/>
  <c r="F208" i="14"/>
  <c r="E29" i="1"/>
  <c r="E73" i="1"/>
  <c r="F73" i="1"/>
  <c r="E39" i="2"/>
  <c r="F39" i="2"/>
  <c r="E46" i="2"/>
  <c r="F46" i="2"/>
  <c r="E25" i="3"/>
  <c r="F25" i="3"/>
  <c r="E111" i="3"/>
  <c r="F111" i="3"/>
  <c r="F166" i="3"/>
  <c r="E166" i="3"/>
  <c r="E222" i="15"/>
  <c r="D75" i="1"/>
  <c r="E75" i="1"/>
  <c r="F75" i="1"/>
  <c r="D19" i="2"/>
  <c r="E84" i="3"/>
  <c r="F84" i="3"/>
  <c r="E207" i="6"/>
  <c r="F207" i="6"/>
  <c r="E30" i="4"/>
  <c r="F30" i="4"/>
  <c r="E35" i="4"/>
  <c r="F35" i="4"/>
  <c r="D95" i="4"/>
  <c r="E95" i="4"/>
  <c r="F95" i="4"/>
  <c r="E43" i="5"/>
  <c r="D49" i="5"/>
  <c r="E53" i="5"/>
  <c r="F114" i="6"/>
  <c r="F115" i="6"/>
  <c r="F47" i="7"/>
  <c r="F71" i="7"/>
  <c r="D122" i="7"/>
  <c r="E122" i="7"/>
  <c r="F122" i="7"/>
  <c r="C121" i="7"/>
  <c r="C31" i="11"/>
  <c r="H31" i="11"/>
  <c r="F33" i="11"/>
  <c r="G31" i="11"/>
  <c r="I31" i="11"/>
  <c r="D33" i="11"/>
  <c r="D36" i="11"/>
  <c r="D38" i="11"/>
  <c r="D40" i="11"/>
  <c r="D188" i="4"/>
  <c r="E188" i="4"/>
  <c r="F188" i="4"/>
  <c r="C57" i="5"/>
  <c r="C62" i="5"/>
  <c r="C43" i="5"/>
  <c r="C49" i="5"/>
  <c r="E38" i="8"/>
  <c r="F38" i="8"/>
  <c r="D15" i="10"/>
  <c r="D48" i="10"/>
  <c r="D42" i="10"/>
  <c r="F35" i="14"/>
  <c r="E88" i="14"/>
  <c r="F88" i="14"/>
  <c r="E136" i="14"/>
  <c r="F136" i="14"/>
  <c r="C159" i="14"/>
  <c r="F158" i="14"/>
  <c r="F170" i="14"/>
  <c r="F180" i="14"/>
  <c r="C267" i="14"/>
  <c r="C255" i="14"/>
  <c r="C205" i="14"/>
  <c r="E226" i="14"/>
  <c r="F226" i="14"/>
  <c r="C278" i="14"/>
  <c r="D283" i="15"/>
  <c r="E283" i="15"/>
  <c r="E21" i="15"/>
  <c r="C294" i="15"/>
  <c r="E294" i="15"/>
  <c r="E178" i="15"/>
  <c r="C241" i="15"/>
  <c r="E241" i="15"/>
  <c r="E242" i="15"/>
  <c r="E302" i="15"/>
  <c r="D90" i="14"/>
  <c r="E90" i="14"/>
  <c r="F90" i="14"/>
  <c r="E101" i="14"/>
  <c r="F101" i="14"/>
  <c r="E189" i="14"/>
  <c r="F189" i="14"/>
  <c r="E223" i="14"/>
  <c r="F223" i="14"/>
  <c r="E295" i="14"/>
  <c r="F295" i="14"/>
  <c r="C261" i="15"/>
  <c r="E261" i="15"/>
  <c r="C189" i="15"/>
  <c r="E189" i="15"/>
  <c r="C234" i="15"/>
  <c r="E234" i="15"/>
  <c r="C211" i="15"/>
  <c r="C65" i="16"/>
  <c r="C114" i="16"/>
  <c r="C116" i="16"/>
  <c r="C119" i="16"/>
  <c r="C123" i="16"/>
  <c r="E283" i="14"/>
  <c r="F283" i="14"/>
  <c r="E297" i="14"/>
  <c r="F297" i="14"/>
  <c r="E299" i="14"/>
  <c r="F299" i="14"/>
  <c r="D243" i="15"/>
  <c r="E265" i="15"/>
  <c r="E324" i="15"/>
  <c r="C49" i="16"/>
  <c r="E16" i="17"/>
  <c r="F16" i="17"/>
  <c r="E44" i="17"/>
  <c r="E46" i="17"/>
  <c r="F46" i="17"/>
  <c r="E45" i="17"/>
  <c r="F45" i="17"/>
  <c r="C23" i="19"/>
  <c r="E23" i="19"/>
  <c r="C229" i="15"/>
  <c r="E229" i="15"/>
  <c r="E301" i="15"/>
  <c r="E36" i="17"/>
  <c r="F36" i="17"/>
  <c r="E54" i="19"/>
  <c r="E111" i="19"/>
  <c r="E30" i="19"/>
  <c r="E40" i="19"/>
  <c r="E36" i="19"/>
  <c r="E46" i="19"/>
  <c r="E243" i="15"/>
  <c r="D252" i="15"/>
  <c r="E211" i="15"/>
  <c r="C235" i="15"/>
  <c r="E235" i="15"/>
  <c r="C181" i="15"/>
  <c r="E181" i="15"/>
  <c r="E278" i="14"/>
  <c r="F278" i="14"/>
  <c r="C288" i="14"/>
  <c r="F205" i="14"/>
  <c r="E205" i="14"/>
  <c r="C271" i="14"/>
  <c r="C270" i="14"/>
  <c r="E267" i="14"/>
  <c r="C268" i="14"/>
  <c r="F267" i="14"/>
  <c r="H33" i="11"/>
  <c r="H36" i="11"/>
  <c r="H38" i="11"/>
  <c r="H40" i="11"/>
  <c r="F36" i="11"/>
  <c r="F38" i="11"/>
  <c r="F40" i="11"/>
  <c r="E19" i="2"/>
  <c r="F19" i="2"/>
  <c r="D33" i="2"/>
  <c r="E43" i="1"/>
  <c r="F43" i="1"/>
  <c r="C263" i="15"/>
  <c r="C264" i="15"/>
  <c r="C266" i="15"/>
  <c r="C267" i="15"/>
  <c r="E103" i="15"/>
  <c r="C46" i="19"/>
  <c r="C54" i="19"/>
  <c r="C36" i="19"/>
  <c r="C111" i="19"/>
  <c r="C30" i="19"/>
  <c r="C40" i="19"/>
  <c r="F44" i="17"/>
  <c r="E255" i="14"/>
  <c r="F255" i="14"/>
  <c r="E159" i="14"/>
  <c r="F159" i="14"/>
  <c r="C160" i="14"/>
  <c r="D24" i="10"/>
  <c r="D20" i="10"/>
  <c r="D17" i="10"/>
  <c r="D28" i="10"/>
  <c r="C279" i="14"/>
  <c r="E121" i="7"/>
  <c r="F121" i="7"/>
  <c r="C161" i="14"/>
  <c r="D211" i="14"/>
  <c r="E211" i="14"/>
  <c r="F211" i="14"/>
  <c r="E210" i="14"/>
  <c r="F210" i="14"/>
  <c r="D313" i="14"/>
  <c r="D126" i="15"/>
  <c r="E126" i="15"/>
  <c r="D122" i="15"/>
  <c r="D121" i="15"/>
  <c r="D127" i="15"/>
  <c r="E127" i="15"/>
  <c r="E77" i="15"/>
  <c r="D115" i="15"/>
  <c r="E115" i="15"/>
  <c r="D111" i="15"/>
  <c r="E111" i="15"/>
  <c r="D124" i="15"/>
  <c r="E124" i="15"/>
  <c r="D113" i="15"/>
  <c r="E113" i="15"/>
  <c r="D109" i="15"/>
  <c r="D110" i="15"/>
  <c r="D125" i="15"/>
  <c r="E125" i="15"/>
  <c r="D114" i="15"/>
  <c r="E114" i="15"/>
  <c r="D123" i="15"/>
  <c r="E123" i="15"/>
  <c r="D112" i="15"/>
  <c r="E112" i="15"/>
  <c r="D263" i="15"/>
  <c r="E259" i="15"/>
  <c r="E263" i="15"/>
  <c r="D264" i="15"/>
  <c r="E110" i="15"/>
  <c r="D116" i="15"/>
  <c r="E116" i="15"/>
  <c r="E121" i="15"/>
  <c r="D22" i="10"/>
  <c r="D70" i="10"/>
  <c r="D72" i="10"/>
  <c r="D69" i="10"/>
  <c r="E160" i="14"/>
  <c r="F160" i="14"/>
  <c r="D41" i="2"/>
  <c r="E33" i="2"/>
  <c r="F33" i="2"/>
  <c r="E268" i="14"/>
  <c r="F268" i="14"/>
  <c r="E270" i="14"/>
  <c r="F270" i="14"/>
  <c r="C289" i="14"/>
  <c r="C291" i="14"/>
  <c r="E288" i="14"/>
  <c r="F288" i="14"/>
  <c r="E252" i="15"/>
  <c r="D254" i="15"/>
  <c r="E254" i="15"/>
  <c r="E109" i="15"/>
  <c r="D117" i="15"/>
  <c r="D128" i="15"/>
  <c r="E128" i="15"/>
  <c r="E122" i="15"/>
  <c r="D314" i="14"/>
  <c r="D251" i="14"/>
  <c r="D315" i="14"/>
  <c r="D256" i="14"/>
  <c r="C162" i="14"/>
  <c r="E161" i="14"/>
  <c r="F161" i="14"/>
  <c r="E279" i="14"/>
  <c r="F279" i="14"/>
  <c r="C56" i="19"/>
  <c r="C38" i="19"/>
  <c r="C48" i="19"/>
  <c r="C113" i="19"/>
  <c r="C269" i="15"/>
  <c r="C268" i="15"/>
  <c r="C271" i="15"/>
  <c r="C273" i="14"/>
  <c r="E271" i="14"/>
  <c r="F271" i="14"/>
  <c r="E48" i="19"/>
  <c r="E113" i="19"/>
  <c r="E38" i="19"/>
  <c r="E56" i="19"/>
  <c r="F162" i="14"/>
  <c r="C197" i="14"/>
  <c r="C183" i="14"/>
  <c r="E162" i="14"/>
  <c r="C323" i="14"/>
  <c r="D318" i="14"/>
  <c r="E117" i="15"/>
  <c r="D266" i="15"/>
  <c r="E264" i="15"/>
  <c r="E273" i="14"/>
  <c r="F273" i="14"/>
  <c r="D257" i="14"/>
  <c r="E291" i="14"/>
  <c r="C305" i="14"/>
  <c r="F291" i="14"/>
  <c r="F289" i="14"/>
  <c r="E289" i="14"/>
  <c r="D48" i="2"/>
  <c r="E48" i="2"/>
  <c r="F48" i="2"/>
  <c r="E41" i="2"/>
  <c r="F41" i="2"/>
  <c r="D129" i="15"/>
  <c r="E129" i="15"/>
  <c r="E197" i="14"/>
  <c r="F197" i="14"/>
  <c r="C309" i="14"/>
  <c r="E305" i="14"/>
  <c r="F305" i="14"/>
  <c r="D267" i="15"/>
  <c r="E266" i="15"/>
  <c r="D131" i="15"/>
  <c r="E131" i="15"/>
  <c r="E323" i="14"/>
  <c r="F323" i="14"/>
  <c r="C325" i="14"/>
  <c r="E183" i="14"/>
  <c r="F183" i="14"/>
  <c r="F325" i="14"/>
  <c r="E325" i="14"/>
  <c r="D269" i="15"/>
  <c r="E269" i="15"/>
  <c r="E267" i="15"/>
  <c r="D268" i="15"/>
  <c r="C310" i="14"/>
  <c r="F309" i="14"/>
  <c r="E309" i="14"/>
  <c r="C312" i="14"/>
  <c r="E310" i="14"/>
  <c r="F310" i="14"/>
  <c r="D271" i="15"/>
  <c r="E271" i="15"/>
  <c r="E268" i="15"/>
  <c r="C313" i="14"/>
  <c r="E312" i="14"/>
  <c r="F312" i="14"/>
  <c r="C251" i="14"/>
  <c r="C315" i="14"/>
  <c r="C314" i="14"/>
  <c r="C256" i="14"/>
  <c r="F313" i="14"/>
  <c r="E313" i="14"/>
  <c r="C318" i="14"/>
  <c r="F314" i="14"/>
  <c r="E314" i="14"/>
  <c r="C257" i="14"/>
  <c r="E256" i="14"/>
  <c r="F256" i="14"/>
  <c r="E315" i="14"/>
  <c r="F315" i="14"/>
  <c r="E251" i="14"/>
  <c r="F251" i="14"/>
  <c r="F257" i="14"/>
  <c r="E257" i="14"/>
  <c r="F318" i="14"/>
  <c r="E318" i="14"/>
</calcChain>
</file>

<file path=xl/sharedStrings.xml><?xml version="1.0" encoding="utf-8"?>
<sst xmlns="http://schemas.openxmlformats.org/spreadsheetml/2006/main" count="2320" uniqueCount="996">
  <si>
    <t>JOHN DEMPSEY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</si>
  <si>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</si>
  <si>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</si>
  <si>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</si>
  <si>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</si>
  <si>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</si>
  <si>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</si>
  <si>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</si>
  <si>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</si>
  <si>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</si>
  <si>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</si>
  <si>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</si>
  <si>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</si>
  <si>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</si>
  <si>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</si>
  <si>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</si>
  <si>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</si>
  <si>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</si>
  <si>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</si>
  <si>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</si>
  <si>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</si>
  <si>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</si>
  <si>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</si>
  <si>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</si>
  <si>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</si>
  <si>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</si>
  <si>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</si>
  <si>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</si>
  <si>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</si>
  <si>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</si>
  <si>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</si>
  <si>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</si>
  <si>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</si>
  <si>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</si>
  <si>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</si>
  <si>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</si>
  <si>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</si>
  <si>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</si>
  <si>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</si>
  <si>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</si>
  <si>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</si>
  <si>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</si>
  <si>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</si>
  <si>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</si>
  <si>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</si>
  <si>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</si>
  <si>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</si>
  <si>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</si>
  <si>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</si>
  <si>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</si>
  <si>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</si>
  <si>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</si>
  <si>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</si>
  <si>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</si>
  <si>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</si>
  <si>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</si>
  <si>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</si>
  <si>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</si>
  <si>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</si>
  <si>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</si>
  <si>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</si>
  <si>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</si>
  <si>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</si>
  <si>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</si>
  <si>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</si>
  <si>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</si>
  <si>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</si>
  <si>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</si>
  <si>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</si>
  <si>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</si>
  <si>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</si>
  <si>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</si>
  <si>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</si>
  <si>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</si>
  <si>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</si>
  <si>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</si>
  <si>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</si>
  <si>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</si>
  <si>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</si>
  <si>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</si>
  <si>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</si>
  <si>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</si>
  <si>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</si>
  <si>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</si>
  <si>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</si>
  <si>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</si>
  <si>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</si>
  <si>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</si>
  <si>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</si>
  <si>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</si>
  <si>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</si>
  <si>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</si>
  <si>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</si>
  <si>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</si>
  <si>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</si>
  <si>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</si>
  <si>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</si>
  <si>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</si>
  <si>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</si>
  <si>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</si>
  <si>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</si>
  <si>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</si>
  <si>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</si>
  <si>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</si>
  <si>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</si>
  <si>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</si>
  <si>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</si>
  <si>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</si>
  <si>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</si>
  <si>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</si>
  <si>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</si>
  <si>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</si>
  <si>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</si>
  <si>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</si>
  <si>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</si>
  <si>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</si>
  <si>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</si>
  <si>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</si>
  <si>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</si>
  <si>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</si>
  <si>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</si>
  <si>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</si>
  <si>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</si>
  <si>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</si>
  <si>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</si>
  <si>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</si>
  <si>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</si>
  <si>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</si>
  <si>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</si>
  <si>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</si>
  <si>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</si>
  <si>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</si>
  <si>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</si>
  <si>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</si>
  <si>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</si>
  <si>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</si>
  <si>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</si>
  <si>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</si>
  <si>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</si>
  <si>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</si>
  <si>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</si>
  <si>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</si>
  <si>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</si>
  <si>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</si>
  <si>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</si>
  <si>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</si>
  <si>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</si>
  <si>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</si>
  <si>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</si>
  <si>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</si>
  <si>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</si>
  <si>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</si>
  <si>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</si>
  <si>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</si>
  <si>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</si>
  <si>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</si>
  <si>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</si>
  <si>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</si>
  <si>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</si>
  <si>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</si>
  <si>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</si>
  <si>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</si>
  <si>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</si>
  <si>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</si>
  <si>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</si>
  <si>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</si>
  <si>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</si>
  <si>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</si>
  <si>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</si>
  <si>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</si>
  <si>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</si>
  <si>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</si>
  <si>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</si>
  <si>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</si>
  <si>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</si>
  <si>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</si>
  <si>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</si>
  <si>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</si>
  <si>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</si>
  <si>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</si>
  <si>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</si>
  <si>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</si>
  <si>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</si>
  <si>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</si>
  <si>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</si>
  <si>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</si>
  <si>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</si>
  <si>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</si>
  <si>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</si>
  <si>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</si>
  <si>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</si>
  <si>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</si>
  <si>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</si>
  <si>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</si>
  <si>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</si>
  <si>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</si>
  <si>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</si>
  <si>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</si>
  <si>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</si>
  <si>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</si>
  <si>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</si>
  <si>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</si>
  <si>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</si>
  <si>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</si>
  <si>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</si>
  <si>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</si>
  <si>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</si>
  <si>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</si>
  <si>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</si>
  <si>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</si>
  <si>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</si>
  <si>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</si>
  <si>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</si>
  <si>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</si>
  <si>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</si>
  <si>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</si>
  <si>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</si>
  <si>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</si>
  <si>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</si>
  <si>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</si>
  <si>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</si>
  <si>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</si>
  <si>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</si>
  <si>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</si>
  <si>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</si>
  <si>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</si>
  <si>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</si>
  <si>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</si>
  <si>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</si>
  <si>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</si>
  <si>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</si>
  <si>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</si>
  <si>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</si>
  <si>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</si>
  <si>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</si>
  <si>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</si>
  <si>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</si>
  <si>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</si>
  <si>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</si>
  <si>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</si>
  <si>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</si>
  <si>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</si>
  <si>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</si>
  <si>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</si>
  <si>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</si>
  <si>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</si>
  <si>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</si>
  <si>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</si>
  <si>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</si>
  <si>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</si>
  <si>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</si>
  <si>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</si>
  <si>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</si>
  <si>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</si>
  <si>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</si>
  <si>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</si>
  <si>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</si>
  <si>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</si>
  <si>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</si>
  <si>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</si>
  <si>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</si>
  <si>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</si>
  <si>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</si>
  <si>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</si>
  <si>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</si>
  <si>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</si>
  <si>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</si>
  <si>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</si>
  <si>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</si>
  <si>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</si>
  <si>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</si>
  <si>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</si>
  <si>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</si>
  <si>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</si>
  <si>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</si>
  <si>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</si>
  <si>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</si>
  <si>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</si>
  <si>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</si>
  <si>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</si>
  <si>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</si>
  <si>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</si>
  <si>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</si>
  <si>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</si>
  <si>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</si>
  <si>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</si>
  <si>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</si>
  <si>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</si>
  <si>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</si>
  <si>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</si>
  <si>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</si>
  <si>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</si>
  <si>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</si>
  <si>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</si>
  <si>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</si>
  <si>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</si>
  <si>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</si>
  <si>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</si>
  <si>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</si>
  <si>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</si>
  <si>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</si>
  <si>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</si>
  <si>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</si>
  <si>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</si>
  <si>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</si>
  <si>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</si>
  <si>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</si>
  <si>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</si>
  <si>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</si>
  <si>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</si>
  <si>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</si>
  <si>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</si>
  <si>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</si>
  <si>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</si>
  <si>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</si>
  <si>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</si>
  <si>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</si>
  <si>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</si>
  <si>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</si>
  <si>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</si>
  <si>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</si>
  <si>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</si>
  <si>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</si>
  <si>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</si>
  <si>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</si>
  <si>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</si>
  <si>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</si>
  <si>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</si>
  <si>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</si>
  <si>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</si>
  <si>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</si>
  <si>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</si>
  <si>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</si>
  <si>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</si>
  <si>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</si>
  <si>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</si>
  <si>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</si>
  <si>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</si>
  <si>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</si>
  <si>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</si>
  <si>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</si>
  <si>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</si>
  <si>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</si>
  <si>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</si>
  <si>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</si>
  <si>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</si>
  <si>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</si>
  <si>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</si>
  <si>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</si>
  <si>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</si>
  <si>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</si>
  <si>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</si>
  <si>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</si>
  <si>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</si>
  <si>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</si>
  <si>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</si>
  <si>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</si>
  <si>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</si>
  <si>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</si>
  <si>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</si>
  <si>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</si>
  <si>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</si>
  <si>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</si>
  <si>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</si>
  <si>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</si>
  <si>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</si>
  <si>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</si>
  <si>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</si>
  <si>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</si>
  <si>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</si>
  <si>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</si>
  <si>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</si>
  <si>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</si>
  <si>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</si>
  <si>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</si>
  <si>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</si>
  <si>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</si>
  <si>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</si>
  <si>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</si>
  <si>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</si>
  <si>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</si>
  <si>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</si>
  <si>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</si>
  <si>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</si>
  <si>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</si>
  <si>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</si>
  <si>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</si>
  <si>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</si>
  <si>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</si>
  <si>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</si>
  <si>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</si>
  <si>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</si>
  <si>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</si>
  <si>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</si>
  <si>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</si>
  <si>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</si>
  <si>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</si>
  <si>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</si>
  <si>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</si>
  <si>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</si>
  <si>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</si>
  <si>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</si>
  <si>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</si>
  <si>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</si>
  <si>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</si>
  <si>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</si>
  <si>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</si>
  <si>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</si>
  <si>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</si>
  <si>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</si>
  <si>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</si>
  <si>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</si>
  <si>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</si>
  <si>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</si>
  <si>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</si>
  <si>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</si>
  <si>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</si>
  <si>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</si>
  <si>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</si>
  <si>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</si>
  <si>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</si>
  <si>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</si>
  <si>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</si>
  <si>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</si>
  <si>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</si>
  <si>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</si>
  <si>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</si>
  <si>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</si>
  <si>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</si>
  <si>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</si>
  <si>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</si>
  <si>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</si>
  <si>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</si>
  <si>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</si>
  <si>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</si>
  <si>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</si>
  <si>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</si>
  <si>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</si>
  <si>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</si>
  <si>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</si>
  <si>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</si>
  <si>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</si>
  <si>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</si>
  <si>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</si>
  <si>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</si>
  <si>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</si>
  <si>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</si>
  <si>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</si>
  <si>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</si>
  <si>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</si>
  <si>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</si>
  <si>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</si>
  <si>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</si>
  <si>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</si>
  <si>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</si>
  <si>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</si>
  <si>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</si>
  <si>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</si>
  <si>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</si>
  <si>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</si>
  <si>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</si>
  <si>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</si>
  <si>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</si>
  <si>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</si>
  <si>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</si>
  <si>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</si>
  <si>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</si>
  <si>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</si>
  <si>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</si>
  <si>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</si>
  <si>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</si>
  <si>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</si>
  <si>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</si>
  <si>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</si>
  <si>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</si>
  <si>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</si>
  <si>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</si>
  <si>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</si>
  <si>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</si>
  <si>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</si>
  <si>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</si>
  <si>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</si>
  <si>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</si>
  <si>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</si>
  <si>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</si>
  <si>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</si>
  <si>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</si>
  <si>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</si>
  <si>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</si>
  <si>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</si>
  <si>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</si>
  <si>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UNIVERSITY OF CONNECTICUT HEALTH CENTER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</si>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</sst>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1577178</v>
      </c>
      <c r="D13" s="23">
        <v>0</v>
      </c>
      <c r="E13" s="23">
        <f t="shared" ref="E13:E22" si="0">D13-C13</f>
        <v>-1577178</v>
      </c>
      <c r="F13" s="24">
        <f t="shared" ref="F13:F22" si="1">IF(C13=0,0,E13/C13)</f>
        <v>-1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" customHeight="1" x14ac:dyDescent="0.2">
      <c r="A15" s="21">
        <v>3</v>
      </c>
      <c r="B15" s="22" t="s">
        <v>18</v>
      </c>
      <c r="C15" s="23">
        <v>30512285</v>
      </c>
      <c r="D15" s="23">
        <v>31531470</v>
      </c>
      <c r="E15" s="23">
        <f t="shared" si="0"/>
        <v>1019185</v>
      </c>
      <c r="F15" s="24">
        <f t="shared" si="1"/>
        <v>3.3402447571527334E-2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7348436</v>
      </c>
      <c r="D19" s="23">
        <v>7586687</v>
      </c>
      <c r="E19" s="23">
        <f t="shared" si="0"/>
        <v>238251</v>
      </c>
      <c r="F19" s="24">
        <f t="shared" si="1"/>
        <v>3.2422001089755695E-2</v>
      </c>
    </row>
    <row r="20" spans="1:11" ht="24" customHeight="1" x14ac:dyDescent="0.2">
      <c r="A20" s="21">
        <v>8</v>
      </c>
      <c r="B20" s="22" t="s">
        <v>23</v>
      </c>
      <c r="C20" s="23">
        <v>3634955</v>
      </c>
      <c r="D20" s="23">
        <v>3522933</v>
      </c>
      <c r="E20" s="23">
        <f t="shared" si="0"/>
        <v>-112022</v>
      </c>
      <c r="F20" s="24">
        <f t="shared" si="1"/>
        <v>-3.0817988118147267E-2</v>
      </c>
    </row>
    <row r="21" spans="1:11" ht="24" customHeight="1" x14ac:dyDescent="0.2">
      <c r="A21" s="21">
        <v>9</v>
      </c>
      <c r="B21" s="22" t="s">
        <v>24</v>
      </c>
      <c r="C21" s="23">
        <v>13431049</v>
      </c>
      <c r="D21" s="23">
        <v>5570790</v>
      </c>
      <c r="E21" s="23">
        <f t="shared" si="0"/>
        <v>-7860259</v>
      </c>
      <c r="F21" s="24">
        <f t="shared" si="1"/>
        <v>-0.58523046115013055</v>
      </c>
    </row>
    <row r="22" spans="1:11" ht="24" customHeight="1" x14ac:dyDescent="0.25">
      <c r="A22" s="25"/>
      <c r="B22" s="26" t="s">
        <v>25</v>
      </c>
      <c r="C22" s="27">
        <f>SUM(C13:C21)</f>
        <v>56503903</v>
      </c>
      <c r="D22" s="27">
        <f>SUM(D13:D21)</f>
        <v>48211880</v>
      </c>
      <c r="E22" s="27">
        <f t="shared" si="0"/>
        <v>-8292023</v>
      </c>
      <c r="F22" s="28">
        <f t="shared" si="1"/>
        <v>-0.14675133149651626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623030</v>
      </c>
      <c r="D33" s="23">
        <v>9619354</v>
      </c>
      <c r="E33" s="23">
        <f>D33-C33</f>
        <v>8996324</v>
      </c>
      <c r="F33" s="24">
        <f>IF(C33=0,0,E33/C33)</f>
        <v>14.439632120443639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186186491</v>
      </c>
      <c r="D36" s="23">
        <v>193913543</v>
      </c>
      <c r="E36" s="23">
        <f>D36-C36</f>
        <v>7727052</v>
      </c>
      <c r="F36" s="24">
        <f>IF(C36=0,0,E36/C36)</f>
        <v>4.1501679087984959E-2</v>
      </c>
    </row>
    <row r="37" spans="1:8" ht="24" customHeight="1" x14ac:dyDescent="0.2">
      <c r="A37" s="21">
        <v>2</v>
      </c>
      <c r="B37" s="22" t="s">
        <v>39</v>
      </c>
      <c r="C37" s="23">
        <v>138277486</v>
      </c>
      <c r="D37" s="23">
        <v>147249097</v>
      </c>
      <c r="E37" s="23">
        <f>D37-C37</f>
        <v>8971611</v>
      </c>
      <c r="F37" s="24">
        <f>IF(C37=0,0,E37/C37)</f>
        <v>6.4881212838943284E-2</v>
      </c>
    </row>
    <row r="38" spans="1:8" ht="24" customHeight="1" x14ac:dyDescent="0.25">
      <c r="A38" s="25"/>
      <c r="B38" s="26" t="s">
        <v>40</v>
      </c>
      <c r="C38" s="27">
        <f>C36-C37</f>
        <v>47909005</v>
      </c>
      <c r="D38" s="27">
        <f>D36-D37</f>
        <v>46664446</v>
      </c>
      <c r="E38" s="27">
        <f>D38-C38</f>
        <v>-1244559</v>
      </c>
      <c r="F38" s="28">
        <f>IF(C38=0,0,E38/C38)</f>
        <v>-2.5977558916116084E-2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7169410</v>
      </c>
      <c r="D40" s="23">
        <v>11253841</v>
      </c>
      <c r="E40" s="23">
        <f>D40-C40</f>
        <v>4084431</v>
      </c>
      <c r="F40" s="24">
        <f>IF(C40=0,0,E40/C40)</f>
        <v>0.56970252782307051</v>
      </c>
    </row>
    <row r="41" spans="1:8" ht="24" customHeight="1" x14ac:dyDescent="0.25">
      <c r="A41" s="25"/>
      <c r="B41" s="26" t="s">
        <v>42</v>
      </c>
      <c r="C41" s="27">
        <f>+C38+C40</f>
        <v>55078415</v>
      </c>
      <c r="D41" s="27">
        <f>+D38+D40</f>
        <v>57918287</v>
      </c>
      <c r="E41" s="27">
        <f>D41-C41</f>
        <v>2839872</v>
      </c>
      <c r="F41" s="28">
        <f>IF(C41=0,0,E41/C41)</f>
        <v>5.1560525116781226E-2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112205348</v>
      </c>
      <c r="D43" s="27">
        <f>D22+D29+D31+D32+D33+D41</f>
        <v>115749521</v>
      </c>
      <c r="E43" s="27">
        <f>D43-C43</f>
        <v>3544173</v>
      </c>
      <c r="F43" s="28">
        <f>IF(C43=0,0,E43/C43)</f>
        <v>3.1586489086063881E-2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8760603</v>
      </c>
      <c r="D49" s="23">
        <v>12369091</v>
      </c>
      <c r="E49" s="23">
        <f t="shared" ref="E49:E56" si="2">D49-C49</f>
        <v>3608488</v>
      </c>
      <c r="F49" s="24">
        <f t="shared" ref="F49:F56" si="3">IF(C49=0,0,E49/C49)</f>
        <v>0.41189950052524921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7112987</v>
      </c>
      <c r="D50" s="23">
        <v>4562702</v>
      </c>
      <c r="E50" s="23">
        <f t="shared" si="2"/>
        <v>-2550285</v>
      </c>
      <c r="F50" s="24">
        <f t="shared" si="3"/>
        <v>-0.35853924659218411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9415877</v>
      </c>
      <c r="D51" s="23">
        <v>6740571</v>
      </c>
      <c r="E51" s="23">
        <f t="shared" si="2"/>
        <v>-2675306</v>
      </c>
      <c r="F51" s="24">
        <f t="shared" si="3"/>
        <v>-0.28412711848296235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1445127</v>
      </c>
      <c r="D53" s="23">
        <v>887080</v>
      </c>
      <c r="E53" s="23">
        <f t="shared" si="2"/>
        <v>-558047</v>
      </c>
      <c r="F53" s="24">
        <f t="shared" si="3"/>
        <v>-0.38615775637712119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8719646</v>
      </c>
      <c r="D55" s="23">
        <v>14907280</v>
      </c>
      <c r="E55" s="23">
        <f t="shared" si="2"/>
        <v>6187634</v>
      </c>
      <c r="F55" s="24">
        <f t="shared" si="3"/>
        <v>0.70961986300820012</v>
      </c>
    </row>
    <row r="56" spans="1:6" ht="24" customHeight="1" x14ac:dyDescent="0.25">
      <c r="A56" s="25"/>
      <c r="B56" s="26" t="s">
        <v>54</v>
      </c>
      <c r="C56" s="27">
        <f>SUM(C49:C55)</f>
        <v>35454240</v>
      </c>
      <c r="D56" s="27">
        <f>SUM(D49:D55)</f>
        <v>39466724</v>
      </c>
      <c r="E56" s="27">
        <f t="shared" si="2"/>
        <v>4012484</v>
      </c>
      <c r="F56" s="28">
        <f t="shared" si="3"/>
        <v>0.11317360067512376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415198</v>
      </c>
      <c r="D60" s="23">
        <v>0</v>
      </c>
      <c r="E60" s="23">
        <f>D60-C60</f>
        <v>-415198</v>
      </c>
      <c r="F60" s="24">
        <f>IF(C60=0,0,E60/C60)</f>
        <v>-1</v>
      </c>
    </row>
    <row r="61" spans="1:6" ht="24" customHeight="1" x14ac:dyDescent="0.25">
      <c r="A61" s="25"/>
      <c r="B61" s="26" t="s">
        <v>58</v>
      </c>
      <c r="C61" s="27">
        <f>SUM(C59:C60)</f>
        <v>415198</v>
      </c>
      <c r="D61" s="27">
        <f>SUM(D59:D60)</f>
        <v>0</v>
      </c>
      <c r="E61" s="27">
        <f>D61-C61</f>
        <v>-415198</v>
      </c>
      <c r="F61" s="28">
        <f>IF(C61=0,0,E61/C61)</f>
        <v>-1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7827458</v>
      </c>
      <c r="D63" s="23">
        <v>8241392</v>
      </c>
      <c r="E63" s="23">
        <f>D63-C63</f>
        <v>413934</v>
      </c>
      <c r="F63" s="24">
        <f>IF(C63=0,0,E63/C63)</f>
        <v>5.2882302274889242E-2</v>
      </c>
    </row>
    <row r="64" spans="1:6" ht="24" customHeight="1" x14ac:dyDescent="0.2">
      <c r="A64" s="21">
        <v>4</v>
      </c>
      <c r="B64" s="22" t="s">
        <v>60</v>
      </c>
      <c r="C64" s="23">
        <v>471882</v>
      </c>
      <c r="D64" s="23">
        <v>0</v>
      </c>
      <c r="E64" s="23">
        <f>D64-C64</f>
        <v>-471882</v>
      </c>
      <c r="F64" s="24">
        <f>IF(C64=0,0,E64/C64)</f>
        <v>-1</v>
      </c>
    </row>
    <row r="65" spans="1:6" ht="24" customHeight="1" x14ac:dyDescent="0.25">
      <c r="A65" s="25"/>
      <c r="B65" s="26" t="s">
        <v>61</v>
      </c>
      <c r="C65" s="27">
        <f>SUM(C61:C64)</f>
        <v>8714538</v>
      </c>
      <c r="D65" s="27">
        <f>SUM(D61:D64)</f>
        <v>8241392</v>
      </c>
      <c r="E65" s="27">
        <f>D65-C65</f>
        <v>-473146</v>
      </c>
      <c r="F65" s="28">
        <f>IF(C65=0,0,E65/C65)</f>
        <v>-5.4293870770888833E-2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67969446</v>
      </c>
      <c r="D70" s="23">
        <v>68041405</v>
      </c>
      <c r="E70" s="23">
        <f>D70-C70</f>
        <v>71959</v>
      </c>
      <c r="F70" s="24">
        <f>IF(C70=0,0,E70/C70)</f>
        <v>1.0586962853868192E-3</v>
      </c>
    </row>
    <row r="71" spans="1:6" ht="24" customHeight="1" x14ac:dyDescent="0.2">
      <c r="A71" s="21">
        <v>2</v>
      </c>
      <c r="B71" s="22" t="s">
        <v>65</v>
      </c>
      <c r="C71" s="23">
        <v>67124</v>
      </c>
      <c r="D71" s="23">
        <v>0</v>
      </c>
      <c r="E71" s="23">
        <f>D71-C71</f>
        <v>-67124</v>
      </c>
      <c r="F71" s="24">
        <f>IF(C71=0,0,E71/C71)</f>
        <v>-1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68036570</v>
      </c>
      <c r="D73" s="27">
        <f>SUM(D70:D72)</f>
        <v>68041405</v>
      </c>
      <c r="E73" s="27">
        <f>D73-C73</f>
        <v>4835</v>
      </c>
      <c r="F73" s="28">
        <f>IF(C73=0,0,E73/C73)</f>
        <v>7.1064722986476238E-5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112205348</v>
      </c>
      <c r="D75" s="27">
        <f>D56+D65+D67+D73</f>
        <v>115749521</v>
      </c>
      <c r="E75" s="27">
        <f>D75-C75</f>
        <v>3544173</v>
      </c>
      <c r="F75" s="28">
        <f>IF(C75=0,0,E75/C75)</f>
        <v>3.1586489086063881E-2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FILING&amp;RJOHN DEMPSEY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415044939</v>
      </c>
      <c r="D11" s="51">
        <v>427311134</v>
      </c>
      <c r="E11" s="51">
        <v>436437254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158984528</v>
      </c>
      <c r="D12" s="49">
        <v>170801000</v>
      </c>
      <c r="E12" s="49">
        <v>192070000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574029467</v>
      </c>
      <c r="D13" s="51">
        <f>+D11+D12</f>
        <v>598112134</v>
      </c>
      <c r="E13" s="51">
        <f>+E11+E12</f>
        <v>628507254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785031400</v>
      </c>
      <c r="D14" s="49">
        <v>820092537</v>
      </c>
      <c r="E14" s="49">
        <v>838245254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-211001933</v>
      </c>
      <c r="D15" s="51">
        <f>+D13-D14</f>
        <v>-221980403</v>
      </c>
      <c r="E15" s="51">
        <f>+E13-E14</f>
        <v>-209738000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245837744</v>
      </c>
      <c r="D16" s="49">
        <v>215749000</v>
      </c>
      <c r="E16" s="49">
        <v>273250000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34835811</v>
      </c>
      <c r="D17" s="51">
        <f>D15+D16</f>
        <v>-6231403</v>
      </c>
      <c r="E17" s="51">
        <f>E15+E16</f>
        <v>63512000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-0.25736110698053027</v>
      </c>
      <c r="D20" s="169">
        <f>IF(+D27=0,0,+D24/+D27)</f>
        <v>-0.27274972808813353</v>
      </c>
      <c r="E20" s="169">
        <f>IF(+E27=0,0,+E24/+E27)</f>
        <v>-0.2325880929370378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0.29985068399082493</v>
      </c>
      <c r="D21" s="169">
        <f>IF(+D27=0,0,+D26/+D27)</f>
        <v>0.26509313565525294</v>
      </c>
      <c r="E21" s="169">
        <f>IF(+E27=0,0,+E26/+E27)</f>
        <v>0.3030194642603895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4.2489577010294662E-2</v>
      </c>
      <c r="D22" s="169">
        <f>IF(+D27=0,0,+D28/+D27)</f>
        <v>-7.6565924328805702E-3</v>
      </c>
      <c r="E22" s="169">
        <f>IF(+E27=0,0,+E28/+E27)</f>
        <v>7.0431371323351727E-2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-211001933</v>
      </c>
      <c r="D24" s="51">
        <f>+D15</f>
        <v>-221980403</v>
      </c>
      <c r="E24" s="51">
        <f>+E15</f>
        <v>-209738000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574029467</v>
      </c>
      <c r="D25" s="51">
        <f>+D13</f>
        <v>598112134</v>
      </c>
      <c r="E25" s="51">
        <f>+E13</f>
        <v>628507254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245837744</v>
      </c>
      <c r="D26" s="51">
        <f>+D16</f>
        <v>215749000</v>
      </c>
      <c r="E26" s="51">
        <f>+E16</f>
        <v>273250000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819867211</v>
      </c>
      <c r="D27" s="51">
        <f>SUM(D25:D26)</f>
        <v>813861134</v>
      </c>
      <c r="E27" s="51">
        <f>SUM(E25:E26)</f>
        <v>901757254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34835811</v>
      </c>
      <c r="D28" s="51">
        <f>+D17</f>
        <v>-6231403</v>
      </c>
      <c r="E28" s="51">
        <f>+E17</f>
        <v>63512000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65819357</v>
      </c>
      <c r="D31" s="51">
        <v>51005000</v>
      </c>
      <c r="E31" s="52">
        <v>45288000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102752317</v>
      </c>
      <c r="D32" s="51">
        <v>61746000</v>
      </c>
      <c r="E32" s="51">
        <v>101153181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7791499</v>
      </c>
      <c r="D33" s="51">
        <f>+D32-C32</f>
        <v>-41006317</v>
      </c>
      <c r="E33" s="51">
        <f>+E32-D32</f>
        <v>39407181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1.0820000000000001</v>
      </c>
      <c r="D34" s="171">
        <f>IF(C32=0,0,+D33/C32)</f>
        <v>-0.39907924412059731</v>
      </c>
      <c r="E34" s="171">
        <f>IF(D32=0,0,+E33/D32)</f>
        <v>0.63821431347779611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1.968906325015888</v>
      </c>
      <c r="D38" s="269">
        <f>IF(+D40=0,0,+D39/+D40)</f>
        <v>1.8290504171328394</v>
      </c>
      <c r="E38" s="269">
        <f>IF(+E40=0,0,+E39/+E40)</f>
        <v>2.3911824334547069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230460887</v>
      </c>
      <c r="D39" s="270">
        <v>207621000</v>
      </c>
      <c r="E39" s="270">
        <v>237069000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117050204</v>
      </c>
      <c r="D40" s="270">
        <v>113513000</v>
      </c>
      <c r="E40" s="270">
        <v>99143000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47.18448309390515</v>
      </c>
      <c r="D42" s="271">
        <f>IF((D48/365)=0,0,+D45/(D48/365))</f>
        <v>44.41908792386873</v>
      </c>
      <c r="E42" s="271">
        <f>IF((E48/365)=0,0,+E45/(E48/365))</f>
        <v>38.122533347774976</v>
      </c>
    </row>
    <row r="43" spans="1:14" ht="24" customHeight="1" x14ac:dyDescent="0.2">
      <c r="A43" s="17">
        <v>5</v>
      </c>
      <c r="B43" s="188" t="s">
        <v>16</v>
      </c>
      <c r="C43" s="272">
        <v>97647270</v>
      </c>
      <c r="D43" s="272">
        <v>96175000</v>
      </c>
      <c r="E43" s="272">
        <v>84404000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97647270</v>
      </c>
      <c r="D45" s="270">
        <f>+D43+D44</f>
        <v>96175000</v>
      </c>
      <c r="E45" s="270">
        <f>+E43+E44</f>
        <v>84404000</v>
      </c>
    </row>
    <row r="46" spans="1:14" ht="24" customHeight="1" x14ac:dyDescent="0.2">
      <c r="A46" s="17">
        <v>8</v>
      </c>
      <c r="B46" s="45" t="s">
        <v>336</v>
      </c>
      <c r="C46" s="270">
        <f>+C14</f>
        <v>785031400</v>
      </c>
      <c r="D46" s="270">
        <f>+D14</f>
        <v>820092537</v>
      </c>
      <c r="E46" s="270">
        <f>+E14</f>
        <v>838245254</v>
      </c>
    </row>
    <row r="47" spans="1:14" ht="24" customHeight="1" x14ac:dyDescent="0.2">
      <c r="A47" s="17">
        <v>9</v>
      </c>
      <c r="B47" s="45" t="s">
        <v>359</v>
      </c>
      <c r="C47" s="270">
        <v>29671773</v>
      </c>
      <c r="D47" s="270">
        <v>29804473</v>
      </c>
      <c r="E47" s="270">
        <v>30128445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755359627</v>
      </c>
      <c r="D48" s="270">
        <f>+D46-D47</f>
        <v>790288064</v>
      </c>
      <c r="E48" s="270">
        <f>+E46-E47</f>
        <v>808116809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34.689432907408609</v>
      </c>
      <c r="D50" s="278">
        <f>IF((D55/365)=0,0,+D54/(D55/365))</f>
        <v>28.395457161198145</v>
      </c>
      <c r="E50" s="278">
        <f>IF((E55/365)=0,0,+E54/(E55/365))</f>
        <v>28.743387245306053</v>
      </c>
    </row>
    <row r="51" spans="1:5" ht="24" customHeight="1" x14ac:dyDescent="0.2">
      <c r="A51" s="17">
        <v>12</v>
      </c>
      <c r="B51" s="188" t="s">
        <v>362</v>
      </c>
      <c r="C51" s="279">
        <v>42279080</v>
      </c>
      <c r="D51" s="279">
        <v>42659000</v>
      </c>
      <c r="E51" s="279">
        <v>41110000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2833399</v>
      </c>
      <c r="D53" s="270">
        <v>9416000</v>
      </c>
      <c r="E53" s="270">
        <v>6741000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39445681</v>
      </c>
      <c r="D54" s="280">
        <f>+D51+D52-D53</f>
        <v>33243000</v>
      </c>
      <c r="E54" s="280">
        <f>+E51+E52-E53</f>
        <v>34369000</v>
      </c>
    </row>
    <row r="55" spans="1:5" ht="24" customHeight="1" x14ac:dyDescent="0.2">
      <c r="A55" s="17">
        <v>16</v>
      </c>
      <c r="B55" s="45" t="s">
        <v>75</v>
      </c>
      <c r="C55" s="270">
        <f>+C11</f>
        <v>415044939</v>
      </c>
      <c r="D55" s="270">
        <f>+D11</f>
        <v>427311134</v>
      </c>
      <c r="E55" s="270">
        <f>+E11</f>
        <v>436437254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56.560243535494124</v>
      </c>
      <c r="D57" s="283">
        <f>IF((D61/365)=0,0,+D58/(D61/365))</f>
        <v>52.42676295817116</v>
      </c>
      <c r="E57" s="283">
        <f>IF((E61/365)=0,0,+E58/(E61/365))</f>
        <v>44.779658827762361</v>
      </c>
    </row>
    <row r="58" spans="1:5" ht="24" customHeight="1" x14ac:dyDescent="0.2">
      <c r="A58" s="17">
        <v>18</v>
      </c>
      <c r="B58" s="45" t="s">
        <v>54</v>
      </c>
      <c r="C58" s="281">
        <f>+C40</f>
        <v>117050204</v>
      </c>
      <c r="D58" s="281">
        <f>+D40</f>
        <v>113513000</v>
      </c>
      <c r="E58" s="281">
        <f>+E40</f>
        <v>99143000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785031400</v>
      </c>
      <c r="D59" s="281">
        <f t="shared" si="0"/>
        <v>820092537</v>
      </c>
      <c r="E59" s="281">
        <f t="shared" si="0"/>
        <v>838245254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29671773</v>
      </c>
      <c r="D60" s="176">
        <f t="shared" si="0"/>
        <v>29804473</v>
      </c>
      <c r="E60" s="176">
        <f t="shared" si="0"/>
        <v>30128445</v>
      </c>
    </row>
    <row r="61" spans="1:5" ht="24" customHeight="1" x14ac:dyDescent="0.2">
      <c r="A61" s="17">
        <v>21</v>
      </c>
      <c r="B61" s="45" t="s">
        <v>365</v>
      </c>
      <c r="C61" s="281">
        <f>+C59-C60</f>
        <v>755359627</v>
      </c>
      <c r="D61" s="281">
        <f>+D59-D60</f>
        <v>790288064</v>
      </c>
      <c r="E61" s="281">
        <f>+E59-E60</f>
        <v>808116809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19.759800854159909</v>
      </c>
      <c r="D65" s="284">
        <f>IF(D67=0,0,(D66/D67)*100)</f>
        <v>11.998251153752733</v>
      </c>
      <c r="E65" s="284">
        <f>IF(E67=0,0,(E66/E67)*100)</f>
        <v>17.998588702354503</v>
      </c>
    </row>
    <row r="66" spans="1:5" ht="24" customHeight="1" x14ac:dyDescent="0.2">
      <c r="A66" s="17">
        <v>2</v>
      </c>
      <c r="B66" s="45" t="s">
        <v>67</v>
      </c>
      <c r="C66" s="281">
        <f>+C32</f>
        <v>102752317</v>
      </c>
      <c r="D66" s="281">
        <f>+D32</f>
        <v>61746000</v>
      </c>
      <c r="E66" s="281">
        <f>+E32</f>
        <v>101153181</v>
      </c>
    </row>
    <row r="67" spans="1:5" ht="24" customHeight="1" x14ac:dyDescent="0.2">
      <c r="A67" s="17">
        <v>3</v>
      </c>
      <c r="B67" s="45" t="s">
        <v>43</v>
      </c>
      <c r="C67" s="281">
        <v>520006845</v>
      </c>
      <c r="D67" s="281">
        <v>514625000</v>
      </c>
      <c r="E67" s="281">
        <v>562006181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46.897173075603007</v>
      </c>
      <c r="D69" s="284">
        <f>IF(D75=0,0,(D72/D75)*100)</f>
        <v>17.901648681282797</v>
      </c>
      <c r="E69" s="284">
        <f>IF(E75=0,0,(E72/E75)*100)</f>
        <v>81.089423959542074</v>
      </c>
    </row>
    <row r="70" spans="1:5" ht="24" customHeight="1" x14ac:dyDescent="0.2">
      <c r="A70" s="17">
        <v>5</v>
      </c>
      <c r="B70" s="45" t="s">
        <v>370</v>
      </c>
      <c r="C70" s="281">
        <f>+C28</f>
        <v>34835811</v>
      </c>
      <c r="D70" s="281">
        <f>+D28</f>
        <v>-6231403</v>
      </c>
      <c r="E70" s="281">
        <f>+E28</f>
        <v>63512000</v>
      </c>
    </row>
    <row r="71" spans="1:5" ht="24" customHeight="1" x14ac:dyDescent="0.2">
      <c r="A71" s="17">
        <v>6</v>
      </c>
      <c r="B71" s="45" t="s">
        <v>359</v>
      </c>
      <c r="C71" s="176">
        <f>+C47</f>
        <v>29671773</v>
      </c>
      <c r="D71" s="176">
        <f>+D47</f>
        <v>29804473</v>
      </c>
      <c r="E71" s="176">
        <f>+E47</f>
        <v>30128445</v>
      </c>
    </row>
    <row r="72" spans="1:5" ht="24" customHeight="1" x14ac:dyDescent="0.2">
      <c r="A72" s="17">
        <v>7</v>
      </c>
      <c r="B72" s="45" t="s">
        <v>371</v>
      </c>
      <c r="C72" s="281">
        <f>+C70+C71</f>
        <v>64507584</v>
      </c>
      <c r="D72" s="281">
        <f>+D70+D71</f>
        <v>23573070</v>
      </c>
      <c r="E72" s="281">
        <f>+E70+E71</f>
        <v>93640445</v>
      </c>
    </row>
    <row r="73" spans="1:5" ht="24" customHeight="1" x14ac:dyDescent="0.2">
      <c r="A73" s="17">
        <v>8</v>
      </c>
      <c r="B73" s="45" t="s">
        <v>54</v>
      </c>
      <c r="C73" s="270">
        <f>+C40</f>
        <v>117050204</v>
      </c>
      <c r="D73" s="270">
        <f>+D40</f>
        <v>113513000</v>
      </c>
      <c r="E73" s="270">
        <f>+E40</f>
        <v>99143000</v>
      </c>
    </row>
    <row r="74" spans="1:5" ht="24" customHeight="1" x14ac:dyDescent="0.2">
      <c r="A74" s="17">
        <v>9</v>
      </c>
      <c r="B74" s="45" t="s">
        <v>58</v>
      </c>
      <c r="C74" s="281">
        <v>20500910</v>
      </c>
      <c r="D74" s="281">
        <v>18168000</v>
      </c>
      <c r="E74" s="281">
        <v>16335000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137551114</v>
      </c>
      <c r="D75" s="270">
        <f>+D73+D74</f>
        <v>131681000</v>
      </c>
      <c r="E75" s="270">
        <f>+E73+E74</f>
        <v>115478000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16.633162878567063</v>
      </c>
      <c r="D77" s="286">
        <f>IF(D80=0,0,(D78/D80)*100)</f>
        <v>22.734439522486674</v>
      </c>
      <c r="E77" s="286">
        <f>IF(E80=0,0,(E78/E80)*100)</f>
        <v>13.903526176816033</v>
      </c>
    </row>
    <row r="78" spans="1:5" ht="24" customHeight="1" x14ac:dyDescent="0.2">
      <c r="A78" s="17">
        <v>12</v>
      </c>
      <c r="B78" s="45" t="s">
        <v>58</v>
      </c>
      <c r="C78" s="270">
        <f>+C74</f>
        <v>20500910</v>
      </c>
      <c r="D78" s="270">
        <f>+D74</f>
        <v>18168000</v>
      </c>
      <c r="E78" s="270">
        <f>+E74</f>
        <v>16335000</v>
      </c>
    </row>
    <row r="79" spans="1:5" ht="24" customHeight="1" x14ac:dyDescent="0.2">
      <c r="A79" s="17">
        <v>13</v>
      </c>
      <c r="B79" s="45" t="s">
        <v>67</v>
      </c>
      <c r="C79" s="270">
        <f>+C32</f>
        <v>102752317</v>
      </c>
      <c r="D79" s="270">
        <f>+D32</f>
        <v>61746000</v>
      </c>
      <c r="E79" s="270">
        <f>+E32</f>
        <v>101153181</v>
      </c>
    </row>
    <row r="80" spans="1:5" ht="24" customHeight="1" x14ac:dyDescent="0.2">
      <c r="A80" s="17">
        <v>14</v>
      </c>
      <c r="B80" s="45" t="s">
        <v>374</v>
      </c>
      <c r="C80" s="270">
        <f>+C78+C79</f>
        <v>123253227</v>
      </c>
      <c r="D80" s="270">
        <f>+D78+D79</f>
        <v>79914000</v>
      </c>
      <c r="E80" s="270">
        <f>+E78+E79</f>
        <v>117488181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FILING&amp;R&amp;8UNIVERSITY OF CONNECTICUT HEALTH CENTER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23759</v>
      </c>
      <c r="D11" s="296">
        <v>5772</v>
      </c>
      <c r="E11" s="296">
        <v>5096</v>
      </c>
      <c r="F11" s="297">
        <v>100</v>
      </c>
      <c r="G11" s="297">
        <v>150</v>
      </c>
      <c r="H11" s="298">
        <f>IF(F11=0,0,$C11/(F11*365))</f>
        <v>0.65093150684931511</v>
      </c>
      <c r="I11" s="298">
        <f>IF(G11=0,0,$C11/(G11*365))</f>
        <v>0.43395433789954335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3249</v>
      </c>
      <c r="D13" s="296">
        <v>147</v>
      </c>
      <c r="E13" s="296">
        <v>0</v>
      </c>
      <c r="F13" s="297">
        <v>15</v>
      </c>
      <c r="G13" s="297">
        <v>15</v>
      </c>
      <c r="H13" s="298">
        <f>IF(F13=0,0,$C13/(F13*365))</f>
        <v>0.59342465753424656</v>
      </c>
      <c r="I13" s="298">
        <f>IF(G13=0,0,$C13/(G13*365))</f>
        <v>0.59342465753424656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5573</v>
      </c>
      <c r="D16" s="296">
        <v>740</v>
      </c>
      <c r="E16" s="296">
        <v>740</v>
      </c>
      <c r="F16" s="297">
        <v>25</v>
      </c>
      <c r="G16" s="297">
        <v>25</v>
      </c>
      <c r="H16" s="298">
        <f t="shared" si="0"/>
        <v>0.61073972602739723</v>
      </c>
      <c r="I16" s="298">
        <f t="shared" si="0"/>
        <v>0.61073972602739723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5573</v>
      </c>
      <c r="D17" s="300">
        <f>SUM(D15:D16)</f>
        <v>740</v>
      </c>
      <c r="E17" s="300">
        <f>SUM(E15:E16)</f>
        <v>740</v>
      </c>
      <c r="F17" s="300">
        <f>SUM(F15:F16)</f>
        <v>25</v>
      </c>
      <c r="G17" s="300">
        <f>SUM(G15:G16)</f>
        <v>25</v>
      </c>
      <c r="H17" s="301">
        <f t="shared" si="0"/>
        <v>0.61073972602739723</v>
      </c>
      <c r="I17" s="301">
        <f t="shared" si="0"/>
        <v>0.61073972602739723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3305</v>
      </c>
      <c r="D21" s="296">
        <v>716</v>
      </c>
      <c r="E21" s="296">
        <v>723</v>
      </c>
      <c r="F21" s="297">
        <v>20</v>
      </c>
      <c r="G21" s="297">
        <v>20</v>
      </c>
      <c r="H21" s="298">
        <f>IF(F21=0,0,$C21/(F21*365))</f>
        <v>0.45273972602739726</v>
      </c>
      <c r="I21" s="298">
        <f>IF(G21=0,0,$C21/(G21*365))</f>
        <v>0.45273972602739726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1099</v>
      </c>
      <c r="D23" s="296">
        <v>441</v>
      </c>
      <c r="E23" s="296">
        <v>443</v>
      </c>
      <c r="F23" s="297">
        <v>10</v>
      </c>
      <c r="G23" s="297">
        <v>10</v>
      </c>
      <c r="H23" s="298">
        <f>IF(F23=0,0,$C23/(F23*365))</f>
        <v>0.30109589041095891</v>
      </c>
      <c r="I23" s="298">
        <f>IF(G23=0,0,$C23/(G23*365))</f>
        <v>0.30109589041095891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3310</v>
      </c>
      <c r="D29" s="296">
        <v>705</v>
      </c>
      <c r="E29" s="296">
        <v>757</v>
      </c>
      <c r="F29" s="297">
        <v>14</v>
      </c>
      <c r="G29" s="297">
        <v>14</v>
      </c>
      <c r="H29" s="298">
        <f>IF(F29=0,0,$C29/(F29*365))</f>
        <v>0.64774951076320941</v>
      </c>
      <c r="I29" s="298">
        <f>IF(G29=0,0,$C29/(G29*365))</f>
        <v>0.64774951076320941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39196</v>
      </c>
      <c r="D31" s="300">
        <f>SUM(D10:D29)-D13-D17-D23</f>
        <v>7933</v>
      </c>
      <c r="E31" s="300">
        <f>SUM(E10:E29)-E17-E23</f>
        <v>7316</v>
      </c>
      <c r="F31" s="300">
        <f>SUM(F10:F29)-F17-F23</f>
        <v>174</v>
      </c>
      <c r="G31" s="300">
        <f>SUM(G10:G29)-G17-G23</f>
        <v>224</v>
      </c>
      <c r="H31" s="301">
        <f>IF(F31=0,0,$C31/(F31*365))</f>
        <v>0.61716265155093686</v>
      </c>
      <c r="I31" s="301">
        <f>IF(G31=0,0,$C31/(G31*365))</f>
        <v>0.4794031311154599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40295</v>
      </c>
      <c r="D33" s="300">
        <f>SUM(D10:D29)-D13-D17</f>
        <v>8374</v>
      </c>
      <c r="E33" s="300">
        <f>SUM(E10:E29)-E17</f>
        <v>7759</v>
      </c>
      <c r="F33" s="300">
        <f>SUM(F10:F29)-F17</f>
        <v>184</v>
      </c>
      <c r="G33" s="300">
        <f>SUM(G10:G29)-G17</f>
        <v>234</v>
      </c>
      <c r="H33" s="301">
        <f>IF(F33=0,0,$C33/(F33*365))</f>
        <v>0.59998511018463374</v>
      </c>
      <c r="I33" s="301">
        <f>IF(G33=0,0,$C33/(G33*365))</f>
        <v>0.47178316356398547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40295</v>
      </c>
      <c r="D36" s="300">
        <f t="shared" si="1"/>
        <v>8374</v>
      </c>
      <c r="E36" s="300">
        <f t="shared" si="1"/>
        <v>7759</v>
      </c>
      <c r="F36" s="300">
        <f t="shared" si="1"/>
        <v>184</v>
      </c>
      <c r="G36" s="300">
        <f t="shared" si="1"/>
        <v>234</v>
      </c>
      <c r="H36" s="301">
        <f t="shared" si="1"/>
        <v>0.59998511018463374</v>
      </c>
      <c r="I36" s="301">
        <f t="shared" si="1"/>
        <v>0.47178316356398547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51614</v>
      </c>
      <c r="D37" s="300">
        <v>9082</v>
      </c>
      <c r="E37" s="300">
        <v>8071</v>
      </c>
      <c r="F37" s="302">
        <v>150</v>
      </c>
      <c r="G37" s="302">
        <v>224</v>
      </c>
      <c r="H37" s="301">
        <f>IF(F37=0,0,$C37/(F37*365))</f>
        <v>0.94272146118721456</v>
      </c>
      <c r="I37" s="301">
        <f>IF(G37=0,0,$C37/(G37*365))</f>
        <v>0.6312866927592955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-11319</v>
      </c>
      <c r="D38" s="300">
        <f t="shared" si="2"/>
        <v>-708</v>
      </c>
      <c r="E38" s="300">
        <f t="shared" si="2"/>
        <v>-312</v>
      </c>
      <c r="F38" s="300">
        <f t="shared" si="2"/>
        <v>34</v>
      </c>
      <c r="G38" s="300">
        <f t="shared" si="2"/>
        <v>10</v>
      </c>
      <c r="H38" s="301">
        <f t="shared" si="2"/>
        <v>-0.34273635100258082</v>
      </c>
      <c r="I38" s="301">
        <f t="shared" si="2"/>
        <v>-0.15950352919531002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-0.21930096485449685</v>
      </c>
      <c r="D40" s="148">
        <f t="shared" si="3"/>
        <v>-7.7956397269323935E-2</v>
      </c>
      <c r="E40" s="148">
        <f t="shared" si="3"/>
        <v>-3.8656919836451496E-2</v>
      </c>
      <c r="F40" s="148">
        <f t="shared" si="3"/>
        <v>0.22666666666666666</v>
      </c>
      <c r="G40" s="148">
        <f t="shared" si="3"/>
        <v>4.4642857142857144E-2</v>
      </c>
      <c r="H40" s="148">
        <f t="shared" si="3"/>
        <v>-0.36356056917486151</v>
      </c>
      <c r="I40" s="148">
        <f t="shared" si="3"/>
        <v>-0.25266417148464654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234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FILING&amp;RJOHN DEMPSEY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4537</v>
      </c>
      <c r="D12" s="296">
        <v>3689</v>
      </c>
      <c r="E12" s="296">
        <f>+D12-C12</f>
        <v>-848</v>
      </c>
      <c r="F12" s="316">
        <f>IF(C12=0,0,+E12/C12)</f>
        <v>-0.1869076482256998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9904</v>
      </c>
      <c r="D13" s="296">
        <v>9651</v>
      </c>
      <c r="E13" s="296">
        <f>+D13-C13</f>
        <v>-253</v>
      </c>
      <c r="F13" s="316">
        <f>IF(C13=0,0,+E13/C13)</f>
        <v>-2.5545234248788368E-2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3848</v>
      </c>
      <c r="D14" s="296">
        <v>3750</v>
      </c>
      <c r="E14" s="296">
        <f>+D14-C14</f>
        <v>-98</v>
      </c>
      <c r="F14" s="316">
        <f>IF(C14=0,0,+E14/C14)</f>
        <v>-2.5467775467775469E-2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18289</v>
      </c>
      <c r="D16" s="300">
        <f>SUM(D12:D15)</f>
        <v>17090</v>
      </c>
      <c r="E16" s="300">
        <f>+D16-C16</f>
        <v>-1199</v>
      </c>
      <c r="F16" s="309">
        <f>IF(C16=0,0,+E16/C16)</f>
        <v>-6.5558532451200177E-2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786</v>
      </c>
      <c r="D19" s="296">
        <v>782</v>
      </c>
      <c r="E19" s="296">
        <f>+D19-C19</f>
        <v>-4</v>
      </c>
      <c r="F19" s="316">
        <f>IF(C19=0,0,+E19/C19)</f>
        <v>-5.0890585241730284E-3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5897</v>
      </c>
      <c r="D20" s="296">
        <v>6953</v>
      </c>
      <c r="E20" s="296">
        <f>+D20-C20</f>
        <v>1056</v>
      </c>
      <c r="F20" s="316">
        <f>IF(C20=0,0,+E20/C20)</f>
        <v>0.17907410547736138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193</v>
      </c>
      <c r="D21" s="296">
        <v>240</v>
      </c>
      <c r="E21" s="296">
        <f>+D21-C21</f>
        <v>47</v>
      </c>
      <c r="F21" s="316">
        <f>IF(C21=0,0,+E21/C21)</f>
        <v>0.24352331606217617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6876</v>
      </c>
      <c r="D23" s="300">
        <f>SUM(D19:D22)</f>
        <v>7975</v>
      </c>
      <c r="E23" s="300">
        <f>+D23-C23</f>
        <v>1099</v>
      </c>
      <c r="F23" s="309">
        <f>IF(C23=0,0,+E23/C23)</f>
        <v>0.15983129726585224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6</v>
      </c>
      <c r="D26" s="296">
        <v>6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454</v>
      </c>
      <c r="D27" s="296">
        <v>384</v>
      </c>
      <c r="E27" s="296">
        <f>+D27-C27</f>
        <v>-70</v>
      </c>
      <c r="F27" s="316">
        <f>IF(C27=0,0,+E27/C27)</f>
        <v>-0.15418502202643172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460</v>
      </c>
      <c r="D30" s="300">
        <f>SUM(D26:D29)</f>
        <v>390</v>
      </c>
      <c r="E30" s="300">
        <f>+D30-C30</f>
        <v>-70</v>
      </c>
      <c r="F30" s="309">
        <f>IF(C30=0,0,+E30/C30)</f>
        <v>-0.15217391304347827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345</v>
      </c>
      <c r="D48" s="296">
        <v>315</v>
      </c>
      <c r="E48" s="296">
        <f>+D48-C48</f>
        <v>-30</v>
      </c>
      <c r="F48" s="316">
        <f>IF(C48=0,0,+E48/C48)</f>
        <v>-8.6956521739130432E-2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379</v>
      </c>
      <c r="D49" s="296">
        <v>429</v>
      </c>
      <c r="E49" s="296">
        <f>+D49-C49</f>
        <v>50</v>
      </c>
      <c r="F49" s="316">
        <f>IF(C49=0,0,+E49/C49)</f>
        <v>0.13192612137203166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724</v>
      </c>
      <c r="D50" s="300">
        <f>SUM(D48:D49)</f>
        <v>744</v>
      </c>
      <c r="E50" s="300">
        <f>+D50-C50</f>
        <v>20</v>
      </c>
      <c r="F50" s="309">
        <f>IF(C50=0,0,+E50/C50)</f>
        <v>2.7624309392265192E-2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477</v>
      </c>
      <c r="D54" s="296">
        <v>497</v>
      </c>
      <c r="E54" s="296">
        <f>+D54-C54</f>
        <v>20</v>
      </c>
      <c r="F54" s="316">
        <f>IF(C54=0,0,+E54/C54)</f>
        <v>4.1928721174004195E-2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477</v>
      </c>
      <c r="D55" s="300">
        <f>SUM(D53:D54)</f>
        <v>497</v>
      </c>
      <c r="E55" s="300">
        <f>+D55-C55</f>
        <v>20</v>
      </c>
      <c r="F55" s="309">
        <f>IF(C55=0,0,+E55/C55)</f>
        <v>4.1928721174004195E-2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329</v>
      </c>
      <c r="D58" s="296">
        <v>248</v>
      </c>
      <c r="E58" s="296">
        <f>+D58-C58</f>
        <v>-81</v>
      </c>
      <c r="F58" s="316">
        <f>IF(C58=0,0,+E58/C58)</f>
        <v>-0.24620060790273557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1581</v>
      </c>
      <c r="D59" s="296">
        <v>1892</v>
      </c>
      <c r="E59" s="296">
        <f>+D59-C59</f>
        <v>311</v>
      </c>
      <c r="F59" s="316">
        <f>IF(C59=0,0,+E59/C59)</f>
        <v>0.19671094244149273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1910</v>
      </c>
      <c r="D60" s="300">
        <f>SUM(D58:D59)</f>
        <v>2140</v>
      </c>
      <c r="E60" s="300">
        <f>SUM(E58:E59)</f>
        <v>230</v>
      </c>
      <c r="F60" s="309">
        <f>IF(C60=0,0,+E60/C60)</f>
        <v>0.12041884816753927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2277</v>
      </c>
      <c r="D63" s="296">
        <v>2279</v>
      </c>
      <c r="E63" s="296">
        <f>+D63-C63</f>
        <v>2</v>
      </c>
      <c r="F63" s="316">
        <f>IF(C63=0,0,+E63/C63)</f>
        <v>8.7834870443566099E-4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7493</v>
      </c>
      <c r="D64" s="296">
        <v>7945</v>
      </c>
      <c r="E64" s="296">
        <f>+D64-C64</f>
        <v>452</v>
      </c>
      <c r="F64" s="316">
        <f>IF(C64=0,0,+E64/C64)</f>
        <v>6.0322968103563329E-2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9770</v>
      </c>
      <c r="D65" s="300">
        <f>SUM(D63:D64)</f>
        <v>10224</v>
      </c>
      <c r="E65" s="300">
        <f>+D65-C65</f>
        <v>454</v>
      </c>
      <c r="F65" s="309">
        <f>IF(C65=0,0,+E65/C65)</f>
        <v>4.6468781985670421E-2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293</v>
      </c>
      <c r="D68" s="296">
        <v>265</v>
      </c>
      <c r="E68" s="296">
        <f>+D68-C68</f>
        <v>-28</v>
      </c>
      <c r="F68" s="316">
        <f>IF(C68=0,0,+E68/C68)</f>
        <v>-9.556313993174062E-2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2431</v>
      </c>
      <c r="D69" s="296">
        <v>2973</v>
      </c>
      <c r="E69" s="296">
        <f>+D69-C69</f>
        <v>542</v>
      </c>
      <c r="F69" s="318">
        <f>IF(C69=0,0,+E69/C69)</f>
        <v>0.22295351707116412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2724</v>
      </c>
      <c r="D70" s="300">
        <f>SUM(D68:D69)</f>
        <v>3238</v>
      </c>
      <c r="E70" s="300">
        <f>+D70-C70</f>
        <v>514</v>
      </c>
      <c r="F70" s="309">
        <f>IF(C70=0,0,+E70/C70)</f>
        <v>0.18869309838472834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4893</v>
      </c>
      <c r="D73" s="319">
        <v>4877</v>
      </c>
      <c r="E73" s="296">
        <f>+D73-C73</f>
        <v>-16</v>
      </c>
      <c r="F73" s="316">
        <f>IF(C73=0,0,+E73/C73)</f>
        <v>-3.2699775189045576E-3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25371</v>
      </c>
      <c r="D74" s="319">
        <v>24430</v>
      </c>
      <c r="E74" s="296">
        <f>+D74-C74</f>
        <v>-941</v>
      </c>
      <c r="F74" s="316">
        <f>IF(C74=0,0,+E74/C74)</f>
        <v>-3.7089590477316622E-2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30264</v>
      </c>
      <c r="D75" s="300">
        <f>SUM(D73:D74)</f>
        <v>29307</v>
      </c>
      <c r="E75" s="300">
        <f>SUM(E73:E74)</f>
        <v>-957</v>
      </c>
      <c r="F75" s="309">
        <f>IF(C75=0,0,+E75/C75)</f>
        <v>-3.1621728786677239E-2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94908</v>
      </c>
      <c r="D80" s="319">
        <v>92484</v>
      </c>
      <c r="E80" s="296">
        <f t="shared" si="0"/>
        <v>-2424</v>
      </c>
      <c r="F80" s="316">
        <f t="shared" si="1"/>
        <v>-2.5540523454292578E-2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16113</v>
      </c>
      <c r="D81" s="319">
        <v>16243</v>
      </c>
      <c r="E81" s="296">
        <f t="shared" si="0"/>
        <v>130</v>
      </c>
      <c r="F81" s="316">
        <f t="shared" si="1"/>
        <v>8.0680196114938253E-3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3341</v>
      </c>
      <c r="D83" s="319">
        <v>2634</v>
      </c>
      <c r="E83" s="296">
        <f t="shared" si="0"/>
        <v>-707</v>
      </c>
      <c r="F83" s="316">
        <f t="shared" si="1"/>
        <v>-0.21161328943430111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114362</v>
      </c>
      <c r="D84" s="320">
        <f>SUM(D79:D83)</f>
        <v>111361</v>
      </c>
      <c r="E84" s="300">
        <f t="shared" si="0"/>
        <v>-3001</v>
      </c>
      <c r="F84" s="309">
        <f t="shared" si="1"/>
        <v>-2.6241233976320805E-2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26396</v>
      </c>
      <c r="D87" s="322">
        <v>27849</v>
      </c>
      <c r="E87" s="323">
        <f t="shared" ref="E87:E92" si="2">+D87-C87</f>
        <v>1453</v>
      </c>
      <c r="F87" s="318">
        <f t="shared" ref="F87:F92" si="3">IF(C87=0,0,+E87/C87)</f>
        <v>5.5046219124109716E-2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3589</v>
      </c>
      <c r="D89" s="322">
        <v>3939</v>
      </c>
      <c r="E89" s="296">
        <f t="shared" si="2"/>
        <v>350</v>
      </c>
      <c r="F89" s="316">
        <f t="shared" si="3"/>
        <v>9.7520200612984123E-2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2724</v>
      </c>
      <c r="D90" s="322">
        <v>2972</v>
      </c>
      <c r="E90" s="296">
        <f t="shared" si="2"/>
        <v>248</v>
      </c>
      <c r="F90" s="316">
        <f t="shared" si="3"/>
        <v>9.1042584434654919E-2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134744</v>
      </c>
      <c r="D91" s="322">
        <v>188682</v>
      </c>
      <c r="E91" s="296">
        <f t="shared" si="2"/>
        <v>53938</v>
      </c>
      <c r="F91" s="316">
        <f t="shared" si="3"/>
        <v>0.40029982782164697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167453</v>
      </c>
      <c r="D92" s="320">
        <f>SUM(D87:D91)</f>
        <v>223442</v>
      </c>
      <c r="E92" s="300">
        <f t="shared" si="2"/>
        <v>55989</v>
      </c>
      <c r="F92" s="309">
        <f t="shared" si="3"/>
        <v>0.33435650600466998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592.4</v>
      </c>
      <c r="D96" s="325">
        <v>632.29999999999995</v>
      </c>
      <c r="E96" s="326">
        <f>+D96-C96</f>
        <v>39.899999999999977</v>
      </c>
      <c r="F96" s="316">
        <f>IF(C96=0,0,+E96/C96)</f>
        <v>6.7353139770425355E-2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30</v>
      </c>
      <c r="D97" s="325">
        <v>41.2</v>
      </c>
      <c r="E97" s="326">
        <f>+D97-C97</f>
        <v>11.200000000000003</v>
      </c>
      <c r="F97" s="316">
        <f>IF(C97=0,0,+E97/C97)</f>
        <v>0.37333333333333341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662.9</v>
      </c>
      <c r="D98" s="325">
        <v>871.4</v>
      </c>
      <c r="E98" s="326">
        <f>+D98-C98</f>
        <v>208.5</v>
      </c>
      <c r="F98" s="316">
        <f>IF(C98=0,0,+E98/C98)</f>
        <v>0.31452707799064716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1285.3</v>
      </c>
      <c r="D99" s="327">
        <f>SUM(D96:D98)</f>
        <v>1544.9</v>
      </c>
      <c r="E99" s="327">
        <f>+D99-C99</f>
        <v>259.60000000000014</v>
      </c>
      <c r="F99" s="309">
        <f>IF(C99=0,0,+E99/C99)</f>
        <v>0.20197619232863934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FILING&amp;RJOHN DEMPSEY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7493</v>
      </c>
      <c r="D12" s="296">
        <v>7945</v>
      </c>
      <c r="E12" s="296">
        <f>+D12-C12</f>
        <v>452</v>
      </c>
      <c r="F12" s="316">
        <f>IF(C12=0,0,+E12/C12)</f>
        <v>6.0322968103563329E-2</v>
      </c>
    </row>
    <row r="13" spans="1:16" ht="15.75" customHeight="1" x14ac:dyDescent="0.25">
      <c r="A13" s="294"/>
      <c r="B13" s="135" t="s">
        <v>602</v>
      </c>
      <c r="C13" s="300">
        <f>SUM(C11:C12)</f>
        <v>7493</v>
      </c>
      <c r="D13" s="300">
        <f>SUM(D11:D12)</f>
        <v>7945</v>
      </c>
      <c r="E13" s="300">
        <f>+D13-C13</f>
        <v>452</v>
      </c>
      <c r="F13" s="309">
        <f>IF(C13=0,0,+E13/C13)</f>
        <v>6.0322968103563329E-2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2431</v>
      </c>
      <c r="D16" s="296">
        <v>2973</v>
      </c>
      <c r="E16" s="296">
        <f>+D16-C16</f>
        <v>542</v>
      </c>
      <c r="F16" s="316">
        <f>IF(C16=0,0,+E16/C16)</f>
        <v>0.22295351707116412</v>
      </c>
    </row>
    <row r="17" spans="1:6" ht="15.75" customHeight="1" x14ac:dyDescent="0.25">
      <c r="A17" s="294"/>
      <c r="B17" s="135" t="s">
        <v>603</v>
      </c>
      <c r="C17" s="300">
        <f>SUM(C15:C16)</f>
        <v>2431</v>
      </c>
      <c r="D17" s="300">
        <f>SUM(D15:D16)</f>
        <v>2973</v>
      </c>
      <c r="E17" s="300">
        <f>+D17-C17</f>
        <v>542</v>
      </c>
      <c r="F17" s="309">
        <f>IF(C17=0,0,+E17/C17)</f>
        <v>0.22295351707116412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25371</v>
      </c>
      <c r="D20" s="296">
        <v>24430</v>
      </c>
      <c r="E20" s="296">
        <f>+D20-C20</f>
        <v>-941</v>
      </c>
      <c r="F20" s="316">
        <f>IF(C20=0,0,+E20/C20)</f>
        <v>-3.7089590477316622E-2</v>
      </c>
    </row>
    <row r="21" spans="1:6" ht="15.75" customHeight="1" x14ac:dyDescent="0.25">
      <c r="A21" s="294"/>
      <c r="B21" s="135" t="s">
        <v>605</v>
      </c>
      <c r="C21" s="300">
        <f>SUM(C19:C20)</f>
        <v>25371</v>
      </c>
      <c r="D21" s="300">
        <f>SUM(D19:D20)</f>
        <v>24430</v>
      </c>
      <c r="E21" s="300">
        <f>+D21-C21</f>
        <v>-941</v>
      </c>
      <c r="F21" s="309">
        <f>IF(C21=0,0,+E21/C21)</f>
        <v>-3.7089590477316622E-2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FILING&amp;RJOHN DEMPSEY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115405918</v>
      </c>
      <c r="D15" s="361">
        <v>120588768</v>
      </c>
      <c r="E15" s="361">
        <f t="shared" ref="E15:E24" si="0">D15-C15</f>
        <v>5182850</v>
      </c>
      <c r="F15" s="362">
        <f t="shared" ref="F15:F24" si="1">IF(C15=0,0,E15/C15)</f>
        <v>4.4909741977010226E-2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69374209</v>
      </c>
      <c r="D16" s="361">
        <v>65565082</v>
      </c>
      <c r="E16" s="361">
        <f t="shared" si="0"/>
        <v>-3809127</v>
      </c>
      <c r="F16" s="362">
        <f t="shared" si="1"/>
        <v>-5.4906961173423974E-2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0.60113216204389097</v>
      </c>
      <c r="D17" s="366">
        <f>IF(LN_IA1=0,0,LN_IA2/LN_IA1)</f>
        <v>0.5437080342341668</v>
      </c>
      <c r="E17" s="367">
        <f t="shared" si="0"/>
        <v>-5.7424127809724168E-2</v>
      </c>
      <c r="F17" s="362">
        <f t="shared" si="1"/>
        <v>-9.5526626980792645E-2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3811</v>
      </c>
      <c r="D18" s="369">
        <v>3700</v>
      </c>
      <c r="E18" s="369">
        <f t="shared" si="0"/>
        <v>-111</v>
      </c>
      <c r="F18" s="362">
        <f t="shared" si="1"/>
        <v>-2.9126213592233011E-2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1.5492999999999999</v>
      </c>
      <c r="D19" s="372">
        <v>1.5752999999999999</v>
      </c>
      <c r="E19" s="373">
        <f t="shared" si="0"/>
        <v>2.6000000000000023E-2</v>
      </c>
      <c r="F19" s="362">
        <f t="shared" si="1"/>
        <v>1.6781772413347981E-2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5904.3822999999993</v>
      </c>
      <c r="D20" s="376">
        <f>LN_IA4*LN_IA5</f>
        <v>5828.61</v>
      </c>
      <c r="E20" s="376">
        <f t="shared" si="0"/>
        <v>-75.772299999999632</v>
      </c>
      <c r="F20" s="362">
        <f t="shared" si="1"/>
        <v>-1.2833230666652401E-2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11749.613333811398</v>
      </c>
      <c r="D21" s="378">
        <f>IF(LN_IA6=0,0,LN_IA2/LN_IA6)</f>
        <v>11248.836686619967</v>
      </c>
      <c r="E21" s="378">
        <f t="shared" si="0"/>
        <v>-500.77664719143104</v>
      </c>
      <c r="F21" s="362">
        <f t="shared" si="1"/>
        <v>-4.2620691674198831E-2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19382</v>
      </c>
      <c r="D22" s="369">
        <v>19700</v>
      </c>
      <c r="E22" s="369">
        <f t="shared" si="0"/>
        <v>318</v>
      </c>
      <c r="F22" s="362">
        <f t="shared" si="1"/>
        <v>1.6406975544319472E-2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3579.3111649984521</v>
      </c>
      <c r="D23" s="378">
        <f>IF(LN_IA8=0,0,LN_IA2/LN_IA8)</f>
        <v>3328.1767512690353</v>
      </c>
      <c r="E23" s="378">
        <f t="shared" si="0"/>
        <v>-251.13441372941679</v>
      </c>
      <c r="F23" s="362">
        <f t="shared" si="1"/>
        <v>-7.0162777739254029E-2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5.085804250852795</v>
      </c>
      <c r="D24" s="379">
        <f>IF(LN_IA4=0,0,LN_IA8/LN_IA4)</f>
        <v>5.3243243243243246</v>
      </c>
      <c r="E24" s="379">
        <f t="shared" si="0"/>
        <v>0.23852007347152959</v>
      </c>
      <c r="F24" s="362">
        <f t="shared" si="1"/>
        <v>4.6899184810649017E-2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90907100</v>
      </c>
      <c r="D27" s="361">
        <v>104321387</v>
      </c>
      <c r="E27" s="361">
        <f t="shared" ref="E27:E32" si="2">D27-C27</f>
        <v>13414287</v>
      </c>
      <c r="F27" s="362">
        <f t="shared" ref="F27:F32" si="3">IF(C27=0,0,E27/C27)</f>
        <v>0.14756038857250975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31957894</v>
      </c>
      <c r="D28" s="361">
        <v>35427199</v>
      </c>
      <c r="E28" s="361">
        <f t="shared" si="2"/>
        <v>3469305</v>
      </c>
      <c r="F28" s="362">
        <f t="shared" si="3"/>
        <v>0.10855862404450055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0.35154453282526887</v>
      </c>
      <c r="D29" s="366">
        <f>IF(LN_IA11=0,0,LN_IA12/LN_IA11)</f>
        <v>0.33959670225626887</v>
      </c>
      <c r="E29" s="367">
        <f t="shared" si="2"/>
        <v>-1.1947830569000006E-2</v>
      </c>
      <c r="F29" s="362">
        <f t="shared" si="3"/>
        <v>-3.3986677229705449E-2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0.78771610308580531</v>
      </c>
      <c r="D30" s="366">
        <f>IF(LN_IA1=0,0,LN_IA11/LN_IA1)</f>
        <v>0.86510036324444417</v>
      </c>
      <c r="E30" s="367">
        <f t="shared" si="2"/>
        <v>7.7384260158638862E-2</v>
      </c>
      <c r="F30" s="362">
        <f t="shared" si="3"/>
        <v>9.8238768834981477E-2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3001.9860688600043</v>
      </c>
      <c r="D31" s="376">
        <f>LN_IA14*LN_IA4</f>
        <v>3200.8713440044435</v>
      </c>
      <c r="E31" s="376">
        <f t="shared" si="2"/>
        <v>198.88527514443922</v>
      </c>
      <c r="F31" s="362">
        <f t="shared" si="3"/>
        <v>6.6251231878622724E-2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10645.58371256397</v>
      </c>
      <c r="D32" s="378">
        <f>IF(LN_IA15=0,0,LN_IA12/LN_IA15)</f>
        <v>11067.985930255752</v>
      </c>
      <c r="E32" s="378">
        <f t="shared" si="2"/>
        <v>422.40221769178243</v>
      </c>
      <c r="F32" s="362">
        <f t="shared" si="3"/>
        <v>3.9678633797530637E-2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206313018</v>
      </c>
      <c r="D35" s="361">
        <f>LN_IA1+LN_IA11</f>
        <v>224910155</v>
      </c>
      <c r="E35" s="361">
        <f>D35-C35</f>
        <v>18597137</v>
      </c>
      <c r="F35" s="362">
        <f>IF(C35=0,0,E35/C35)</f>
        <v>9.01403953094225E-2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101332103</v>
      </c>
      <c r="D36" s="361">
        <f>LN_IA2+LN_IA12</f>
        <v>100992281</v>
      </c>
      <c r="E36" s="361">
        <f>D36-C36</f>
        <v>-339822</v>
      </c>
      <c r="F36" s="362">
        <f>IF(C36=0,0,E36/C36)</f>
        <v>-3.3535472958653588E-3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104980915</v>
      </c>
      <c r="D37" s="361">
        <f>LN_IA17-LN_IA18</f>
        <v>123917874</v>
      </c>
      <c r="E37" s="361">
        <f>D37-C37</f>
        <v>18936959</v>
      </c>
      <c r="F37" s="362">
        <f>IF(C37=0,0,E37/C37)</f>
        <v>0.18038477755694929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79750329</v>
      </c>
      <c r="D42" s="361">
        <v>58039630</v>
      </c>
      <c r="E42" s="361">
        <f t="shared" ref="E42:E53" si="4">D42-C42</f>
        <v>-21710699</v>
      </c>
      <c r="F42" s="362">
        <f t="shared" ref="F42:F53" si="5">IF(C42=0,0,E42/C42)</f>
        <v>-0.27223334715020425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48509473</v>
      </c>
      <c r="D43" s="361">
        <v>38343737</v>
      </c>
      <c r="E43" s="361">
        <f t="shared" si="4"/>
        <v>-10165736</v>
      </c>
      <c r="F43" s="362">
        <f t="shared" si="5"/>
        <v>-0.20956187258517528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0.60826674457982488</v>
      </c>
      <c r="D44" s="366">
        <f>IF(LN_IB1=0,0,LN_IB2/LN_IB1)</f>
        <v>0.66064750929666505</v>
      </c>
      <c r="E44" s="367">
        <f t="shared" si="4"/>
        <v>5.2380764716840167E-2</v>
      </c>
      <c r="F44" s="362">
        <f t="shared" si="5"/>
        <v>8.6114792866119061E-2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3328</v>
      </c>
      <c r="D45" s="369">
        <v>2580</v>
      </c>
      <c r="E45" s="369">
        <f t="shared" si="4"/>
        <v>-748</v>
      </c>
      <c r="F45" s="362">
        <f t="shared" si="5"/>
        <v>-0.22475961538461539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1.4120999999999999</v>
      </c>
      <c r="D46" s="372">
        <v>1.3021</v>
      </c>
      <c r="E46" s="373">
        <f t="shared" si="4"/>
        <v>-0.10999999999999988</v>
      </c>
      <c r="F46" s="362">
        <f t="shared" si="5"/>
        <v>-7.7898165852276671E-2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4699.4687999999996</v>
      </c>
      <c r="D47" s="376">
        <f>LN_IB4*LN_IB5</f>
        <v>3359.4180000000001</v>
      </c>
      <c r="E47" s="376">
        <f t="shared" si="4"/>
        <v>-1340.0507999999995</v>
      </c>
      <c r="F47" s="362">
        <f t="shared" si="5"/>
        <v>-0.28514941944076733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10322.331111124731</v>
      </c>
      <c r="D48" s="378">
        <f>IF(LN_IB6=0,0,LN_IB2/LN_IB6)</f>
        <v>11413.80352191957</v>
      </c>
      <c r="E48" s="378">
        <f t="shared" si="4"/>
        <v>1091.4724107948387</v>
      </c>
      <c r="F48" s="362">
        <f t="shared" si="5"/>
        <v>0.10573894588776767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1427.2822226866665</v>
      </c>
      <c r="D49" s="378">
        <f>LN_IA7-LN_IB7</f>
        <v>-164.96683529960319</v>
      </c>
      <c r="E49" s="378">
        <f t="shared" si="4"/>
        <v>-1592.2490579862697</v>
      </c>
      <c r="F49" s="362">
        <f t="shared" si="5"/>
        <v>-1.1155810901848657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6707468.274310641</v>
      </c>
      <c r="D50" s="391">
        <f>LN_IB8*LN_IB6</f>
        <v>-554192.55590852234</v>
      </c>
      <c r="E50" s="391">
        <f t="shared" si="4"/>
        <v>-7261660.8302191636</v>
      </c>
      <c r="F50" s="362">
        <f t="shared" si="5"/>
        <v>-1.0826232094203203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17563</v>
      </c>
      <c r="D51" s="369">
        <v>9764</v>
      </c>
      <c r="E51" s="369">
        <f t="shared" si="4"/>
        <v>-7799</v>
      </c>
      <c r="F51" s="362">
        <f t="shared" si="5"/>
        <v>-0.4440585321414337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2762.0265899903206</v>
      </c>
      <c r="D52" s="378">
        <f>IF(LN_IB10=0,0,LN_IB2/LN_IB10)</f>
        <v>3927.0521302744778</v>
      </c>
      <c r="E52" s="378">
        <f t="shared" si="4"/>
        <v>1165.0255402841572</v>
      </c>
      <c r="F52" s="362">
        <f t="shared" si="5"/>
        <v>0.42180098645909125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5.27734375</v>
      </c>
      <c r="D53" s="379">
        <f>IF(LN_IB4=0,0,LN_IB10/LN_IB4)</f>
        <v>3.7844961240310075</v>
      </c>
      <c r="E53" s="379">
        <f t="shared" si="4"/>
        <v>-1.4928476259689925</v>
      </c>
      <c r="F53" s="362">
        <f t="shared" si="5"/>
        <v>-0.28287860270026799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137682140</v>
      </c>
      <c r="D56" s="361">
        <v>147354435</v>
      </c>
      <c r="E56" s="361">
        <f t="shared" ref="E56:E63" si="6">D56-C56</f>
        <v>9672295</v>
      </c>
      <c r="F56" s="362">
        <f t="shared" ref="F56:F63" si="7">IF(C56=0,0,E56/C56)</f>
        <v>7.02509054551302E-2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70434181</v>
      </c>
      <c r="D57" s="361">
        <v>87493870</v>
      </c>
      <c r="E57" s="361">
        <f t="shared" si="6"/>
        <v>17059689</v>
      </c>
      <c r="F57" s="362">
        <f t="shared" si="7"/>
        <v>0.24220752989234021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0.51157093432742984</v>
      </c>
      <c r="D58" s="366">
        <f>IF(LN_IB13=0,0,LN_IB14/LN_IB13)</f>
        <v>0.59376475502756332</v>
      </c>
      <c r="E58" s="367">
        <f t="shared" si="6"/>
        <v>8.219382070013348E-2</v>
      </c>
      <c r="F58" s="362">
        <f t="shared" si="7"/>
        <v>0.16066945008944841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1.7264146960447022</v>
      </c>
      <c r="D59" s="366">
        <f>IF(LN_IB1=0,0,LN_IB13/LN_IB1)</f>
        <v>2.5388589658479903</v>
      </c>
      <c r="E59" s="367">
        <f t="shared" si="6"/>
        <v>0.8124442698032881</v>
      </c>
      <c r="F59" s="362">
        <f t="shared" si="7"/>
        <v>0.47059624299111702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5745.5081084367694</v>
      </c>
      <c r="D60" s="376">
        <f>LN_IB16*LN_IB4</f>
        <v>6550.2561318878152</v>
      </c>
      <c r="E60" s="376">
        <f t="shared" si="6"/>
        <v>804.74802345104581</v>
      </c>
      <c r="F60" s="362">
        <f t="shared" si="7"/>
        <v>0.14006559703037311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12258.999495027019</v>
      </c>
      <c r="D61" s="378">
        <f>IF(LN_IB17=0,0,LN_IB14/LN_IB17)</f>
        <v>13357.320422031169</v>
      </c>
      <c r="E61" s="378">
        <f t="shared" si="6"/>
        <v>1098.3209270041498</v>
      </c>
      <c r="F61" s="362">
        <f t="shared" si="7"/>
        <v>8.9593031425582018E-2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-1613.4157824630493</v>
      </c>
      <c r="D62" s="378">
        <f>LN_IA16-LN_IB18</f>
        <v>-2289.3344917754166</v>
      </c>
      <c r="E62" s="378">
        <f t="shared" si="6"/>
        <v>-675.91870931236735</v>
      </c>
      <c r="F62" s="362">
        <f t="shared" si="7"/>
        <v>0.41893646799494311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-9269893.4604213051</v>
      </c>
      <c r="D63" s="361">
        <f>LN_IB19*LN_IB17</f>
        <v>-14995727.292694198</v>
      </c>
      <c r="E63" s="361">
        <f t="shared" si="6"/>
        <v>-5725833.8322728928</v>
      </c>
      <c r="F63" s="362">
        <f t="shared" si="7"/>
        <v>0.61768065153282359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217432469</v>
      </c>
      <c r="D66" s="361">
        <f>LN_IB1+LN_IB13</f>
        <v>205394065</v>
      </c>
      <c r="E66" s="361">
        <f>D66-C66</f>
        <v>-12038404</v>
      </c>
      <c r="F66" s="362">
        <f>IF(C66=0,0,E66/C66)</f>
        <v>-5.5366174405166689E-2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118943654</v>
      </c>
      <c r="D67" s="361">
        <f>LN_IB2+LN_IB14</f>
        <v>125837607</v>
      </c>
      <c r="E67" s="361">
        <f>D67-C67</f>
        <v>6893953</v>
      </c>
      <c r="F67" s="362">
        <f>IF(C67=0,0,E67/C67)</f>
        <v>5.7959821883393631E-2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98488815</v>
      </c>
      <c r="D68" s="361">
        <f>LN_IB21-LN_IB22</f>
        <v>79556458</v>
      </c>
      <c r="E68" s="361">
        <f>D68-C68</f>
        <v>-18932357</v>
      </c>
      <c r="F68" s="362">
        <f>IF(C68=0,0,E68/C68)</f>
        <v>-0.19222849823099203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-2562425.1861106642</v>
      </c>
      <c r="D70" s="353">
        <f>LN_IB9+LN_IB20</f>
        <v>-15549919.84860272</v>
      </c>
      <c r="E70" s="361">
        <f>D70-C70</f>
        <v>-12987494.662492055</v>
      </c>
      <c r="F70" s="362">
        <f>IF(C70=0,0,E70/C70)</f>
        <v>5.0684385764272459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213799162</v>
      </c>
      <c r="D73" s="400">
        <v>201989626</v>
      </c>
      <c r="E73" s="400">
        <f>D73-C73</f>
        <v>-11809536</v>
      </c>
      <c r="F73" s="401">
        <f>IF(C73=0,0,E73/C73)</f>
        <v>-5.523658694228184E-2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120391584</v>
      </c>
      <c r="D74" s="400">
        <v>125234436</v>
      </c>
      <c r="E74" s="400">
        <f>D74-C74</f>
        <v>4842852</v>
      </c>
      <c r="F74" s="401">
        <f>IF(C74=0,0,E74/C74)</f>
        <v>4.0225835055048363E-2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93407578</v>
      </c>
      <c r="D76" s="353">
        <f>LN_IB32-LN_IB33</f>
        <v>76755190</v>
      </c>
      <c r="E76" s="400">
        <f>D76-C76</f>
        <v>-16652388</v>
      </c>
      <c r="F76" s="401">
        <f>IF(C76=0,0,E76/C76)</f>
        <v>-0.17827662762008453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0.43689403235359736</v>
      </c>
      <c r="D77" s="366">
        <f>IF(LN_IB1=0,0,LN_IB34/LN_IB32)</f>
        <v>0.37999570334369548</v>
      </c>
      <c r="E77" s="405">
        <f>D77-C77</f>
        <v>-5.6898329009901882E-2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1175924</v>
      </c>
      <c r="D83" s="361">
        <v>656211</v>
      </c>
      <c r="E83" s="361">
        <f t="shared" ref="E83:E95" si="8">D83-C83</f>
        <v>-519713</v>
      </c>
      <c r="F83" s="362">
        <f t="shared" ref="F83:F95" si="9">IF(C83=0,0,E83/C83)</f>
        <v>-0.44196138525959161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230603</v>
      </c>
      <c r="D84" s="361">
        <v>35827</v>
      </c>
      <c r="E84" s="361">
        <f t="shared" si="8"/>
        <v>-194776</v>
      </c>
      <c r="F84" s="362">
        <f t="shared" si="9"/>
        <v>-0.84463775406217612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0.19610365976032465</v>
      </c>
      <c r="D85" s="366">
        <f>IF(LN_IC1=0,0,LN_IC2/LN_IC1)</f>
        <v>5.4596768417475475E-2</v>
      </c>
      <c r="E85" s="367">
        <f t="shared" si="8"/>
        <v>-0.14150689134284916</v>
      </c>
      <c r="F85" s="362">
        <f t="shared" si="9"/>
        <v>-0.72159230233539262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50</v>
      </c>
      <c r="D86" s="369">
        <v>39</v>
      </c>
      <c r="E86" s="369">
        <f t="shared" si="8"/>
        <v>-11</v>
      </c>
      <c r="F86" s="362">
        <f t="shared" si="9"/>
        <v>-0.22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1.3480000000000001</v>
      </c>
      <c r="D87" s="372">
        <v>0.99029999999999996</v>
      </c>
      <c r="E87" s="373">
        <f t="shared" si="8"/>
        <v>-0.35770000000000013</v>
      </c>
      <c r="F87" s="362">
        <f t="shared" si="9"/>
        <v>-0.26535608308605352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67.400000000000006</v>
      </c>
      <c r="D88" s="376">
        <f>LN_IC4*LN_IC5</f>
        <v>38.621699999999997</v>
      </c>
      <c r="E88" s="376">
        <f t="shared" si="8"/>
        <v>-28.778300000000009</v>
      </c>
      <c r="F88" s="362">
        <f t="shared" si="9"/>
        <v>-0.42697774480712175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3421.4094955489613</v>
      </c>
      <c r="D89" s="378">
        <f>IF(LN_IC6=0,0,LN_IC2/LN_IC6)</f>
        <v>927.63912515502955</v>
      </c>
      <c r="E89" s="378">
        <f t="shared" si="8"/>
        <v>-2493.7703703939319</v>
      </c>
      <c r="F89" s="362">
        <f t="shared" si="9"/>
        <v>-0.72887223047640759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6900.9216155757695</v>
      </c>
      <c r="D90" s="378">
        <f>LN_IB7-LN_IC7</f>
        <v>10486.16439676454</v>
      </c>
      <c r="E90" s="378">
        <f t="shared" si="8"/>
        <v>3585.2427811887701</v>
      </c>
      <c r="F90" s="362">
        <f t="shared" si="9"/>
        <v>0.51953101062569307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8328.203838262436</v>
      </c>
      <c r="D91" s="378">
        <f>LN_IA7-LN_IC7</f>
        <v>10321.197561464936</v>
      </c>
      <c r="E91" s="378">
        <f t="shared" si="8"/>
        <v>1992.9937232025004</v>
      </c>
      <c r="F91" s="362">
        <f t="shared" si="9"/>
        <v>0.23930654939616738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561320.93869888817</v>
      </c>
      <c r="D92" s="353">
        <f>LN_IC9*LN_IC6</f>
        <v>398622.1958596303</v>
      </c>
      <c r="E92" s="353">
        <f t="shared" si="8"/>
        <v>-162698.74283925787</v>
      </c>
      <c r="F92" s="362">
        <f t="shared" si="9"/>
        <v>-0.28984976618970393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234</v>
      </c>
      <c r="D93" s="369">
        <v>145</v>
      </c>
      <c r="E93" s="369">
        <f t="shared" si="8"/>
        <v>-89</v>
      </c>
      <c r="F93" s="362">
        <f t="shared" si="9"/>
        <v>-0.38034188034188032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985.482905982906</v>
      </c>
      <c r="D94" s="411">
        <f>IF(LN_IC11=0,0,LN_IC2/LN_IC11)</f>
        <v>247.08275862068965</v>
      </c>
      <c r="E94" s="411">
        <f t="shared" si="8"/>
        <v>-738.40014736221633</v>
      </c>
      <c r="F94" s="362">
        <f t="shared" si="9"/>
        <v>-0.74927747896930486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4.68</v>
      </c>
      <c r="D95" s="379">
        <f>IF(LN_IC4=0,0,LN_IC11/LN_IC4)</f>
        <v>3.7179487179487181</v>
      </c>
      <c r="E95" s="379">
        <f t="shared" si="8"/>
        <v>-0.96205128205128165</v>
      </c>
      <c r="F95" s="362">
        <f t="shared" si="9"/>
        <v>-0.20556651325882089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2457383</v>
      </c>
      <c r="D98" s="361">
        <v>2748229</v>
      </c>
      <c r="E98" s="361">
        <f t="shared" ref="E98:E106" si="10">D98-C98</f>
        <v>290846</v>
      </c>
      <c r="F98" s="362">
        <f t="shared" ref="F98:F106" si="11">IF(C98=0,0,E98/C98)</f>
        <v>0.11835599090577252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342475</v>
      </c>
      <c r="D99" s="361">
        <v>567343</v>
      </c>
      <c r="E99" s="361">
        <f t="shared" si="10"/>
        <v>224868</v>
      </c>
      <c r="F99" s="362">
        <f t="shared" si="11"/>
        <v>0.65659683188553908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0.13936573989483936</v>
      </c>
      <c r="D100" s="366">
        <f>IF(LN_IC14=0,0,LN_IC15/LN_IC14)</f>
        <v>0.20643949248770754</v>
      </c>
      <c r="E100" s="367">
        <f t="shared" si="10"/>
        <v>6.7073752592868185E-2</v>
      </c>
      <c r="F100" s="362">
        <f t="shared" si="11"/>
        <v>0.48127863163127288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2.0897464461989039</v>
      </c>
      <c r="D101" s="366">
        <f>IF(LN_IC1=0,0,LN_IC14/LN_IC1)</f>
        <v>4.188026412236308</v>
      </c>
      <c r="E101" s="367">
        <f t="shared" si="10"/>
        <v>2.0982799660374041</v>
      </c>
      <c r="F101" s="362">
        <f t="shared" si="11"/>
        <v>1.0040835192489606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104.4873223099452</v>
      </c>
      <c r="D102" s="376">
        <f>LN_IC17*LN_IC4</f>
        <v>163.33303007721602</v>
      </c>
      <c r="E102" s="376">
        <f t="shared" si="10"/>
        <v>58.845707767270824</v>
      </c>
      <c r="F102" s="362">
        <f t="shared" si="11"/>
        <v>0.56318514501418926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3277.6703664019815</v>
      </c>
      <c r="D103" s="378">
        <f>IF(LN_IC18=0,0,LN_IC15/LN_IC18)</f>
        <v>3473.5350206372063</v>
      </c>
      <c r="E103" s="378">
        <f t="shared" si="10"/>
        <v>195.86465423522486</v>
      </c>
      <c r="F103" s="362">
        <f t="shared" si="11"/>
        <v>5.9757276461645116E-2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8981.3291286250387</v>
      </c>
      <c r="D104" s="378">
        <f>LN_IB18-LN_IC19</f>
        <v>9883.7854013939632</v>
      </c>
      <c r="E104" s="378">
        <f t="shared" si="10"/>
        <v>902.45627276892446</v>
      </c>
      <c r="F104" s="362">
        <f t="shared" si="11"/>
        <v>0.10048137194890691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7367.9133461619886</v>
      </c>
      <c r="D105" s="378">
        <f>LN_IA16-LN_IC19</f>
        <v>7594.4509096185466</v>
      </c>
      <c r="E105" s="378">
        <f t="shared" si="10"/>
        <v>226.53756345655802</v>
      </c>
      <c r="F105" s="362">
        <f t="shared" si="11"/>
        <v>3.0746502138840091E-2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769853.53655217448</v>
      </c>
      <c r="D106" s="361">
        <f>LN_IC21*LN_IC18</f>
        <v>1240424.6788406665</v>
      </c>
      <c r="E106" s="361">
        <f t="shared" si="10"/>
        <v>470571.14228849206</v>
      </c>
      <c r="F106" s="362">
        <f t="shared" si="11"/>
        <v>0.61124762041877112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3633307</v>
      </c>
      <c r="D109" s="361">
        <f>LN_IC1+LN_IC14</f>
        <v>3404440</v>
      </c>
      <c r="E109" s="361">
        <f>D109-C109</f>
        <v>-228867</v>
      </c>
      <c r="F109" s="362">
        <f>IF(C109=0,0,E109/C109)</f>
        <v>-6.2991373974178339E-2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573078</v>
      </c>
      <c r="D110" s="361">
        <f>LN_IC2+LN_IC15</f>
        <v>603170</v>
      </c>
      <c r="E110" s="361">
        <f>D110-C110</f>
        <v>30092</v>
      </c>
      <c r="F110" s="362">
        <f>IF(C110=0,0,E110/C110)</f>
        <v>5.2509431525900485E-2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3060229</v>
      </c>
      <c r="D111" s="361">
        <f>LN_IC23-LN_IC24</f>
        <v>2801270</v>
      </c>
      <c r="E111" s="361">
        <f>D111-C111</f>
        <v>-258959</v>
      </c>
      <c r="F111" s="362">
        <f>IF(C111=0,0,E111/C111)</f>
        <v>-8.4620791450574454E-2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1331174.4752510628</v>
      </c>
      <c r="D113" s="361">
        <f>LN_IC10+LN_IC22</f>
        <v>1639046.8747002969</v>
      </c>
      <c r="E113" s="361">
        <f>D113-C113</f>
        <v>307872.39944923413</v>
      </c>
      <c r="F113" s="362">
        <f>IF(C113=0,0,E113/C113)</f>
        <v>0.23127877312338688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61477752</v>
      </c>
      <c r="D118" s="361">
        <v>53261498</v>
      </c>
      <c r="E118" s="361">
        <f t="shared" ref="E118:E130" si="12">D118-C118</f>
        <v>-8216254</v>
      </c>
      <c r="F118" s="362">
        <f t="shared" ref="F118:F130" si="13">IF(C118=0,0,E118/C118)</f>
        <v>-0.13364597326200217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19975514</v>
      </c>
      <c r="D119" s="361">
        <v>18101510</v>
      </c>
      <c r="E119" s="361">
        <f t="shared" si="12"/>
        <v>-1874004</v>
      </c>
      <c r="F119" s="362">
        <f t="shared" si="13"/>
        <v>-9.3815057775234217E-2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0.32492264844036589</v>
      </c>
      <c r="D120" s="366">
        <f>IF(LN_ID1=0,0,LN_1D2/LN_ID1)</f>
        <v>0.33986107563103091</v>
      </c>
      <c r="E120" s="367">
        <f t="shared" si="12"/>
        <v>1.4938427190665016E-2</v>
      </c>
      <c r="F120" s="362">
        <f t="shared" si="13"/>
        <v>4.5975333705944213E-2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1872</v>
      </c>
      <c r="D121" s="369">
        <v>2050</v>
      </c>
      <c r="E121" s="369">
        <f t="shared" si="12"/>
        <v>178</v>
      </c>
      <c r="F121" s="362">
        <f t="shared" si="13"/>
        <v>9.5085470085470081E-2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1.3310999999999999</v>
      </c>
      <c r="D122" s="372">
        <v>1.2915000000000001</v>
      </c>
      <c r="E122" s="373">
        <f t="shared" si="12"/>
        <v>-3.9599999999999858E-2</v>
      </c>
      <c r="F122" s="362">
        <f t="shared" si="13"/>
        <v>-2.9749830966869402E-2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2491.8191999999999</v>
      </c>
      <c r="D123" s="376">
        <f>LN_ID4*LN_ID5</f>
        <v>2647.5750000000003</v>
      </c>
      <c r="E123" s="376">
        <f t="shared" si="12"/>
        <v>155.75580000000036</v>
      </c>
      <c r="F123" s="362">
        <f t="shared" si="13"/>
        <v>6.2506862456152668E-2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8016.4379502333077</v>
      </c>
      <c r="D124" s="378">
        <f>IF(LN_ID6=0,0,LN_1D2/LN_ID6)</f>
        <v>6837.0150042963842</v>
      </c>
      <c r="E124" s="378">
        <f t="shared" si="12"/>
        <v>-1179.4229459369235</v>
      </c>
      <c r="F124" s="362">
        <f t="shared" si="13"/>
        <v>-0.1471255629069764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2305.8931608914236</v>
      </c>
      <c r="D125" s="378">
        <f>LN_IB7-LN_ID7</f>
        <v>4576.7885176231857</v>
      </c>
      <c r="E125" s="378">
        <f t="shared" si="12"/>
        <v>2270.8953567317621</v>
      </c>
      <c r="F125" s="362">
        <f t="shared" si="13"/>
        <v>0.98482245198813467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3733.1753835780901</v>
      </c>
      <c r="D126" s="378">
        <f>LN_IA7-LN_ID7</f>
        <v>4411.8216823235825</v>
      </c>
      <c r="E126" s="378">
        <f t="shared" si="12"/>
        <v>678.64629874549246</v>
      </c>
      <c r="F126" s="362">
        <f t="shared" si="13"/>
        <v>0.18178794967169176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9302398.0977672487</v>
      </c>
      <c r="D127" s="391">
        <f>LN_ID9*LN_ID6</f>
        <v>11680628.790577861</v>
      </c>
      <c r="E127" s="391">
        <f t="shared" si="12"/>
        <v>2378230.6928106118</v>
      </c>
      <c r="F127" s="362">
        <f t="shared" si="13"/>
        <v>0.25565780649415898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14060</v>
      </c>
      <c r="D128" s="369">
        <v>10697</v>
      </c>
      <c r="E128" s="369">
        <f t="shared" si="12"/>
        <v>-3363</v>
      </c>
      <c r="F128" s="362">
        <f t="shared" si="13"/>
        <v>-0.23918918918918919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1420.7335704125178</v>
      </c>
      <c r="D129" s="378">
        <f>IF(LN_ID11=0,0,LN_1D2/LN_ID11)</f>
        <v>1692.2043563615966</v>
      </c>
      <c r="E129" s="378">
        <f t="shared" si="12"/>
        <v>271.47078594907885</v>
      </c>
      <c r="F129" s="362">
        <f t="shared" si="13"/>
        <v>0.19107789919418586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7.5106837606837606</v>
      </c>
      <c r="D130" s="379">
        <f>IF(LN_ID4=0,0,LN_ID11/LN_ID4)</f>
        <v>5.2180487804878046</v>
      </c>
      <c r="E130" s="379">
        <f t="shared" si="12"/>
        <v>-2.292634980195956</v>
      </c>
      <c r="F130" s="362">
        <f t="shared" si="13"/>
        <v>-0.30524983520105475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44013114</v>
      </c>
      <c r="D133" s="361">
        <v>48802273</v>
      </c>
      <c r="E133" s="361">
        <f t="shared" ref="E133:E141" si="14">D133-C133</f>
        <v>4789159</v>
      </c>
      <c r="F133" s="362">
        <f t="shared" ref="F133:F141" si="15">IF(C133=0,0,E133/C133)</f>
        <v>0.10881209177791873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18881757</v>
      </c>
      <c r="D134" s="361">
        <v>19349673</v>
      </c>
      <c r="E134" s="361">
        <f t="shared" si="14"/>
        <v>467916</v>
      </c>
      <c r="F134" s="362">
        <f t="shared" si="15"/>
        <v>2.4781380249729937E-2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0.42900297852135616</v>
      </c>
      <c r="D135" s="366">
        <f>IF(LN_ID14=0,0,LN_ID15/LN_ID14)</f>
        <v>0.39649122490667599</v>
      </c>
      <c r="E135" s="367">
        <f t="shared" si="14"/>
        <v>-3.2511753614680172E-2</v>
      </c>
      <c r="F135" s="362">
        <f t="shared" si="15"/>
        <v>-7.578444729390546E-2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0.71591937844441678</v>
      </c>
      <c r="D136" s="366">
        <f>IF(LN_ID1=0,0,LN_ID14/LN_ID1)</f>
        <v>0.9162767633760508</v>
      </c>
      <c r="E136" s="367">
        <f t="shared" si="14"/>
        <v>0.20035738493163402</v>
      </c>
      <c r="F136" s="362">
        <f t="shared" si="15"/>
        <v>0.27986026215267418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1340.2010764479483</v>
      </c>
      <c r="D137" s="376">
        <f>LN_ID17*LN_ID4</f>
        <v>1878.367364920904</v>
      </c>
      <c r="E137" s="376">
        <f t="shared" si="14"/>
        <v>538.16628847295578</v>
      </c>
      <c r="F137" s="362">
        <f t="shared" si="15"/>
        <v>0.40155637682317402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14088.749316665202</v>
      </c>
      <c r="D138" s="378">
        <f>IF(LN_ID18=0,0,LN_ID15/LN_ID18)</f>
        <v>10301.325162138766</v>
      </c>
      <c r="E138" s="378">
        <f t="shared" si="14"/>
        <v>-3787.4241545264358</v>
      </c>
      <c r="F138" s="362">
        <f t="shared" si="15"/>
        <v>-0.26882614413803174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-1829.7498216381828</v>
      </c>
      <c r="D139" s="378">
        <f>LN_IB18-LN_ID19</f>
        <v>3055.9952598924028</v>
      </c>
      <c r="E139" s="378">
        <f t="shared" si="14"/>
        <v>4885.7450815305856</v>
      </c>
      <c r="F139" s="362">
        <f t="shared" si="15"/>
        <v>-2.6701710932024341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-3443.165604101232</v>
      </c>
      <c r="D140" s="378">
        <f>LN_IA16-LN_ID19</f>
        <v>766.66076811698622</v>
      </c>
      <c r="E140" s="378">
        <f t="shared" si="14"/>
        <v>4209.8263722182182</v>
      </c>
      <c r="F140" s="362">
        <f t="shared" si="15"/>
        <v>-1.2226616016388521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-4614534.2490050215</v>
      </c>
      <c r="D141" s="353">
        <f>LN_ID21*LN_ID18</f>
        <v>1440070.5667961396</v>
      </c>
      <c r="E141" s="353">
        <f t="shared" si="14"/>
        <v>6054604.8158011613</v>
      </c>
      <c r="F141" s="362">
        <f t="shared" si="15"/>
        <v>-1.3120727876505944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105490866</v>
      </c>
      <c r="D144" s="361">
        <f>LN_ID1+LN_ID14</f>
        <v>102063771</v>
      </c>
      <c r="E144" s="361">
        <f>D144-C144</f>
        <v>-3427095</v>
      </c>
      <c r="F144" s="362">
        <f>IF(C144=0,0,E144/C144)</f>
        <v>-3.2487125473024368E-2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38857271</v>
      </c>
      <c r="D145" s="361">
        <f>LN_1D2+LN_ID15</f>
        <v>37451183</v>
      </c>
      <c r="E145" s="361">
        <f>D145-C145</f>
        <v>-1406088</v>
      </c>
      <c r="F145" s="362">
        <f>IF(C145=0,0,E145/C145)</f>
        <v>-3.618596890141873E-2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66633595</v>
      </c>
      <c r="D146" s="361">
        <f>LN_ID23-LN_ID24</f>
        <v>64612588</v>
      </c>
      <c r="E146" s="361">
        <f>D146-C146</f>
        <v>-2021007</v>
      </c>
      <c r="F146" s="362">
        <f>IF(C146=0,0,E146/C146)</f>
        <v>-3.0330151029672046E-2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4687863.8487622272</v>
      </c>
      <c r="D148" s="361">
        <f>LN_ID10+LN_ID22</f>
        <v>13120699.357373999</v>
      </c>
      <c r="E148" s="361">
        <f>D148-C148</f>
        <v>8432835.5086117722</v>
      </c>
      <c r="F148" s="415">
        <f>IF(C148=0,0,E148/C148)</f>
        <v>1.7988652786574335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268209</v>
      </c>
      <c r="D153" s="361">
        <v>104221</v>
      </c>
      <c r="E153" s="361">
        <f t="shared" ref="E153:E165" si="16">D153-C153</f>
        <v>-163988</v>
      </c>
      <c r="F153" s="362">
        <f t="shared" ref="F153:F165" si="17">IF(C153=0,0,E153/C153)</f>
        <v>-0.61141870705308177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46811</v>
      </c>
      <c r="D154" s="361">
        <v>32444</v>
      </c>
      <c r="E154" s="361">
        <f t="shared" si="16"/>
        <v>-14367</v>
      </c>
      <c r="F154" s="362">
        <f t="shared" si="17"/>
        <v>-0.30691504133643804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0.17453180169196411</v>
      </c>
      <c r="D155" s="366">
        <f>IF(LN_IE1=0,0,LN_IE2/LN_IE1)</f>
        <v>0.3113000259064872</v>
      </c>
      <c r="E155" s="367">
        <f t="shared" si="16"/>
        <v>0.13676822421452309</v>
      </c>
      <c r="F155" s="362">
        <f t="shared" si="17"/>
        <v>0.78362924629580699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9</v>
      </c>
      <c r="D156" s="419">
        <v>3</v>
      </c>
      <c r="E156" s="419">
        <f t="shared" si="16"/>
        <v>-6</v>
      </c>
      <c r="F156" s="362">
        <f t="shared" si="17"/>
        <v>-0.66666666666666663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2.2553999999999998</v>
      </c>
      <c r="D157" s="372">
        <v>1.8149</v>
      </c>
      <c r="E157" s="373">
        <f t="shared" si="16"/>
        <v>-0.44049999999999989</v>
      </c>
      <c r="F157" s="362">
        <f t="shared" si="17"/>
        <v>-0.19530903609115896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20.2986</v>
      </c>
      <c r="D158" s="376">
        <f>LN_IE4*LN_IE5</f>
        <v>5.4447000000000001</v>
      </c>
      <c r="E158" s="376">
        <f t="shared" si="16"/>
        <v>-14.853899999999999</v>
      </c>
      <c r="F158" s="362">
        <f t="shared" si="17"/>
        <v>-0.73176967869705301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2306.1196338663749</v>
      </c>
      <c r="D159" s="378">
        <f>IF(LN_IE6=0,0,LN_IE2/LN_IE6)</f>
        <v>5958.8223409921575</v>
      </c>
      <c r="E159" s="378">
        <f t="shared" si="16"/>
        <v>3652.7027071257826</v>
      </c>
      <c r="F159" s="362">
        <f t="shared" si="17"/>
        <v>1.5839172666865355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8016.2114772583564</v>
      </c>
      <c r="D160" s="378">
        <f>LN_IB7-LN_IE7</f>
        <v>5454.9811809274124</v>
      </c>
      <c r="E160" s="378">
        <f t="shared" si="16"/>
        <v>-2561.2302963309439</v>
      </c>
      <c r="F160" s="362">
        <f t="shared" si="17"/>
        <v>-0.31950632834438597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9443.4936999450219</v>
      </c>
      <c r="D161" s="378">
        <f>LN_IA7-LN_IE7</f>
        <v>5290.0143456278092</v>
      </c>
      <c r="E161" s="378">
        <f t="shared" si="16"/>
        <v>-4153.4793543172127</v>
      </c>
      <c r="F161" s="362">
        <f t="shared" si="17"/>
        <v>-0.43982444276331689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191689.70121770402</v>
      </c>
      <c r="D162" s="391">
        <f>LN_IE9*LN_IE6</f>
        <v>28802.541107639732</v>
      </c>
      <c r="E162" s="391">
        <f t="shared" si="16"/>
        <v>-162887.16011006429</v>
      </c>
      <c r="F162" s="362">
        <f t="shared" si="17"/>
        <v>-0.84974393029634709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80</v>
      </c>
      <c r="D163" s="369">
        <v>14</v>
      </c>
      <c r="E163" s="419">
        <f t="shared" si="16"/>
        <v>-66</v>
      </c>
      <c r="F163" s="362">
        <f t="shared" si="17"/>
        <v>-0.82499999999999996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585.13750000000005</v>
      </c>
      <c r="D164" s="378">
        <f>IF(LN_IE11=0,0,LN_IE2/LN_IE11)</f>
        <v>2317.4285714285716</v>
      </c>
      <c r="E164" s="378">
        <f t="shared" si="16"/>
        <v>1732.2910714285715</v>
      </c>
      <c r="F164" s="362">
        <f t="shared" si="17"/>
        <v>2.960485478077497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8.8888888888888893</v>
      </c>
      <c r="D165" s="379">
        <f>IF(LN_IE4=0,0,LN_IE11/LN_IE4)</f>
        <v>4.666666666666667</v>
      </c>
      <c r="E165" s="379">
        <f t="shared" si="16"/>
        <v>-4.2222222222222223</v>
      </c>
      <c r="F165" s="362">
        <f t="shared" si="17"/>
        <v>-0.47499999999999998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149029</v>
      </c>
      <c r="D168" s="424">
        <v>114654</v>
      </c>
      <c r="E168" s="424">
        <f t="shared" ref="E168:E176" si="18">D168-C168</f>
        <v>-34375</v>
      </c>
      <c r="F168" s="362">
        <f t="shared" ref="F168:F176" si="19">IF(C168=0,0,E168/C168)</f>
        <v>-0.23065980446758685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10854</v>
      </c>
      <c r="D169" s="424">
        <v>93074</v>
      </c>
      <c r="E169" s="424">
        <f t="shared" si="18"/>
        <v>82220</v>
      </c>
      <c r="F169" s="362">
        <f t="shared" si="19"/>
        <v>7.5750875253362819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7.2831462332834551E-2</v>
      </c>
      <c r="D170" s="366">
        <f>IF(LN_IE14=0,0,LN_IE15/LN_IE14)</f>
        <v>0.81178153400666353</v>
      </c>
      <c r="E170" s="367">
        <f t="shared" si="18"/>
        <v>0.73895007167382898</v>
      </c>
      <c r="F170" s="362">
        <f t="shared" si="19"/>
        <v>10.146028213698088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0.55564503801140153</v>
      </c>
      <c r="D171" s="366">
        <f>IF(LN_IE1=0,0,LN_IE14/LN_IE1)</f>
        <v>1.1001045854482303</v>
      </c>
      <c r="E171" s="367">
        <f t="shared" si="18"/>
        <v>0.54445954743682878</v>
      </c>
      <c r="F171" s="362">
        <f t="shared" si="19"/>
        <v>0.97986935937625841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5.0008053421026135</v>
      </c>
      <c r="D172" s="376">
        <f>LN_IE17*LN_IE4</f>
        <v>3.3003137563446909</v>
      </c>
      <c r="E172" s="376">
        <f t="shared" si="18"/>
        <v>-1.7004915857579226</v>
      </c>
      <c r="F172" s="362">
        <f t="shared" si="19"/>
        <v>-0.34004354687458049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2170.4504089808024</v>
      </c>
      <c r="D173" s="378">
        <f>IF(LN_IE18=0,0,LN_IE15/LN_IE18)</f>
        <v>28201.561085236157</v>
      </c>
      <c r="E173" s="378">
        <f t="shared" si="18"/>
        <v>26031.110676255354</v>
      </c>
      <c r="F173" s="362">
        <f t="shared" si="19"/>
        <v>11.993414163504898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10088.549086046216</v>
      </c>
      <c r="D174" s="378">
        <f>LN_IB18-LN_IE19</f>
        <v>-14844.240663204988</v>
      </c>
      <c r="E174" s="378">
        <f t="shared" si="18"/>
        <v>-24932.789749251206</v>
      </c>
      <c r="F174" s="362">
        <f t="shared" si="19"/>
        <v>-2.471394998091105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8475.1333035831667</v>
      </c>
      <c r="D175" s="378">
        <f>LN_IA16-LN_IE19</f>
        <v>-17133.575154980404</v>
      </c>
      <c r="E175" s="378">
        <f t="shared" si="18"/>
        <v>-25608.708458563571</v>
      </c>
      <c r="F175" s="362">
        <f t="shared" si="19"/>
        <v>-3.021628986972579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42382.491899590474</v>
      </c>
      <c r="D176" s="353">
        <f>LN_IE21*LN_IE18</f>
        <v>-56546.173779347446</v>
      </c>
      <c r="E176" s="353">
        <f t="shared" si="18"/>
        <v>-98928.665678937919</v>
      </c>
      <c r="F176" s="362">
        <f t="shared" si="19"/>
        <v>-2.334187095777958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417238</v>
      </c>
      <c r="D179" s="361">
        <f>LN_IE1+LN_IE14</f>
        <v>218875</v>
      </c>
      <c r="E179" s="361">
        <f>D179-C179</f>
        <v>-198363</v>
      </c>
      <c r="F179" s="362">
        <f>IF(C179=0,0,E179/C179)</f>
        <v>-0.47541930504891694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57665</v>
      </c>
      <c r="D180" s="361">
        <f>LN_IE15+LN_IE2</f>
        <v>125518</v>
      </c>
      <c r="E180" s="361">
        <f>D180-C180</f>
        <v>67853</v>
      </c>
      <c r="F180" s="362">
        <f>IF(C180=0,0,E180/C180)</f>
        <v>1.1766756264631926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359573</v>
      </c>
      <c r="D181" s="361">
        <f>LN_IE23-LN_IE24</f>
        <v>93357</v>
      </c>
      <c r="E181" s="361">
        <f>D181-C181</f>
        <v>-266216</v>
      </c>
      <c r="F181" s="362">
        <f>IF(C181=0,0,E181/C181)</f>
        <v>-0.74036704646900631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234072.19311729449</v>
      </c>
      <c r="D183" s="361">
        <f>LN_IE10+LN_IE22</f>
        <v>-27743.632671707714</v>
      </c>
      <c r="E183" s="353">
        <f>D183-C183</f>
        <v>-261815.82578900221</v>
      </c>
      <c r="F183" s="362">
        <f>IF(C183=0,0,E183/C183)</f>
        <v>-1.1185259654392408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61745961</v>
      </c>
      <c r="D188" s="361">
        <f>LN_ID1+LN_IE1</f>
        <v>53365719</v>
      </c>
      <c r="E188" s="361">
        <f t="shared" ref="E188:E200" si="20">D188-C188</f>
        <v>-8380242</v>
      </c>
      <c r="F188" s="362">
        <f t="shared" ref="F188:F200" si="21">IF(C188=0,0,E188/C188)</f>
        <v>-0.13572129843440287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20022325</v>
      </c>
      <c r="D189" s="361">
        <f>LN_1D2+LN_IE2</f>
        <v>18133954</v>
      </c>
      <c r="E189" s="361">
        <f t="shared" si="20"/>
        <v>-1888371</v>
      </c>
      <c r="F189" s="362">
        <f t="shared" si="21"/>
        <v>-9.4313272809226703E-2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0.32426938824387236</v>
      </c>
      <c r="D190" s="366">
        <f>IF(LN_IF1=0,0,LN_IF2/LN_IF1)</f>
        <v>0.33980529710468249</v>
      </c>
      <c r="E190" s="367">
        <f t="shared" si="20"/>
        <v>1.5535908860810133E-2</v>
      </c>
      <c r="F190" s="362">
        <f t="shared" si="21"/>
        <v>4.791050103417744E-2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1881</v>
      </c>
      <c r="D191" s="369">
        <f>LN_ID4+LN_IE4</f>
        <v>2053</v>
      </c>
      <c r="E191" s="369">
        <f t="shared" si="20"/>
        <v>172</v>
      </c>
      <c r="F191" s="362">
        <f t="shared" si="21"/>
        <v>9.1440723019670392E-2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1.3355224880382774</v>
      </c>
      <c r="D192" s="372">
        <f>IF((LN_ID4+LN_IE4)=0,0,(LN_ID6+LN_IE6)/(LN_ID4+LN_IE4))</f>
        <v>1.2922648319532393</v>
      </c>
      <c r="E192" s="373">
        <f t="shared" si="20"/>
        <v>-4.3257656085038176E-2</v>
      </c>
      <c r="F192" s="362">
        <f t="shared" si="21"/>
        <v>-3.2390061921442066E-2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2512.1178</v>
      </c>
      <c r="D193" s="376">
        <f>LN_IF4*LN_IF5</f>
        <v>2653.0197000000003</v>
      </c>
      <c r="E193" s="376">
        <f t="shared" si="20"/>
        <v>140.9019000000003</v>
      </c>
      <c r="F193" s="362">
        <f t="shared" si="21"/>
        <v>5.6088890417479748E-2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7970.2970139378021</v>
      </c>
      <c r="D194" s="378">
        <f>IF(LN_IF6=0,0,LN_IF2/LN_IF6)</f>
        <v>6835.2127200563182</v>
      </c>
      <c r="E194" s="378">
        <f t="shared" si="20"/>
        <v>-1135.084293881484</v>
      </c>
      <c r="F194" s="362">
        <f t="shared" si="21"/>
        <v>-0.14241430299229019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2352.0340971869291</v>
      </c>
      <c r="D195" s="378">
        <f>LN_IB7-LN_IF7</f>
        <v>4578.5908018632517</v>
      </c>
      <c r="E195" s="378">
        <f t="shared" si="20"/>
        <v>2226.5567046763226</v>
      </c>
      <c r="F195" s="362">
        <f t="shared" si="21"/>
        <v>0.94665154188849576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3779.3163198735956</v>
      </c>
      <c r="D196" s="378">
        <f>LN_IA7-LN_IF7</f>
        <v>4413.6239665636485</v>
      </c>
      <c r="E196" s="378">
        <f t="shared" si="20"/>
        <v>634.30764669005293</v>
      </c>
      <c r="F196" s="362">
        <f t="shared" si="21"/>
        <v>0.16783661196987826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9494087.7989849523</v>
      </c>
      <c r="D197" s="391">
        <f>LN_IF9*LN_IF6</f>
        <v>11709431.331685502</v>
      </c>
      <c r="E197" s="391">
        <f t="shared" si="20"/>
        <v>2215343.5327005498</v>
      </c>
      <c r="F197" s="362">
        <f t="shared" si="21"/>
        <v>0.23333927172417768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14140</v>
      </c>
      <c r="D198" s="369">
        <f>LN_ID11+LN_IE11</f>
        <v>10711</v>
      </c>
      <c r="E198" s="369">
        <f t="shared" si="20"/>
        <v>-3429</v>
      </c>
      <c r="F198" s="362">
        <f t="shared" si="21"/>
        <v>-0.24250353606789252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1416.0060113154173</v>
      </c>
      <c r="D199" s="432">
        <f>IF(LN_IF11=0,0,LN_IF2/LN_IF11)</f>
        <v>1693.0215666137615</v>
      </c>
      <c r="E199" s="432">
        <f t="shared" si="20"/>
        <v>277.01555529834422</v>
      </c>
      <c r="F199" s="362">
        <f t="shared" si="21"/>
        <v>0.19563162379586724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7.5172780435938327</v>
      </c>
      <c r="D200" s="379">
        <f>IF(LN_IF4=0,0,LN_IF11/LN_IF4)</f>
        <v>5.2172430589381396</v>
      </c>
      <c r="E200" s="379">
        <f t="shared" si="20"/>
        <v>-2.3000349846556931</v>
      </c>
      <c r="F200" s="362">
        <f t="shared" si="21"/>
        <v>-0.30596646436614988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44162143</v>
      </c>
      <c r="D203" s="361">
        <f>LN_ID14+LN_IE14</f>
        <v>48916927</v>
      </c>
      <c r="E203" s="361">
        <f t="shared" ref="E203:E211" si="22">D203-C203</f>
        <v>4754784</v>
      </c>
      <c r="F203" s="362">
        <f t="shared" ref="F203:F211" si="23">IF(C203=0,0,E203/C203)</f>
        <v>0.10766651428124763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18892611</v>
      </c>
      <c r="D204" s="361">
        <f>LN_ID15+LN_IE15</f>
        <v>19442747</v>
      </c>
      <c r="E204" s="361">
        <f t="shared" si="22"/>
        <v>550136</v>
      </c>
      <c r="F204" s="362">
        <f t="shared" si="23"/>
        <v>2.9119109052740247E-2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0.42780104670192298</v>
      </c>
      <c r="D205" s="366">
        <f>IF(LN_IF14=0,0,LN_IF15/LN_IF14)</f>
        <v>0.39746460361256952</v>
      </c>
      <c r="E205" s="367">
        <f t="shared" si="22"/>
        <v>-3.033644308935346E-2</v>
      </c>
      <c r="F205" s="362">
        <f t="shared" si="23"/>
        <v>-7.0912503190977111E-2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0.71522318682512687</v>
      </c>
      <c r="D206" s="366">
        <f>IF(LN_IF1=0,0,LN_IF14/LN_IF1)</f>
        <v>0.91663577136475949</v>
      </c>
      <c r="E206" s="367">
        <f t="shared" si="22"/>
        <v>0.20141258453963262</v>
      </c>
      <c r="F206" s="362">
        <f t="shared" si="23"/>
        <v>0.28160801865736812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1345.2018817900509</v>
      </c>
      <c r="D207" s="376">
        <f>LN_ID18+LN_IE18</f>
        <v>1881.6676786772487</v>
      </c>
      <c r="E207" s="376">
        <f t="shared" si="22"/>
        <v>536.46579688719771</v>
      </c>
      <c r="F207" s="362">
        <f t="shared" si="23"/>
        <v>0.39879946954380285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14044.442886787916</v>
      </c>
      <c r="D208" s="378">
        <f>IF(LN_IF18=0,0,LN_IF15/LN_IF18)</f>
        <v>10332.720926400574</v>
      </c>
      <c r="E208" s="378">
        <f t="shared" si="22"/>
        <v>-3711.7219603873418</v>
      </c>
      <c r="F208" s="362">
        <f t="shared" si="23"/>
        <v>-0.26428402965553621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-1785.4433917608967</v>
      </c>
      <c r="D209" s="378">
        <f>LN_IB18-LN_IF19</f>
        <v>3024.5994956305949</v>
      </c>
      <c r="E209" s="378">
        <f t="shared" si="22"/>
        <v>4810.0428873914916</v>
      </c>
      <c r="F209" s="362">
        <f t="shared" si="23"/>
        <v>-2.6940327033541949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-3398.859174223946</v>
      </c>
      <c r="D210" s="378">
        <f>LN_IA16-LN_IF19</f>
        <v>735.26500385517829</v>
      </c>
      <c r="E210" s="378">
        <f t="shared" si="22"/>
        <v>4134.1241780791242</v>
      </c>
      <c r="F210" s="362">
        <f t="shared" si="23"/>
        <v>-1.2163269986091907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-4572151.7571054306</v>
      </c>
      <c r="D211" s="353">
        <f>LN_IF21*LN_IF18</f>
        <v>1383524.3930167917</v>
      </c>
      <c r="E211" s="353">
        <f t="shared" si="22"/>
        <v>5955676.1501222225</v>
      </c>
      <c r="F211" s="362">
        <f t="shared" si="23"/>
        <v>-1.302598090902539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105908104</v>
      </c>
      <c r="D214" s="361">
        <f>LN_IF1+LN_IF14</f>
        <v>102282646</v>
      </c>
      <c r="E214" s="361">
        <f>D214-C214</f>
        <v>-3625458</v>
      </c>
      <c r="F214" s="362">
        <f>IF(C214=0,0,E214/C214)</f>
        <v>-3.4232111265064286E-2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38914936</v>
      </c>
      <c r="D215" s="361">
        <f>LN_IF2+LN_IF15</f>
        <v>37576701</v>
      </c>
      <c r="E215" s="361">
        <f>D215-C215</f>
        <v>-1338235</v>
      </c>
      <c r="F215" s="362">
        <f>IF(C215=0,0,E215/C215)</f>
        <v>-3.4388724164932459E-2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66993168</v>
      </c>
      <c r="D216" s="361">
        <f>LN_IF23-LN_IF24</f>
        <v>64705945</v>
      </c>
      <c r="E216" s="361">
        <f>D216-C216</f>
        <v>-2287223</v>
      </c>
      <c r="F216" s="362">
        <f>IF(C216=0,0,E216/C216)</f>
        <v>-3.4141138093364984E-2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2278364</v>
      </c>
      <c r="D221" s="361">
        <v>687828</v>
      </c>
      <c r="E221" s="361">
        <f t="shared" ref="E221:E230" si="24">D221-C221</f>
        <v>-1590536</v>
      </c>
      <c r="F221" s="362">
        <f t="shared" ref="F221:F230" si="25">IF(C221=0,0,E221/C221)</f>
        <v>-0.69810442931858119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716506</v>
      </c>
      <c r="D222" s="361">
        <v>260561</v>
      </c>
      <c r="E222" s="361">
        <f t="shared" si="24"/>
        <v>-455945</v>
      </c>
      <c r="F222" s="362">
        <f t="shared" si="25"/>
        <v>-0.63634498524785554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0.31448267265458901</v>
      </c>
      <c r="D223" s="366">
        <f>IF(LN_IG1=0,0,LN_IG2/LN_IG1)</f>
        <v>0.37881708799292846</v>
      </c>
      <c r="E223" s="367">
        <f t="shared" si="24"/>
        <v>6.4334415338339446E-2</v>
      </c>
      <c r="F223" s="362">
        <f t="shared" si="25"/>
        <v>0.20457220995765618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62</v>
      </c>
      <c r="D224" s="369">
        <v>41</v>
      </c>
      <c r="E224" s="369">
        <f t="shared" si="24"/>
        <v>-21</v>
      </c>
      <c r="F224" s="362">
        <f t="shared" si="25"/>
        <v>-0.33870967741935482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1.5218</v>
      </c>
      <c r="D225" s="372">
        <v>1.226</v>
      </c>
      <c r="E225" s="373">
        <f t="shared" si="24"/>
        <v>-0.29580000000000006</v>
      </c>
      <c r="F225" s="362">
        <f t="shared" si="25"/>
        <v>-0.19437508213957161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94.351600000000005</v>
      </c>
      <c r="D226" s="376">
        <f>LN_IG3*LN_IG4</f>
        <v>50.265999999999998</v>
      </c>
      <c r="E226" s="376">
        <f t="shared" si="24"/>
        <v>-44.085600000000007</v>
      </c>
      <c r="F226" s="362">
        <f t="shared" si="25"/>
        <v>-0.46724803818907157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7593.9994658278183</v>
      </c>
      <c r="D227" s="378">
        <f>IF(LN_IG5=0,0,LN_IG2/LN_IG5)</f>
        <v>5183.6430191381851</v>
      </c>
      <c r="E227" s="378">
        <f t="shared" si="24"/>
        <v>-2410.3564466896332</v>
      </c>
      <c r="F227" s="362">
        <f t="shared" si="25"/>
        <v>-0.31740276747924179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529</v>
      </c>
      <c r="D228" s="369">
        <v>120</v>
      </c>
      <c r="E228" s="369">
        <f t="shared" si="24"/>
        <v>-409</v>
      </c>
      <c r="F228" s="362">
        <f t="shared" si="25"/>
        <v>-0.77315689981096414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1354.4536862003781</v>
      </c>
      <c r="D229" s="378">
        <f>IF(LN_IG6=0,0,LN_IG2/LN_IG6)</f>
        <v>2171.3416666666667</v>
      </c>
      <c r="E229" s="378">
        <f t="shared" si="24"/>
        <v>816.88798046628858</v>
      </c>
      <c r="F229" s="362">
        <f t="shared" si="25"/>
        <v>0.60311252336570331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8.5322580645161299</v>
      </c>
      <c r="D230" s="379">
        <f>IF(LN_IG3=0,0,LN_IG6/LN_IG3)</f>
        <v>2.9268292682926829</v>
      </c>
      <c r="E230" s="379">
        <f t="shared" si="24"/>
        <v>-5.605428796223447</v>
      </c>
      <c r="F230" s="362">
        <f t="shared" si="25"/>
        <v>-0.65696897044584812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1791179</v>
      </c>
      <c r="D233" s="361">
        <v>1866697</v>
      </c>
      <c r="E233" s="361">
        <f>D233-C233</f>
        <v>75518</v>
      </c>
      <c r="F233" s="362">
        <f>IF(C233=0,0,E233/C233)</f>
        <v>4.2161057046783156E-2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647617</v>
      </c>
      <c r="D234" s="361">
        <v>700897</v>
      </c>
      <c r="E234" s="361">
        <f>D234-C234</f>
        <v>53280</v>
      </c>
      <c r="F234" s="362">
        <f>IF(C234=0,0,E234/C234)</f>
        <v>8.2270848356358769E-2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4069543</v>
      </c>
      <c r="D237" s="361">
        <f>LN_IG1+LN_IG9</f>
        <v>2554525</v>
      </c>
      <c r="E237" s="361">
        <f>D237-C237</f>
        <v>-1515018</v>
      </c>
      <c r="F237" s="362">
        <f>IF(C237=0,0,E237/C237)</f>
        <v>-0.37228209654007832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1364123</v>
      </c>
      <c r="D238" s="361">
        <f>LN_IG2+LN_IG10</f>
        <v>961458</v>
      </c>
      <c r="E238" s="361">
        <f>D238-C238</f>
        <v>-402665</v>
      </c>
      <c r="F238" s="362">
        <f>IF(C238=0,0,E238/C238)</f>
        <v>-0.29518232593395172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2705420</v>
      </c>
      <c r="D239" s="361">
        <f>LN_IG13-LN_IG14</f>
        <v>1593067</v>
      </c>
      <c r="E239" s="361">
        <f>D239-C239</f>
        <v>-1112353</v>
      </c>
      <c r="F239" s="362">
        <f>IF(C239=0,0,E239/C239)</f>
        <v>-0.41115723251842595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2868190</v>
      </c>
      <c r="D243" s="361">
        <v>18659132</v>
      </c>
      <c r="E243" s="353">
        <f>D243-C243</f>
        <v>15790942</v>
      </c>
      <c r="F243" s="415">
        <f>IF(C243=0,0,E243/C243)</f>
        <v>5.5055425198470118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262964301</v>
      </c>
      <c r="D244" s="361">
        <v>296523349</v>
      </c>
      <c r="E244" s="353">
        <f>D244-C244</f>
        <v>33559048</v>
      </c>
      <c r="F244" s="415">
        <f>IF(C244=0,0,E244/C244)</f>
        <v>0.12761826556829856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873533</v>
      </c>
      <c r="D248" s="353">
        <v>477593</v>
      </c>
      <c r="E248" s="353">
        <f>D248-C248</f>
        <v>-395940</v>
      </c>
      <c r="F248" s="362">
        <f>IF(C248=0,0,E248/C248)</f>
        <v>-0.45326278457711383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2513627</v>
      </c>
      <c r="D249" s="353">
        <v>5650516</v>
      </c>
      <c r="E249" s="353">
        <f>D249-C249</f>
        <v>3136889</v>
      </c>
      <c r="F249" s="362">
        <f>IF(C249=0,0,E249/C249)</f>
        <v>1.247953256390069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3387160</v>
      </c>
      <c r="D250" s="353">
        <f>LN_IH4+LN_IH5</f>
        <v>6128109</v>
      </c>
      <c r="E250" s="353">
        <f>D250-C250</f>
        <v>2740949</v>
      </c>
      <c r="F250" s="362">
        <f>IF(C250=0,0,E250/C250)</f>
        <v>0.80921745651224031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1664306.6485738652</v>
      </c>
      <c r="D251" s="353">
        <f>LN_IH6*LN_III10</f>
        <v>3000734.198225108</v>
      </c>
      <c r="E251" s="353">
        <f>D251-C251</f>
        <v>1336427.5496512428</v>
      </c>
      <c r="F251" s="362">
        <f>IF(C251=0,0,E251/C251)</f>
        <v>0.80299357741340505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105908104</v>
      </c>
      <c r="D254" s="353">
        <f>LN_IF23</f>
        <v>102282646</v>
      </c>
      <c r="E254" s="353">
        <f>D254-C254</f>
        <v>-3625458</v>
      </c>
      <c r="F254" s="362">
        <f>IF(C254=0,0,E254/C254)</f>
        <v>-3.4232111265064286E-2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38914936</v>
      </c>
      <c r="D255" s="353">
        <f>LN_IF24</f>
        <v>37576701</v>
      </c>
      <c r="E255" s="353">
        <f>D255-C255</f>
        <v>-1338235</v>
      </c>
      <c r="F255" s="362">
        <f>IF(C255=0,0,E255/C255)</f>
        <v>-3.4388724164932459E-2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52038746.804122739</v>
      </c>
      <c r="D256" s="353">
        <f>LN_IH8*LN_III10</f>
        <v>50084460.595781267</v>
      </c>
      <c r="E256" s="353">
        <f>D256-C256</f>
        <v>-1954286.2083414719</v>
      </c>
      <c r="F256" s="362">
        <f>IF(C256=0,0,E256/C256)</f>
        <v>-3.7554444108685657E-2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13123810.804122739</v>
      </c>
      <c r="D257" s="353">
        <f>LN_IH10-LN_IH9</f>
        <v>12507759.595781267</v>
      </c>
      <c r="E257" s="353">
        <f>D257-C257</f>
        <v>-616051.20834147185</v>
      </c>
      <c r="F257" s="362">
        <f>IF(C257=0,0,E257/C257)</f>
        <v>-4.6941488073566587E-2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259180572</v>
      </c>
      <c r="D261" s="361">
        <f>LN_IA1+LN_IB1+LN_IF1+LN_IG1</f>
        <v>232681945</v>
      </c>
      <c r="E261" s="361">
        <f t="shared" ref="E261:E274" si="26">D261-C261</f>
        <v>-26498627</v>
      </c>
      <c r="F261" s="415">
        <f t="shared" ref="F261:F274" si="27">IF(C261=0,0,E261/C261)</f>
        <v>-0.10224002052129123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138622513</v>
      </c>
      <c r="D262" s="361">
        <f>+LN_IA2+LN_IB2+LN_IF2+LN_IG2</f>
        <v>122303334</v>
      </c>
      <c r="E262" s="361">
        <f t="shared" si="26"/>
        <v>-16319179</v>
      </c>
      <c r="F262" s="415">
        <f t="shared" si="27"/>
        <v>-0.11772387216786352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0.5348491668580776</v>
      </c>
      <c r="D263" s="366">
        <f>IF(LN_IIA1=0,0,LN_IIA2/LN_IIA1)</f>
        <v>0.52562451289462964</v>
      </c>
      <c r="E263" s="367">
        <f t="shared" si="26"/>
        <v>-9.2246539634479596E-3</v>
      </c>
      <c r="F263" s="371">
        <f t="shared" si="27"/>
        <v>-1.7247206380889297E-2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9082</v>
      </c>
      <c r="D264" s="369">
        <f>LN_IA4+LN_IB4+LN_IF4+LN_IG3</f>
        <v>8374</v>
      </c>
      <c r="E264" s="369">
        <f t="shared" si="26"/>
        <v>-708</v>
      </c>
      <c r="F264" s="415">
        <f t="shared" si="27"/>
        <v>-7.7956397269323935E-2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1.4545607245100198</v>
      </c>
      <c r="D265" s="439">
        <f>IF(LN_IIA4=0,0,LN_IIA6/LN_IIA4)</f>
        <v>1.4200279078098879</v>
      </c>
      <c r="E265" s="439">
        <f t="shared" si="26"/>
        <v>-3.4532816700131974E-2</v>
      </c>
      <c r="F265" s="415">
        <f t="shared" si="27"/>
        <v>-2.3741062245280012E-2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13210.3205</v>
      </c>
      <c r="D266" s="376">
        <f>LN_IA6+LN_IB6+LN_IF6+LN_IG5</f>
        <v>11891.313700000001</v>
      </c>
      <c r="E266" s="376">
        <f t="shared" si="26"/>
        <v>-1319.0067999999992</v>
      </c>
      <c r="F266" s="415">
        <f t="shared" si="27"/>
        <v>-9.9846691834615156E-2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274542562</v>
      </c>
      <c r="D267" s="361">
        <f>LN_IA11+LN_IB13+LN_IF14+LN_IG9</f>
        <v>302459446</v>
      </c>
      <c r="E267" s="361">
        <f t="shared" si="26"/>
        <v>27916884</v>
      </c>
      <c r="F267" s="415">
        <f t="shared" si="27"/>
        <v>0.10168508589935865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1.0592713793378001</v>
      </c>
      <c r="D268" s="366">
        <f>IF(LN_IIA1=0,0,LN_IIA7/LN_IIA1)</f>
        <v>1.2998836072132713</v>
      </c>
      <c r="E268" s="367">
        <f t="shared" si="26"/>
        <v>0.24061222787547121</v>
      </c>
      <c r="F268" s="371">
        <f t="shared" si="27"/>
        <v>0.22714880489444464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121932303</v>
      </c>
      <c r="D269" s="361">
        <f>LN_IA12+LN_IB14+LN_IF15+LN_IG10</f>
        <v>143064713</v>
      </c>
      <c r="E269" s="361">
        <f t="shared" si="26"/>
        <v>21132410</v>
      </c>
      <c r="F269" s="415">
        <f t="shared" si="27"/>
        <v>0.17331264546032563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0.44412896168718641</v>
      </c>
      <c r="D270" s="366">
        <f>IF(LN_IIA7=0,0,LN_IIA9/LN_IIA7)</f>
        <v>0.47300461232743246</v>
      </c>
      <c r="E270" s="367">
        <f t="shared" si="26"/>
        <v>2.8875650640246053E-2</v>
      </c>
      <c r="F270" s="371">
        <f t="shared" si="27"/>
        <v>6.5016364910208346E-2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533723134</v>
      </c>
      <c r="D271" s="353">
        <f>LN_IIA1+LN_IIA7</f>
        <v>535141391</v>
      </c>
      <c r="E271" s="353">
        <f t="shared" si="26"/>
        <v>1418257</v>
      </c>
      <c r="F271" s="415">
        <f t="shared" si="27"/>
        <v>2.6572897250505914E-3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260554816</v>
      </c>
      <c r="D272" s="353">
        <f>LN_IIA2+LN_IIA9</f>
        <v>265368047</v>
      </c>
      <c r="E272" s="353">
        <f t="shared" si="26"/>
        <v>4813231</v>
      </c>
      <c r="F272" s="415">
        <f t="shared" si="27"/>
        <v>1.8473007230846963E-2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0.48818347829007541</v>
      </c>
      <c r="D273" s="366">
        <f>IF(LN_IIA11=0,0,LN_IIA12/LN_IIA11)</f>
        <v>0.49588398778893933</v>
      </c>
      <c r="E273" s="367">
        <f t="shared" si="26"/>
        <v>7.7005094988639167E-3</v>
      </c>
      <c r="F273" s="371">
        <f t="shared" si="27"/>
        <v>1.5773801943965677E-2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51614</v>
      </c>
      <c r="D274" s="421">
        <f>LN_IA8+LN_IB10+LN_IF11+LN_IG6</f>
        <v>40295</v>
      </c>
      <c r="E274" s="442">
        <f t="shared" si="26"/>
        <v>-11319</v>
      </c>
      <c r="F274" s="371">
        <f t="shared" si="27"/>
        <v>-0.21930096485449685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179430243</v>
      </c>
      <c r="D277" s="361">
        <f>LN_IA1+LN_IF1+LN_IG1</f>
        <v>174642315</v>
      </c>
      <c r="E277" s="361">
        <f t="shared" ref="E277:E291" si="28">D277-C277</f>
        <v>-4787928</v>
      </c>
      <c r="F277" s="415">
        <f t="shared" ref="F277:F291" si="29">IF(C277=0,0,E277/C277)</f>
        <v>-2.6684063510965653E-2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90113040</v>
      </c>
      <c r="D278" s="361">
        <f>LN_IA2+LN_IF2+LN_IG2</f>
        <v>83959597</v>
      </c>
      <c r="E278" s="361">
        <f t="shared" si="28"/>
        <v>-6153443</v>
      </c>
      <c r="F278" s="415">
        <f t="shared" si="29"/>
        <v>-6.8285821896586774E-2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0.50221767798642503</v>
      </c>
      <c r="D279" s="366">
        <f>IF(D277=0,0,LN_IIB2/D277)</f>
        <v>0.48075174106573199</v>
      </c>
      <c r="E279" s="367">
        <f t="shared" si="28"/>
        <v>-2.1465936920693041E-2</v>
      </c>
      <c r="F279" s="371">
        <f t="shared" si="29"/>
        <v>-4.2742296541129057E-2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5754</v>
      </c>
      <c r="D280" s="369">
        <f>LN_IA4+LN_IF4+LN_IG3</f>
        <v>5794</v>
      </c>
      <c r="E280" s="369">
        <f t="shared" si="28"/>
        <v>40</v>
      </c>
      <c r="F280" s="415">
        <f t="shared" si="29"/>
        <v>6.9516857838025723E-3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1.4791191692735488</v>
      </c>
      <c r="D281" s="439">
        <f>IF(LN_IIB4=0,0,LN_IIB6/LN_IIB4)</f>
        <v>1.4725398170521227</v>
      </c>
      <c r="E281" s="439">
        <f t="shared" si="28"/>
        <v>-6.579352221426138E-3</v>
      </c>
      <c r="F281" s="415">
        <f t="shared" si="29"/>
        <v>-4.4481556037553795E-3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8510.8516999999993</v>
      </c>
      <c r="D282" s="376">
        <f>LN_IA6+LN_IF6+LN_IG5</f>
        <v>8531.8956999999991</v>
      </c>
      <c r="E282" s="376">
        <f t="shared" si="28"/>
        <v>21.043999999999869</v>
      </c>
      <c r="F282" s="415">
        <f t="shared" si="29"/>
        <v>2.4726079999725374E-3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136860422</v>
      </c>
      <c r="D283" s="361">
        <f>LN_IA11+LN_IF14+LN_IG9</f>
        <v>155105011</v>
      </c>
      <c r="E283" s="361">
        <f t="shared" si="28"/>
        <v>18244589</v>
      </c>
      <c r="F283" s="415">
        <f t="shared" si="29"/>
        <v>0.13330799900646223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0.76275002313851847</v>
      </c>
      <c r="D284" s="366">
        <f>IF(D277=0,0,LN_IIB7/D277)</f>
        <v>0.88812960936758079</v>
      </c>
      <c r="E284" s="367">
        <f t="shared" si="28"/>
        <v>0.12537958622906231</v>
      </c>
      <c r="F284" s="371">
        <f t="shared" si="29"/>
        <v>0.16437834470742832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51498122</v>
      </c>
      <c r="D285" s="361">
        <f>LN_IA12+LN_IF15+LN_IG10</f>
        <v>55570843</v>
      </c>
      <c r="E285" s="361">
        <f t="shared" si="28"/>
        <v>4072721</v>
      </c>
      <c r="F285" s="415">
        <f t="shared" si="29"/>
        <v>7.9084845074544663E-2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0.37628206348801119</v>
      </c>
      <c r="D286" s="366">
        <f>IF(LN_IIB7=0,0,LN_IIB9/LN_IIB7)</f>
        <v>0.35827883729688143</v>
      </c>
      <c r="E286" s="367">
        <f t="shared" si="28"/>
        <v>-1.8003226191129762E-2</v>
      </c>
      <c r="F286" s="371">
        <f t="shared" si="29"/>
        <v>-4.7845028870751281E-2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316290665</v>
      </c>
      <c r="D287" s="353">
        <f>D277+LN_IIB7</f>
        <v>329747326</v>
      </c>
      <c r="E287" s="353">
        <f t="shared" si="28"/>
        <v>13456661</v>
      </c>
      <c r="F287" s="415">
        <f t="shared" si="29"/>
        <v>4.2545236041032067E-2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141611162</v>
      </c>
      <c r="D288" s="353">
        <f>LN_IIB2+LN_IIB9</f>
        <v>139530440</v>
      </c>
      <c r="E288" s="353">
        <f t="shared" si="28"/>
        <v>-2080722</v>
      </c>
      <c r="F288" s="415">
        <f t="shared" si="29"/>
        <v>-1.4693206175371967E-2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0.44772475975539777</v>
      </c>
      <c r="D289" s="366">
        <f>IF(LN_IIB11=0,0,LN_IIB12/LN_IIB11)</f>
        <v>0.42314350715917559</v>
      </c>
      <c r="E289" s="367">
        <f t="shared" si="28"/>
        <v>-2.4581252596222181E-2</v>
      </c>
      <c r="F289" s="371">
        <f t="shared" si="29"/>
        <v>-5.4902598216036741E-2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34051</v>
      </c>
      <c r="D290" s="421">
        <f>LN_IA8+LN_IF11+LN_IG6</f>
        <v>30531</v>
      </c>
      <c r="E290" s="442">
        <f t="shared" si="28"/>
        <v>-3520</v>
      </c>
      <c r="F290" s="371">
        <f t="shared" si="29"/>
        <v>-0.10337435023934687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174679503</v>
      </c>
      <c r="D291" s="429">
        <f>LN_IIB11-LN_IIB12</f>
        <v>190216886</v>
      </c>
      <c r="E291" s="353">
        <f t="shared" si="28"/>
        <v>15537383</v>
      </c>
      <c r="F291" s="415">
        <f t="shared" si="29"/>
        <v>8.8947945999136482E-2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5.085804250852795</v>
      </c>
      <c r="D294" s="379">
        <f>IF(LN_IA4=0,0,LN_IA8/LN_IA4)</f>
        <v>5.3243243243243246</v>
      </c>
      <c r="E294" s="379">
        <f t="shared" ref="E294:E300" si="30">D294-C294</f>
        <v>0.23852007347152959</v>
      </c>
      <c r="F294" s="415">
        <f t="shared" ref="F294:F300" si="31">IF(C294=0,0,E294/C294)</f>
        <v>4.6899184810649017E-2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5.27734375</v>
      </c>
      <c r="D295" s="379">
        <f>IF(LN_IB4=0,0,(LN_IB10)/(LN_IB4))</f>
        <v>3.7844961240310075</v>
      </c>
      <c r="E295" s="379">
        <f t="shared" si="30"/>
        <v>-1.4928476259689925</v>
      </c>
      <c r="F295" s="415">
        <f t="shared" si="31"/>
        <v>-0.28287860270026799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4.68</v>
      </c>
      <c r="D296" s="379">
        <f>IF(LN_IC4=0,0,LN_IC11/LN_IC4)</f>
        <v>3.7179487179487181</v>
      </c>
      <c r="E296" s="379">
        <f t="shared" si="30"/>
        <v>-0.96205128205128165</v>
      </c>
      <c r="F296" s="415">
        <f t="shared" si="31"/>
        <v>-0.20556651325882089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7.5106837606837606</v>
      </c>
      <c r="D297" s="379">
        <f>IF(LN_ID4=0,0,LN_ID11/LN_ID4)</f>
        <v>5.2180487804878046</v>
      </c>
      <c r="E297" s="379">
        <f t="shared" si="30"/>
        <v>-2.292634980195956</v>
      </c>
      <c r="F297" s="415">
        <f t="shared" si="31"/>
        <v>-0.30524983520105475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8.8888888888888893</v>
      </c>
      <c r="D298" s="379">
        <f>IF(LN_IE4=0,0,LN_IE11/LN_IE4)</f>
        <v>4.666666666666667</v>
      </c>
      <c r="E298" s="379">
        <f t="shared" si="30"/>
        <v>-4.2222222222222223</v>
      </c>
      <c r="F298" s="415">
        <f t="shared" si="31"/>
        <v>-0.47499999999999998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8.5322580645161299</v>
      </c>
      <c r="D299" s="379">
        <f>IF(LN_IG3=0,0,LN_IG6/LN_IG3)</f>
        <v>2.9268292682926829</v>
      </c>
      <c r="E299" s="379">
        <f t="shared" si="30"/>
        <v>-5.605428796223447</v>
      </c>
      <c r="F299" s="415">
        <f t="shared" si="31"/>
        <v>-0.65696897044584812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5.683109447258313</v>
      </c>
      <c r="D300" s="379">
        <f>IF(LN_IIA4=0,0,LN_IIA14/LN_IIA4)</f>
        <v>4.8119178409362311</v>
      </c>
      <c r="E300" s="379">
        <f t="shared" si="30"/>
        <v>-0.87119160632208192</v>
      </c>
      <c r="F300" s="415">
        <f t="shared" si="31"/>
        <v>-0.15329488450066162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533723134</v>
      </c>
      <c r="D304" s="353">
        <f>LN_IIA11</f>
        <v>535141391</v>
      </c>
      <c r="E304" s="353">
        <f t="shared" ref="E304:E316" si="32">D304-C304</f>
        <v>1418257</v>
      </c>
      <c r="F304" s="362">
        <f>IF(C304=0,0,E304/C304)</f>
        <v>2.6572897250505914E-3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174679503</v>
      </c>
      <c r="D305" s="353">
        <f>LN_IIB14</f>
        <v>190216886</v>
      </c>
      <c r="E305" s="353">
        <f t="shared" si="32"/>
        <v>15537383</v>
      </c>
      <c r="F305" s="362">
        <f>IF(C305=0,0,E305/C305)</f>
        <v>8.8947945999136482E-2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3387160</v>
      </c>
      <c r="D306" s="353">
        <f>LN_IH6</f>
        <v>6128109</v>
      </c>
      <c r="E306" s="353">
        <f t="shared" si="32"/>
        <v>2740949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93407578</v>
      </c>
      <c r="D307" s="353">
        <f>LN_IB32-LN_IB33</f>
        <v>76755190</v>
      </c>
      <c r="E307" s="353">
        <f t="shared" si="32"/>
        <v>-16652388</v>
      </c>
      <c r="F307" s="362">
        <f t="shared" ref="F307:F316" si="33">IF(C307=0,0,E307/C307)</f>
        <v>-0.17827662762008453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271474241</v>
      </c>
      <c r="D309" s="353">
        <f>LN_III2+LN_III3+LN_III4+LN_III5</f>
        <v>273100185</v>
      </c>
      <c r="E309" s="353">
        <f t="shared" si="32"/>
        <v>1625944</v>
      </c>
      <c r="F309" s="362">
        <f t="shared" si="33"/>
        <v>5.989312260384955E-3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262248893</v>
      </c>
      <c r="D310" s="353">
        <f>LN_III1-LN_III6</f>
        <v>262041206</v>
      </c>
      <c r="E310" s="353">
        <f t="shared" si="32"/>
        <v>-207687</v>
      </c>
      <c r="F310" s="362">
        <f t="shared" si="33"/>
        <v>-7.9194614560298634E-4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262248893</v>
      </c>
      <c r="D312" s="353">
        <f>LN_III7+LN_III8</f>
        <v>262041206</v>
      </c>
      <c r="E312" s="353">
        <f t="shared" si="32"/>
        <v>-207687</v>
      </c>
      <c r="F312" s="362">
        <f t="shared" si="33"/>
        <v>-7.9194614560298634E-4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0.49135755280939347</v>
      </c>
      <c r="D313" s="448">
        <f>IF(LN_III1=0,0,LN_III9/LN_III1)</f>
        <v>0.48966723637342419</v>
      </c>
      <c r="E313" s="448">
        <f t="shared" si="32"/>
        <v>-1.6903164359692857E-3</v>
      </c>
      <c r="F313" s="362">
        <f t="shared" si="33"/>
        <v>-3.4400945427717688E-3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1664306.6485738652</v>
      </c>
      <c r="D314" s="353">
        <f>D313*LN_III5</f>
        <v>3000734.198225108</v>
      </c>
      <c r="E314" s="353">
        <f t="shared" si="32"/>
        <v>1336427.5496512428</v>
      </c>
      <c r="F314" s="362">
        <f t="shared" si="33"/>
        <v>0.80299357741340505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13123810.804122739</v>
      </c>
      <c r="D315" s="353">
        <f>D313*LN_IH8-LN_IH9</f>
        <v>12507759.595781267</v>
      </c>
      <c r="E315" s="353">
        <f t="shared" si="32"/>
        <v>-616051.20834147185</v>
      </c>
      <c r="F315" s="362">
        <f t="shared" si="33"/>
        <v>-4.6941488073566587E-2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14788117.452696603</v>
      </c>
      <c r="D318" s="353">
        <f>D314+D315+D316</f>
        <v>15508493.794006374</v>
      </c>
      <c r="E318" s="353">
        <f>D318-C318</f>
        <v>720376.34130977094</v>
      </c>
      <c r="F318" s="362">
        <f>IF(C318=0,0,E318/C318)</f>
        <v>4.8713187707229821E-2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-4614534.2490050215</v>
      </c>
      <c r="D322" s="353">
        <f>LN_ID22</f>
        <v>1440070.5667961396</v>
      </c>
      <c r="E322" s="353">
        <f>LN_IV2-C322</f>
        <v>6054604.8158011613</v>
      </c>
      <c r="F322" s="362">
        <f>IF(C322=0,0,E322/C322)</f>
        <v>-1.3120727876505944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234072.19311729449</v>
      </c>
      <c r="D323" s="353">
        <f>LN_IE10+LN_IE22</f>
        <v>-27743.632671707714</v>
      </c>
      <c r="E323" s="353">
        <f>LN_IV3-C323</f>
        <v>-261815.82578900221</v>
      </c>
      <c r="F323" s="362">
        <f>IF(C323=0,0,E323/C323)</f>
        <v>-1.1185259654392408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1331174.4752510628</v>
      </c>
      <c r="D324" s="353">
        <f>LN_IC10+LN_IC22</f>
        <v>1639046.8747002969</v>
      </c>
      <c r="E324" s="353">
        <f>LN_IV1-C324</f>
        <v>307872.39944923413</v>
      </c>
      <c r="F324" s="362">
        <f>IF(C324=0,0,E324/C324)</f>
        <v>0.23127877312338688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-3049287.5806366643</v>
      </c>
      <c r="D325" s="429">
        <f>LN_IV1+LN_IV2+LN_IV3</f>
        <v>3051373.8088247287</v>
      </c>
      <c r="E325" s="353">
        <f>LN_IV4-C325</f>
        <v>6100661.3894613925</v>
      </c>
      <c r="F325" s="362">
        <f>IF(C325=0,0,E325/C325)</f>
        <v>-2.0006841690502766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0</v>
      </c>
      <c r="D330" s="429">
        <v>0</v>
      </c>
      <c r="E330" s="431">
        <f t="shared" si="34"/>
        <v>0</v>
      </c>
      <c r="F330" s="463">
        <f t="shared" si="35"/>
        <v>0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260554818</v>
      </c>
      <c r="D331" s="429">
        <v>265368041</v>
      </c>
      <c r="E331" s="431">
        <f t="shared" si="34"/>
        <v>4813223</v>
      </c>
      <c r="F331" s="462">
        <f t="shared" si="35"/>
        <v>1.8472976385337844E-2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533723134</v>
      </c>
      <c r="D333" s="429">
        <v>535141392</v>
      </c>
      <c r="E333" s="431">
        <f t="shared" si="34"/>
        <v>1418258</v>
      </c>
      <c r="F333" s="462">
        <f t="shared" si="35"/>
        <v>2.6572915986811992E-3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3387160</v>
      </c>
      <c r="D335" s="429">
        <v>6128109</v>
      </c>
      <c r="E335" s="429">
        <f t="shared" si="34"/>
        <v>2740949</v>
      </c>
      <c r="F335" s="462">
        <f t="shared" si="35"/>
        <v>0.80921745651224031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FILING&amp;RJOHN DEMPSEY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79750329</v>
      </c>
      <c r="D14" s="513">
        <v>58039630</v>
      </c>
      <c r="E14" s="514">
        <f t="shared" ref="E14:E22" si="0">D14-C14</f>
        <v>-21710699</v>
      </c>
    </row>
    <row r="15" spans="1:5" s="506" customFormat="1" x14ac:dyDescent="0.2">
      <c r="A15" s="512">
        <v>2</v>
      </c>
      <c r="B15" s="511" t="s">
        <v>618</v>
      </c>
      <c r="C15" s="513">
        <v>115405918</v>
      </c>
      <c r="D15" s="515">
        <v>120588768</v>
      </c>
      <c r="E15" s="514">
        <f t="shared" si="0"/>
        <v>5182850</v>
      </c>
    </row>
    <row r="16" spans="1:5" s="506" customFormat="1" x14ac:dyDescent="0.2">
      <c r="A16" s="512">
        <v>3</v>
      </c>
      <c r="B16" s="511" t="s">
        <v>764</v>
      </c>
      <c r="C16" s="513">
        <v>61745961</v>
      </c>
      <c r="D16" s="515">
        <v>53365719</v>
      </c>
      <c r="E16" s="514">
        <f t="shared" si="0"/>
        <v>-8380242</v>
      </c>
    </row>
    <row r="17" spans="1:5" s="506" customFormat="1" x14ac:dyDescent="0.2">
      <c r="A17" s="512">
        <v>4</v>
      </c>
      <c r="B17" s="511" t="s">
        <v>114</v>
      </c>
      <c r="C17" s="513">
        <v>61477752</v>
      </c>
      <c r="D17" s="515">
        <v>53261498</v>
      </c>
      <c r="E17" s="514">
        <f t="shared" si="0"/>
        <v>-8216254</v>
      </c>
    </row>
    <row r="18" spans="1:5" s="506" customFormat="1" x14ac:dyDescent="0.2">
      <c r="A18" s="512">
        <v>5</v>
      </c>
      <c r="B18" s="511" t="s">
        <v>731</v>
      </c>
      <c r="C18" s="513">
        <v>268209</v>
      </c>
      <c r="D18" s="515">
        <v>104221</v>
      </c>
      <c r="E18" s="514">
        <f t="shared" si="0"/>
        <v>-163988</v>
      </c>
    </row>
    <row r="19" spans="1:5" s="506" customFormat="1" x14ac:dyDescent="0.2">
      <c r="A19" s="512">
        <v>6</v>
      </c>
      <c r="B19" s="511" t="s">
        <v>430</v>
      </c>
      <c r="C19" s="513">
        <v>2278364</v>
      </c>
      <c r="D19" s="515">
        <v>687828</v>
      </c>
      <c r="E19" s="514">
        <f t="shared" si="0"/>
        <v>-1590536</v>
      </c>
    </row>
    <row r="20" spans="1:5" s="506" customFormat="1" x14ac:dyDescent="0.2">
      <c r="A20" s="512">
        <v>7</v>
      </c>
      <c r="B20" s="511" t="s">
        <v>746</v>
      </c>
      <c r="C20" s="513">
        <v>1175924</v>
      </c>
      <c r="D20" s="515">
        <v>656211</v>
      </c>
      <c r="E20" s="514">
        <f t="shared" si="0"/>
        <v>-519713</v>
      </c>
    </row>
    <row r="21" spans="1:5" s="506" customFormat="1" x14ac:dyDescent="0.2">
      <c r="A21" s="512"/>
      <c r="B21" s="516" t="s">
        <v>765</v>
      </c>
      <c r="C21" s="517">
        <f>SUM(C15+C16+C19)</f>
        <v>179430243</v>
      </c>
      <c r="D21" s="517">
        <f>SUM(D15+D16+D19)</f>
        <v>174642315</v>
      </c>
      <c r="E21" s="517">
        <f t="shared" si="0"/>
        <v>-4787928</v>
      </c>
    </row>
    <row r="22" spans="1:5" s="506" customFormat="1" x14ac:dyDescent="0.2">
      <c r="A22" s="512"/>
      <c r="B22" s="516" t="s">
        <v>705</v>
      </c>
      <c r="C22" s="517">
        <f>SUM(C14+C21)</f>
        <v>259180572</v>
      </c>
      <c r="D22" s="517">
        <f>SUM(D14+D21)</f>
        <v>232681945</v>
      </c>
      <c r="E22" s="517">
        <f t="shared" si="0"/>
        <v>-26498627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137682140</v>
      </c>
      <c r="D25" s="513">
        <v>147354435</v>
      </c>
      <c r="E25" s="514">
        <f t="shared" ref="E25:E33" si="1">D25-C25</f>
        <v>9672295</v>
      </c>
    </row>
    <row r="26" spans="1:5" s="506" customFormat="1" x14ac:dyDescent="0.2">
      <c r="A26" s="512">
        <v>2</v>
      </c>
      <c r="B26" s="511" t="s">
        <v>618</v>
      </c>
      <c r="C26" s="513">
        <v>90907100</v>
      </c>
      <c r="D26" s="515">
        <v>104321387</v>
      </c>
      <c r="E26" s="514">
        <f t="shared" si="1"/>
        <v>13414287</v>
      </c>
    </row>
    <row r="27" spans="1:5" s="506" customFormat="1" x14ac:dyDescent="0.2">
      <c r="A27" s="512">
        <v>3</v>
      </c>
      <c r="B27" s="511" t="s">
        <v>764</v>
      </c>
      <c r="C27" s="513">
        <v>44162143</v>
      </c>
      <c r="D27" s="515">
        <v>48916927</v>
      </c>
      <c r="E27" s="514">
        <f t="shared" si="1"/>
        <v>4754784</v>
      </c>
    </row>
    <row r="28" spans="1:5" s="506" customFormat="1" x14ac:dyDescent="0.2">
      <c r="A28" s="512">
        <v>4</v>
      </c>
      <c r="B28" s="511" t="s">
        <v>114</v>
      </c>
      <c r="C28" s="513">
        <v>44013114</v>
      </c>
      <c r="D28" s="515">
        <v>48802273</v>
      </c>
      <c r="E28" s="514">
        <f t="shared" si="1"/>
        <v>4789159</v>
      </c>
    </row>
    <row r="29" spans="1:5" s="506" customFormat="1" x14ac:dyDescent="0.2">
      <c r="A29" s="512">
        <v>5</v>
      </c>
      <c r="B29" s="511" t="s">
        <v>731</v>
      </c>
      <c r="C29" s="513">
        <v>149029</v>
      </c>
      <c r="D29" s="515">
        <v>114654</v>
      </c>
      <c r="E29" s="514">
        <f t="shared" si="1"/>
        <v>-34375</v>
      </c>
    </row>
    <row r="30" spans="1:5" s="506" customFormat="1" x14ac:dyDescent="0.2">
      <c r="A30" s="512">
        <v>6</v>
      </c>
      <c r="B30" s="511" t="s">
        <v>430</v>
      </c>
      <c r="C30" s="513">
        <v>1791179</v>
      </c>
      <c r="D30" s="515">
        <v>1866697</v>
      </c>
      <c r="E30" s="514">
        <f t="shared" si="1"/>
        <v>75518</v>
      </c>
    </row>
    <row r="31" spans="1:5" s="506" customFormat="1" x14ac:dyDescent="0.2">
      <c r="A31" s="512">
        <v>7</v>
      </c>
      <c r="B31" s="511" t="s">
        <v>746</v>
      </c>
      <c r="C31" s="514">
        <v>2457383</v>
      </c>
      <c r="D31" s="518">
        <v>2748229</v>
      </c>
      <c r="E31" s="514">
        <f t="shared" si="1"/>
        <v>290846</v>
      </c>
    </row>
    <row r="32" spans="1:5" s="506" customFormat="1" x14ac:dyDescent="0.2">
      <c r="A32" s="512"/>
      <c r="B32" s="516" t="s">
        <v>767</v>
      </c>
      <c r="C32" s="517">
        <f>SUM(C26+C27+C30)</f>
        <v>136860422</v>
      </c>
      <c r="D32" s="517">
        <f>SUM(D26+D27+D30)</f>
        <v>155105011</v>
      </c>
      <c r="E32" s="517">
        <f t="shared" si="1"/>
        <v>18244589</v>
      </c>
    </row>
    <row r="33" spans="1:5" s="506" customFormat="1" x14ac:dyDescent="0.2">
      <c r="A33" s="512"/>
      <c r="B33" s="516" t="s">
        <v>711</v>
      </c>
      <c r="C33" s="517">
        <f>SUM(C25+C32)</f>
        <v>274542562</v>
      </c>
      <c r="D33" s="517">
        <f>SUM(D25+D32)</f>
        <v>302459446</v>
      </c>
      <c r="E33" s="517">
        <f t="shared" si="1"/>
        <v>27916884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217432469</v>
      </c>
      <c r="D36" s="514">
        <f t="shared" si="2"/>
        <v>205394065</v>
      </c>
      <c r="E36" s="514">
        <f t="shared" ref="E36:E44" si="3">D36-C36</f>
        <v>-12038404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206313018</v>
      </c>
      <c r="D37" s="514">
        <f t="shared" si="2"/>
        <v>224910155</v>
      </c>
      <c r="E37" s="514">
        <f t="shared" si="3"/>
        <v>18597137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105908104</v>
      </c>
      <c r="D38" s="514">
        <f t="shared" si="2"/>
        <v>102282646</v>
      </c>
      <c r="E38" s="514">
        <f t="shared" si="3"/>
        <v>-3625458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105490866</v>
      </c>
      <c r="D39" s="514">
        <f t="shared" si="2"/>
        <v>102063771</v>
      </c>
      <c r="E39" s="514">
        <f t="shared" si="3"/>
        <v>-3427095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417238</v>
      </c>
      <c r="D40" s="514">
        <f t="shared" si="2"/>
        <v>218875</v>
      </c>
      <c r="E40" s="514">
        <f t="shared" si="3"/>
        <v>-198363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4069543</v>
      </c>
      <c r="D41" s="514">
        <f t="shared" si="2"/>
        <v>2554525</v>
      </c>
      <c r="E41" s="514">
        <f t="shared" si="3"/>
        <v>-1515018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3633307</v>
      </c>
      <c r="D42" s="514">
        <f t="shared" si="2"/>
        <v>3404440</v>
      </c>
      <c r="E42" s="514">
        <f t="shared" si="3"/>
        <v>-228867</v>
      </c>
    </row>
    <row r="43" spans="1:5" s="506" customFormat="1" x14ac:dyDescent="0.2">
      <c r="A43" s="512"/>
      <c r="B43" s="516" t="s">
        <v>775</v>
      </c>
      <c r="C43" s="517">
        <f>SUM(C37+C38+C41)</f>
        <v>316290665</v>
      </c>
      <c r="D43" s="517">
        <f>SUM(D37+D38+D41)</f>
        <v>329747326</v>
      </c>
      <c r="E43" s="517">
        <f t="shared" si="3"/>
        <v>13456661</v>
      </c>
    </row>
    <row r="44" spans="1:5" s="506" customFormat="1" x14ac:dyDescent="0.2">
      <c r="A44" s="512"/>
      <c r="B44" s="516" t="s">
        <v>713</v>
      </c>
      <c r="C44" s="517">
        <f>SUM(C36+C43)</f>
        <v>533723134</v>
      </c>
      <c r="D44" s="517">
        <f>SUM(D36+D43)</f>
        <v>535141391</v>
      </c>
      <c r="E44" s="517">
        <f t="shared" si="3"/>
        <v>1418257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48509473</v>
      </c>
      <c r="D47" s="513">
        <v>38343737</v>
      </c>
      <c r="E47" s="514">
        <f t="shared" ref="E47:E55" si="4">D47-C47</f>
        <v>-10165736</v>
      </c>
    </row>
    <row r="48" spans="1:5" s="506" customFormat="1" x14ac:dyDescent="0.2">
      <c r="A48" s="512">
        <v>2</v>
      </c>
      <c r="B48" s="511" t="s">
        <v>618</v>
      </c>
      <c r="C48" s="513">
        <v>69374209</v>
      </c>
      <c r="D48" s="515">
        <v>65565082</v>
      </c>
      <c r="E48" s="514">
        <f t="shared" si="4"/>
        <v>-3809127</v>
      </c>
    </row>
    <row r="49" spans="1:5" s="506" customFormat="1" x14ac:dyDescent="0.2">
      <c r="A49" s="512">
        <v>3</v>
      </c>
      <c r="B49" s="511" t="s">
        <v>764</v>
      </c>
      <c r="C49" s="513">
        <v>20022325</v>
      </c>
      <c r="D49" s="515">
        <v>18133954</v>
      </c>
      <c r="E49" s="514">
        <f t="shared" si="4"/>
        <v>-1888371</v>
      </c>
    </row>
    <row r="50" spans="1:5" s="506" customFormat="1" x14ac:dyDescent="0.2">
      <c r="A50" s="512">
        <v>4</v>
      </c>
      <c r="B50" s="511" t="s">
        <v>114</v>
      </c>
      <c r="C50" s="513">
        <v>19975514</v>
      </c>
      <c r="D50" s="515">
        <v>18101510</v>
      </c>
      <c r="E50" s="514">
        <f t="shared" si="4"/>
        <v>-1874004</v>
      </c>
    </row>
    <row r="51" spans="1:5" s="506" customFormat="1" x14ac:dyDescent="0.2">
      <c r="A51" s="512">
        <v>5</v>
      </c>
      <c r="B51" s="511" t="s">
        <v>731</v>
      </c>
      <c r="C51" s="513">
        <v>46811</v>
      </c>
      <c r="D51" s="515">
        <v>32444</v>
      </c>
      <c r="E51" s="514">
        <f t="shared" si="4"/>
        <v>-14367</v>
      </c>
    </row>
    <row r="52" spans="1:5" s="506" customFormat="1" x14ac:dyDescent="0.2">
      <c r="A52" s="512">
        <v>6</v>
      </c>
      <c r="B52" s="511" t="s">
        <v>430</v>
      </c>
      <c r="C52" s="513">
        <v>716506</v>
      </c>
      <c r="D52" s="515">
        <v>260561</v>
      </c>
      <c r="E52" s="514">
        <f t="shared" si="4"/>
        <v>-455945</v>
      </c>
    </row>
    <row r="53" spans="1:5" s="506" customFormat="1" x14ac:dyDescent="0.2">
      <c r="A53" s="512">
        <v>7</v>
      </c>
      <c r="B53" s="511" t="s">
        <v>746</v>
      </c>
      <c r="C53" s="513">
        <v>230603</v>
      </c>
      <c r="D53" s="515">
        <v>35827</v>
      </c>
      <c r="E53" s="514">
        <f t="shared" si="4"/>
        <v>-194776</v>
      </c>
    </row>
    <row r="54" spans="1:5" s="506" customFormat="1" x14ac:dyDescent="0.2">
      <c r="A54" s="512"/>
      <c r="B54" s="516" t="s">
        <v>777</v>
      </c>
      <c r="C54" s="517">
        <f>SUM(C48+C49+C52)</f>
        <v>90113040</v>
      </c>
      <c r="D54" s="517">
        <f>SUM(D48+D49+D52)</f>
        <v>83959597</v>
      </c>
      <c r="E54" s="517">
        <f t="shared" si="4"/>
        <v>-6153443</v>
      </c>
    </row>
    <row r="55" spans="1:5" s="506" customFormat="1" x14ac:dyDescent="0.2">
      <c r="A55" s="512"/>
      <c r="B55" s="516" t="s">
        <v>706</v>
      </c>
      <c r="C55" s="517">
        <f>SUM(C47+C54)</f>
        <v>138622513</v>
      </c>
      <c r="D55" s="517">
        <f>SUM(D47+D54)</f>
        <v>122303334</v>
      </c>
      <c r="E55" s="517">
        <f t="shared" si="4"/>
        <v>-16319179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70434181</v>
      </c>
      <c r="D58" s="513">
        <v>87493870</v>
      </c>
      <c r="E58" s="514">
        <f t="shared" ref="E58:E66" si="5">D58-C58</f>
        <v>17059689</v>
      </c>
    </row>
    <row r="59" spans="1:5" s="506" customFormat="1" x14ac:dyDescent="0.2">
      <c r="A59" s="512">
        <v>2</v>
      </c>
      <c r="B59" s="511" t="s">
        <v>618</v>
      </c>
      <c r="C59" s="513">
        <v>31957894</v>
      </c>
      <c r="D59" s="515">
        <v>35427199</v>
      </c>
      <c r="E59" s="514">
        <f t="shared" si="5"/>
        <v>3469305</v>
      </c>
    </row>
    <row r="60" spans="1:5" s="506" customFormat="1" x14ac:dyDescent="0.2">
      <c r="A60" s="512">
        <v>3</v>
      </c>
      <c r="B60" s="511" t="s">
        <v>764</v>
      </c>
      <c r="C60" s="513">
        <f>C61+C62</f>
        <v>18892611</v>
      </c>
      <c r="D60" s="515">
        <f>D61+D62</f>
        <v>19442747</v>
      </c>
      <c r="E60" s="514">
        <f t="shared" si="5"/>
        <v>550136</v>
      </c>
    </row>
    <row r="61" spans="1:5" s="506" customFormat="1" x14ac:dyDescent="0.2">
      <c r="A61" s="512">
        <v>4</v>
      </c>
      <c r="B61" s="511" t="s">
        <v>114</v>
      </c>
      <c r="C61" s="513">
        <v>18881757</v>
      </c>
      <c r="D61" s="515">
        <v>19349673</v>
      </c>
      <c r="E61" s="514">
        <f t="shared" si="5"/>
        <v>467916</v>
      </c>
    </row>
    <row r="62" spans="1:5" s="506" customFormat="1" x14ac:dyDescent="0.2">
      <c r="A62" s="512">
        <v>5</v>
      </c>
      <c r="B62" s="511" t="s">
        <v>731</v>
      </c>
      <c r="C62" s="513">
        <v>10854</v>
      </c>
      <c r="D62" s="515">
        <v>93074</v>
      </c>
      <c r="E62" s="514">
        <f t="shared" si="5"/>
        <v>82220</v>
      </c>
    </row>
    <row r="63" spans="1:5" s="506" customFormat="1" x14ac:dyDescent="0.2">
      <c r="A63" s="512">
        <v>6</v>
      </c>
      <c r="B63" s="511" t="s">
        <v>430</v>
      </c>
      <c r="C63" s="513">
        <v>647617</v>
      </c>
      <c r="D63" s="515">
        <v>700897</v>
      </c>
      <c r="E63" s="514">
        <f t="shared" si="5"/>
        <v>53280</v>
      </c>
    </row>
    <row r="64" spans="1:5" s="506" customFormat="1" x14ac:dyDescent="0.2">
      <c r="A64" s="512">
        <v>7</v>
      </c>
      <c r="B64" s="511" t="s">
        <v>746</v>
      </c>
      <c r="C64" s="513">
        <v>342475</v>
      </c>
      <c r="D64" s="515">
        <v>567343</v>
      </c>
      <c r="E64" s="514">
        <f t="shared" si="5"/>
        <v>224868</v>
      </c>
    </row>
    <row r="65" spans="1:5" s="506" customFormat="1" x14ac:dyDescent="0.2">
      <c r="A65" s="512"/>
      <c r="B65" s="516" t="s">
        <v>779</v>
      </c>
      <c r="C65" s="517">
        <f>SUM(C59+C60+C63)</f>
        <v>51498122</v>
      </c>
      <c r="D65" s="517">
        <f>SUM(D59+D60+D63)</f>
        <v>55570843</v>
      </c>
      <c r="E65" s="517">
        <f t="shared" si="5"/>
        <v>4072721</v>
      </c>
    </row>
    <row r="66" spans="1:5" s="506" customFormat="1" x14ac:dyDescent="0.2">
      <c r="A66" s="512"/>
      <c r="B66" s="516" t="s">
        <v>712</v>
      </c>
      <c r="C66" s="517">
        <f>SUM(C58+C65)</f>
        <v>121932303</v>
      </c>
      <c r="D66" s="517">
        <f>SUM(D58+D65)</f>
        <v>143064713</v>
      </c>
      <c r="E66" s="517">
        <f t="shared" si="5"/>
        <v>21132410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118943654</v>
      </c>
      <c r="D69" s="514">
        <f t="shared" si="6"/>
        <v>125837607</v>
      </c>
      <c r="E69" s="514">
        <f t="shared" ref="E69:E77" si="7">D69-C69</f>
        <v>6893953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101332103</v>
      </c>
      <c r="D70" s="514">
        <f t="shared" si="6"/>
        <v>100992281</v>
      </c>
      <c r="E70" s="514">
        <f t="shared" si="7"/>
        <v>-339822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38914936</v>
      </c>
      <c r="D71" s="514">
        <f t="shared" si="6"/>
        <v>37576701</v>
      </c>
      <c r="E71" s="514">
        <f t="shared" si="7"/>
        <v>-1338235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38857271</v>
      </c>
      <c r="D72" s="514">
        <f t="shared" si="6"/>
        <v>37451183</v>
      </c>
      <c r="E72" s="514">
        <f t="shared" si="7"/>
        <v>-1406088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57665</v>
      </c>
      <c r="D73" s="514">
        <f t="shared" si="6"/>
        <v>125518</v>
      </c>
      <c r="E73" s="514">
        <f t="shared" si="7"/>
        <v>67853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1364123</v>
      </c>
      <c r="D74" s="514">
        <f t="shared" si="6"/>
        <v>961458</v>
      </c>
      <c r="E74" s="514">
        <f t="shared" si="7"/>
        <v>-402665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573078</v>
      </c>
      <c r="D75" s="514">
        <f t="shared" si="6"/>
        <v>603170</v>
      </c>
      <c r="E75" s="514">
        <f t="shared" si="7"/>
        <v>30092</v>
      </c>
    </row>
    <row r="76" spans="1:5" s="506" customFormat="1" x14ac:dyDescent="0.2">
      <c r="A76" s="512"/>
      <c r="B76" s="516" t="s">
        <v>780</v>
      </c>
      <c r="C76" s="517">
        <f>SUM(C70+C71+C74)</f>
        <v>141611162</v>
      </c>
      <c r="D76" s="517">
        <f>SUM(D70+D71+D74)</f>
        <v>139530440</v>
      </c>
      <c r="E76" s="517">
        <f t="shared" si="7"/>
        <v>-2080722</v>
      </c>
    </row>
    <row r="77" spans="1:5" s="506" customFormat="1" x14ac:dyDescent="0.2">
      <c r="A77" s="512"/>
      <c r="B77" s="516" t="s">
        <v>714</v>
      </c>
      <c r="C77" s="517">
        <f>SUM(C69+C76)</f>
        <v>260554816</v>
      </c>
      <c r="D77" s="517">
        <f>SUM(D69+D76)</f>
        <v>265368047</v>
      </c>
      <c r="E77" s="517">
        <f t="shared" si="7"/>
        <v>4813231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0.14942265740349189</v>
      </c>
      <c r="D83" s="523">
        <f t="shared" si="8"/>
        <v>0.10845662655909193</v>
      </c>
      <c r="E83" s="523">
        <f t="shared" ref="E83:E91" si="9">D83-C83</f>
        <v>-4.0966030844399967E-2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0.21622806029614597</v>
      </c>
      <c r="D84" s="523">
        <f t="shared" si="8"/>
        <v>0.22534001299107137</v>
      </c>
      <c r="E84" s="523">
        <f t="shared" si="9"/>
        <v>9.1119526949254015E-3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0.11568912244302305</v>
      </c>
      <c r="D85" s="523">
        <f t="shared" si="8"/>
        <v>9.972265255034253E-2</v>
      </c>
      <c r="E85" s="523">
        <f t="shared" si="9"/>
        <v>-1.5966469892680524E-2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0.11518659785131218</v>
      </c>
      <c r="D86" s="523">
        <f t="shared" si="8"/>
        <v>9.9527898412926169E-2</v>
      </c>
      <c r="E86" s="523">
        <f t="shared" si="9"/>
        <v>-1.5658699438386006E-2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5.0252459171087752E-4</v>
      </c>
      <c r="D87" s="523">
        <f t="shared" si="8"/>
        <v>1.947541374163674E-4</v>
      </c>
      <c r="E87" s="523">
        <f t="shared" si="9"/>
        <v>-3.0777045429451012E-4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4.268812526308818E-3</v>
      </c>
      <c r="D88" s="523">
        <f t="shared" si="8"/>
        <v>1.2853201257983051E-3</v>
      </c>
      <c r="E88" s="523">
        <f t="shared" si="9"/>
        <v>-2.9834924005105127E-3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2.2032471989494088E-3</v>
      </c>
      <c r="D89" s="523">
        <f t="shared" si="8"/>
        <v>1.2262385437496462E-3</v>
      </c>
      <c r="E89" s="523">
        <f t="shared" si="9"/>
        <v>-9.7700865519976263E-4</v>
      </c>
    </row>
    <row r="90" spans="1:5" s="506" customFormat="1" x14ac:dyDescent="0.2">
      <c r="A90" s="512"/>
      <c r="B90" s="516" t="s">
        <v>783</v>
      </c>
      <c r="C90" s="524">
        <f>SUM(C84+C85+C88)</f>
        <v>0.33618599526547788</v>
      </c>
      <c r="D90" s="524">
        <f>SUM(D84+D85+D88)</f>
        <v>0.32634798566721218</v>
      </c>
      <c r="E90" s="525">
        <f t="shared" si="9"/>
        <v>-9.8380095982656957E-3</v>
      </c>
    </row>
    <row r="91" spans="1:5" s="506" customFormat="1" x14ac:dyDescent="0.2">
      <c r="A91" s="512"/>
      <c r="B91" s="516" t="s">
        <v>784</v>
      </c>
      <c r="C91" s="524">
        <f>SUM(C83+C90)</f>
        <v>0.4856086526689698</v>
      </c>
      <c r="D91" s="524">
        <f>SUM(D83+D90)</f>
        <v>0.43480461222630412</v>
      </c>
      <c r="E91" s="525">
        <f t="shared" si="9"/>
        <v>-5.0804040442665677E-2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0.25796547166344114</v>
      </c>
      <c r="D95" s="523">
        <f t="shared" si="10"/>
        <v>0.27535607874517781</v>
      </c>
      <c r="E95" s="523">
        <f t="shared" ref="E95:E103" si="11">D95-C95</f>
        <v>1.7390607081736675E-2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0.17032632503428266</v>
      </c>
      <c r="D96" s="523">
        <f t="shared" si="10"/>
        <v>0.1949417270920836</v>
      </c>
      <c r="E96" s="523">
        <f t="shared" si="11"/>
        <v>2.4615402057800939E-2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8.2743542834701256E-2</v>
      </c>
      <c r="D97" s="523">
        <f t="shared" si="10"/>
        <v>9.1409350543023127E-2</v>
      </c>
      <c r="E97" s="523">
        <f t="shared" si="11"/>
        <v>8.665807708321871E-3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8.24643175388384E-2</v>
      </c>
      <c r="D98" s="523">
        <f t="shared" si="10"/>
        <v>9.1195100623416361E-2</v>
      </c>
      <c r="E98" s="523">
        <f t="shared" si="11"/>
        <v>8.7307830845779616E-3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2.7922529586285464E-4</v>
      </c>
      <c r="D99" s="523">
        <f t="shared" si="10"/>
        <v>2.1424991960676052E-4</v>
      </c>
      <c r="E99" s="523">
        <f t="shared" si="11"/>
        <v>-6.4975376256094119E-5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3.3560077986051848E-3</v>
      </c>
      <c r="D100" s="523">
        <f t="shared" si="10"/>
        <v>3.4882313934113162E-3</v>
      </c>
      <c r="E100" s="523">
        <f t="shared" si="11"/>
        <v>1.3222359480613132E-4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4.604228004102217E-3</v>
      </c>
      <c r="D101" s="523">
        <f t="shared" si="10"/>
        <v>5.1355194089257056E-3</v>
      </c>
      <c r="E101" s="523">
        <f t="shared" si="11"/>
        <v>5.3129140482348867E-4</v>
      </c>
    </row>
    <row r="102" spans="1:5" s="506" customFormat="1" x14ac:dyDescent="0.2">
      <c r="A102" s="512"/>
      <c r="B102" s="516" t="s">
        <v>786</v>
      </c>
      <c r="C102" s="524">
        <f>SUM(C96+C97+C100)</f>
        <v>0.25642587566758906</v>
      </c>
      <c r="D102" s="524">
        <f>SUM(D96+D97+D100)</f>
        <v>0.28983930902851801</v>
      </c>
      <c r="E102" s="525">
        <f t="shared" si="11"/>
        <v>3.3413433360928946E-2</v>
      </c>
    </row>
    <row r="103" spans="1:5" s="506" customFormat="1" x14ac:dyDescent="0.2">
      <c r="A103" s="512"/>
      <c r="B103" s="516" t="s">
        <v>787</v>
      </c>
      <c r="C103" s="524">
        <f>SUM(C95+C102)</f>
        <v>0.5143913473310302</v>
      </c>
      <c r="D103" s="524">
        <f>SUM(D95+D102)</f>
        <v>0.56519538777369582</v>
      </c>
      <c r="E103" s="525">
        <f t="shared" si="11"/>
        <v>5.0804040442665621E-2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0.18617761031905086</v>
      </c>
      <c r="D109" s="523">
        <f t="shared" si="12"/>
        <v>0.14449266757425397</v>
      </c>
      <c r="E109" s="523">
        <f t="shared" ref="E109:E117" si="13">D109-C109</f>
        <v>-4.1684942744796893E-2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0.26625571564948547</v>
      </c>
      <c r="D110" s="523">
        <f t="shared" si="12"/>
        <v>0.24707225583945305</v>
      </c>
      <c r="E110" s="523">
        <f t="shared" si="13"/>
        <v>-1.9183459810032416E-2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7.6844962251628457E-2</v>
      </c>
      <c r="D111" s="523">
        <f t="shared" si="12"/>
        <v>6.8335107429117123E-2</v>
      </c>
      <c r="E111" s="523">
        <f t="shared" si="13"/>
        <v>-8.5098548225113341E-3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7.6665303319513392E-2</v>
      </c>
      <c r="D112" s="523">
        <f t="shared" si="12"/>
        <v>6.8212847042583083E-2</v>
      </c>
      <c r="E112" s="523">
        <f t="shared" si="13"/>
        <v>-8.4524562769303091E-3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1.7965893211507555E-4</v>
      </c>
      <c r="D113" s="523">
        <f t="shared" si="12"/>
        <v>1.2226038653402759E-4</v>
      </c>
      <c r="E113" s="523">
        <f t="shared" si="13"/>
        <v>-5.7398545581047958E-5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2.7499242232390747E-3</v>
      </c>
      <c r="D114" s="523">
        <f t="shared" si="12"/>
        <v>9.8188535863927891E-4</v>
      </c>
      <c r="E114" s="523">
        <f t="shared" si="13"/>
        <v>-1.7680388645997958E-3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8.8504600889818136E-4</v>
      </c>
      <c r="D115" s="523">
        <f t="shared" si="12"/>
        <v>1.3500871866460999E-4</v>
      </c>
      <c r="E115" s="523">
        <f t="shared" si="13"/>
        <v>-7.5003729023357139E-4</v>
      </c>
    </row>
    <row r="116" spans="1:5" s="506" customFormat="1" x14ac:dyDescent="0.2">
      <c r="A116" s="512"/>
      <c r="B116" s="516" t="s">
        <v>783</v>
      </c>
      <c r="C116" s="524">
        <f>SUM(C110+C111+C114)</f>
        <v>0.34585060212435298</v>
      </c>
      <c r="D116" s="524">
        <f>SUM(D110+D111+D114)</f>
        <v>0.31638924862720946</v>
      </c>
      <c r="E116" s="525">
        <f t="shared" si="13"/>
        <v>-2.9461353497143516E-2</v>
      </c>
    </row>
    <row r="117" spans="1:5" s="506" customFormat="1" x14ac:dyDescent="0.2">
      <c r="A117" s="512"/>
      <c r="B117" s="516" t="s">
        <v>784</v>
      </c>
      <c r="C117" s="524">
        <f>SUM(C109+C116)</f>
        <v>0.53202821244340381</v>
      </c>
      <c r="D117" s="524">
        <f>SUM(D109+D116)</f>
        <v>0.46088191620146346</v>
      </c>
      <c r="E117" s="525">
        <f t="shared" si="13"/>
        <v>-7.1146296241940354E-2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0.27032385001089365</v>
      </c>
      <c r="D121" s="523">
        <f t="shared" si="14"/>
        <v>0.32970763054980767</v>
      </c>
      <c r="E121" s="523">
        <f t="shared" ref="E121:E129" si="15">D121-C121</f>
        <v>5.9383780538914022E-2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0.12265324621748692</v>
      </c>
      <c r="D122" s="523">
        <f t="shared" si="14"/>
        <v>0.13350212808401909</v>
      </c>
      <c r="E122" s="523">
        <f t="shared" si="15"/>
        <v>1.084888186653217E-2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7.2509160605958634E-2</v>
      </c>
      <c r="D123" s="523">
        <f t="shared" si="14"/>
        <v>7.3267099109336251E-2</v>
      </c>
      <c r="E123" s="523">
        <f t="shared" si="15"/>
        <v>7.5793850337761703E-4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7.2467503344862377E-2</v>
      </c>
      <c r="D124" s="523">
        <f t="shared" si="14"/>
        <v>7.2916363589170183E-2</v>
      </c>
      <c r="E124" s="523">
        <f t="shared" si="15"/>
        <v>4.4886024430780547E-4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4.1657261096260068E-5</v>
      </c>
      <c r="D125" s="523">
        <f t="shared" si="14"/>
        <v>3.5073552016607332E-4</v>
      </c>
      <c r="E125" s="523">
        <f t="shared" si="15"/>
        <v>3.0907825906981325E-4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2.4855307222569241E-3</v>
      </c>
      <c r="D126" s="523">
        <f t="shared" si="14"/>
        <v>2.6412260553735772E-3</v>
      </c>
      <c r="E126" s="523">
        <f t="shared" si="15"/>
        <v>1.5569533311665315E-4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1.3144067158597445E-3</v>
      </c>
      <c r="D127" s="523">
        <f t="shared" si="14"/>
        <v>2.1379476783804346E-3</v>
      </c>
      <c r="E127" s="523">
        <f t="shared" si="15"/>
        <v>8.235409625206901E-4</v>
      </c>
    </row>
    <row r="128" spans="1:5" s="506" customFormat="1" x14ac:dyDescent="0.2">
      <c r="A128" s="512"/>
      <c r="B128" s="516" t="s">
        <v>786</v>
      </c>
      <c r="C128" s="524">
        <f>SUM(C122+C123+C126)</f>
        <v>0.19764793754570248</v>
      </c>
      <c r="D128" s="524">
        <f>SUM(D122+D123+D126)</f>
        <v>0.20941045324872892</v>
      </c>
      <c r="E128" s="525">
        <f t="shared" si="15"/>
        <v>1.1762515703026444E-2</v>
      </c>
    </row>
    <row r="129" spans="1:5" s="506" customFormat="1" x14ac:dyDescent="0.2">
      <c r="A129" s="512"/>
      <c r="B129" s="516" t="s">
        <v>787</v>
      </c>
      <c r="C129" s="524">
        <f>SUM(C121+C128)</f>
        <v>0.46797178755659613</v>
      </c>
      <c r="D129" s="524">
        <f>SUM(D121+D128)</f>
        <v>0.53911808379853654</v>
      </c>
      <c r="E129" s="525">
        <f t="shared" si="15"/>
        <v>7.114629624194041E-2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3328</v>
      </c>
      <c r="D137" s="530">
        <v>2580</v>
      </c>
      <c r="E137" s="531">
        <f t="shared" ref="E137:E145" si="16">D137-C137</f>
        <v>-748</v>
      </c>
    </row>
    <row r="138" spans="1:5" s="506" customFormat="1" x14ac:dyDescent="0.2">
      <c r="A138" s="512">
        <v>2</v>
      </c>
      <c r="B138" s="511" t="s">
        <v>618</v>
      </c>
      <c r="C138" s="530">
        <v>3811</v>
      </c>
      <c r="D138" s="530">
        <v>3700</v>
      </c>
      <c r="E138" s="531">
        <f t="shared" si="16"/>
        <v>-111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1881</v>
      </c>
      <c r="D139" s="530">
        <f>D140+D141</f>
        <v>2053</v>
      </c>
      <c r="E139" s="531">
        <f t="shared" si="16"/>
        <v>172</v>
      </c>
    </row>
    <row r="140" spans="1:5" s="506" customFormat="1" x14ac:dyDescent="0.2">
      <c r="A140" s="512">
        <v>4</v>
      </c>
      <c r="B140" s="511" t="s">
        <v>114</v>
      </c>
      <c r="C140" s="530">
        <v>1872</v>
      </c>
      <c r="D140" s="530">
        <v>2050</v>
      </c>
      <c r="E140" s="531">
        <f t="shared" si="16"/>
        <v>178</v>
      </c>
    </row>
    <row r="141" spans="1:5" s="506" customFormat="1" x14ac:dyDescent="0.2">
      <c r="A141" s="512">
        <v>5</v>
      </c>
      <c r="B141" s="511" t="s">
        <v>731</v>
      </c>
      <c r="C141" s="530">
        <v>9</v>
      </c>
      <c r="D141" s="530">
        <v>3</v>
      </c>
      <c r="E141" s="531">
        <f t="shared" si="16"/>
        <v>-6</v>
      </c>
    </row>
    <row r="142" spans="1:5" s="506" customFormat="1" x14ac:dyDescent="0.2">
      <c r="A142" s="512">
        <v>6</v>
      </c>
      <c r="B142" s="511" t="s">
        <v>430</v>
      </c>
      <c r="C142" s="530">
        <v>62</v>
      </c>
      <c r="D142" s="530">
        <v>41</v>
      </c>
      <c r="E142" s="531">
        <f t="shared" si="16"/>
        <v>-21</v>
      </c>
    </row>
    <row r="143" spans="1:5" s="506" customFormat="1" x14ac:dyDescent="0.2">
      <c r="A143" s="512">
        <v>7</v>
      </c>
      <c r="B143" s="511" t="s">
        <v>746</v>
      </c>
      <c r="C143" s="530">
        <v>50</v>
      </c>
      <c r="D143" s="530">
        <v>39</v>
      </c>
      <c r="E143" s="531">
        <f t="shared" si="16"/>
        <v>-11</v>
      </c>
    </row>
    <row r="144" spans="1:5" s="506" customFormat="1" x14ac:dyDescent="0.2">
      <c r="A144" s="512"/>
      <c r="B144" s="516" t="s">
        <v>794</v>
      </c>
      <c r="C144" s="532">
        <f>SUM(C138+C139+C142)</f>
        <v>5754</v>
      </c>
      <c r="D144" s="532">
        <f>SUM(D138+D139+D142)</f>
        <v>5794</v>
      </c>
      <c r="E144" s="533">
        <f t="shared" si="16"/>
        <v>40</v>
      </c>
    </row>
    <row r="145" spans="1:5" s="506" customFormat="1" x14ac:dyDescent="0.2">
      <c r="A145" s="512"/>
      <c r="B145" s="516" t="s">
        <v>708</v>
      </c>
      <c r="C145" s="532">
        <f>SUM(C137+C144)</f>
        <v>9082</v>
      </c>
      <c r="D145" s="532">
        <f>SUM(D137+D144)</f>
        <v>8374</v>
      </c>
      <c r="E145" s="533">
        <f t="shared" si="16"/>
        <v>-708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17563</v>
      </c>
      <c r="D149" s="534">
        <v>9764</v>
      </c>
      <c r="E149" s="531">
        <f t="shared" ref="E149:E157" si="17">D149-C149</f>
        <v>-7799</v>
      </c>
    </row>
    <row r="150" spans="1:5" s="506" customFormat="1" x14ac:dyDescent="0.2">
      <c r="A150" s="512">
        <v>2</v>
      </c>
      <c r="B150" s="511" t="s">
        <v>618</v>
      </c>
      <c r="C150" s="534">
        <v>19382</v>
      </c>
      <c r="D150" s="534">
        <v>19700</v>
      </c>
      <c r="E150" s="531">
        <f t="shared" si="17"/>
        <v>318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14140</v>
      </c>
      <c r="D151" s="534">
        <f>D152+D153</f>
        <v>10711</v>
      </c>
      <c r="E151" s="531">
        <f t="shared" si="17"/>
        <v>-3429</v>
      </c>
    </row>
    <row r="152" spans="1:5" s="506" customFormat="1" x14ac:dyDescent="0.2">
      <c r="A152" s="512">
        <v>4</v>
      </c>
      <c r="B152" s="511" t="s">
        <v>114</v>
      </c>
      <c r="C152" s="534">
        <v>14060</v>
      </c>
      <c r="D152" s="534">
        <v>10697</v>
      </c>
      <c r="E152" s="531">
        <f t="shared" si="17"/>
        <v>-3363</v>
      </c>
    </row>
    <row r="153" spans="1:5" s="506" customFormat="1" x14ac:dyDescent="0.2">
      <c r="A153" s="512">
        <v>5</v>
      </c>
      <c r="B153" s="511" t="s">
        <v>731</v>
      </c>
      <c r="C153" s="535">
        <v>80</v>
      </c>
      <c r="D153" s="534">
        <v>14</v>
      </c>
      <c r="E153" s="531">
        <f t="shared" si="17"/>
        <v>-66</v>
      </c>
    </row>
    <row r="154" spans="1:5" s="506" customFormat="1" x14ac:dyDescent="0.2">
      <c r="A154" s="512">
        <v>6</v>
      </c>
      <c r="B154" s="511" t="s">
        <v>430</v>
      </c>
      <c r="C154" s="534">
        <v>529</v>
      </c>
      <c r="D154" s="534">
        <v>120</v>
      </c>
      <c r="E154" s="531">
        <f t="shared" si="17"/>
        <v>-409</v>
      </c>
    </row>
    <row r="155" spans="1:5" s="506" customFormat="1" x14ac:dyDescent="0.2">
      <c r="A155" s="512">
        <v>7</v>
      </c>
      <c r="B155" s="511" t="s">
        <v>746</v>
      </c>
      <c r="C155" s="534">
        <v>234</v>
      </c>
      <c r="D155" s="534">
        <v>145</v>
      </c>
      <c r="E155" s="531">
        <f t="shared" si="17"/>
        <v>-89</v>
      </c>
    </row>
    <row r="156" spans="1:5" s="506" customFormat="1" x14ac:dyDescent="0.2">
      <c r="A156" s="512"/>
      <c r="B156" s="516" t="s">
        <v>795</v>
      </c>
      <c r="C156" s="532">
        <f>SUM(C150+C151+C154)</f>
        <v>34051</v>
      </c>
      <c r="D156" s="532">
        <f>SUM(D150+D151+D154)</f>
        <v>30531</v>
      </c>
      <c r="E156" s="533">
        <f t="shared" si="17"/>
        <v>-3520</v>
      </c>
    </row>
    <row r="157" spans="1:5" s="506" customFormat="1" x14ac:dyDescent="0.2">
      <c r="A157" s="512"/>
      <c r="B157" s="516" t="s">
        <v>796</v>
      </c>
      <c r="C157" s="532">
        <f>SUM(C149+C156)</f>
        <v>51614</v>
      </c>
      <c r="D157" s="532">
        <f>SUM(D149+D156)</f>
        <v>40295</v>
      </c>
      <c r="E157" s="533">
        <f t="shared" si="17"/>
        <v>-11319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5.27734375</v>
      </c>
      <c r="D161" s="536">
        <f t="shared" si="18"/>
        <v>3.7844961240310075</v>
      </c>
      <c r="E161" s="537">
        <f t="shared" ref="E161:E169" si="19">D161-C161</f>
        <v>-1.4928476259689925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5.085804250852795</v>
      </c>
      <c r="D162" s="536">
        <f t="shared" si="18"/>
        <v>5.3243243243243246</v>
      </c>
      <c r="E162" s="537">
        <f t="shared" si="19"/>
        <v>0.23852007347152959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7.5172780435938327</v>
      </c>
      <c r="D163" s="536">
        <f t="shared" si="18"/>
        <v>5.2172430589381396</v>
      </c>
      <c r="E163" s="537">
        <f t="shared" si="19"/>
        <v>-2.3000349846556931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7.5106837606837606</v>
      </c>
      <c r="D164" s="536">
        <f t="shared" si="18"/>
        <v>5.2180487804878046</v>
      </c>
      <c r="E164" s="537">
        <f t="shared" si="19"/>
        <v>-2.292634980195956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8.8888888888888893</v>
      </c>
      <c r="D165" s="536">
        <f t="shared" si="18"/>
        <v>4.666666666666667</v>
      </c>
      <c r="E165" s="537">
        <f t="shared" si="19"/>
        <v>-4.2222222222222223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8.5322580645161299</v>
      </c>
      <c r="D166" s="536">
        <f t="shared" si="18"/>
        <v>2.9268292682926829</v>
      </c>
      <c r="E166" s="537">
        <f t="shared" si="19"/>
        <v>-5.605428796223447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4.68</v>
      </c>
      <c r="D167" s="536">
        <f t="shared" si="18"/>
        <v>3.7179487179487181</v>
      </c>
      <c r="E167" s="537">
        <f t="shared" si="19"/>
        <v>-0.96205128205128165</v>
      </c>
    </row>
    <row r="168" spans="1:5" s="506" customFormat="1" x14ac:dyDescent="0.2">
      <c r="A168" s="512"/>
      <c r="B168" s="516" t="s">
        <v>798</v>
      </c>
      <c r="C168" s="538">
        <f t="shared" si="18"/>
        <v>5.9177963156065347</v>
      </c>
      <c r="D168" s="538">
        <f t="shared" si="18"/>
        <v>5.2694166379012772</v>
      </c>
      <c r="E168" s="539">
        <f t="shared" si="19"/>
        <v>-0.64837967770525751</v>
      </c>
    </row>
    <row r="169" spans="1:5" s="506" customFormat="1" x14ac:dyDescent="0.2">
      <c r="A169" s="512"/>
      <c r="B169" s="516" t="s">
        <v>732</v>
      </c>
      <c r="C169" s="538">
        <f t="shared" si="18"/>
        <v>5.683109447258313</v>
      </c>
      <c r="D169" s="538">
        <f t="shared" si="18"/>
        <v>4.8119178409362311</v>
      </c>
      <c r="E169" s="539">
        <f t="shared" si="19"/>
        <v>-0.87119160632208192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1.4120999999999999</v>
      </c>
      <c r="D173" s="541">
        <f t="shared" si="20"/>
        <v>1.3021</v>
      </c>
      <c r="E173" s="542">
        <f t="shared" ref="E173:E181" si="21">D173-C173</f>
        <v>-0.10999999999999988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1.5492999999999999</v>
      </c>
      <c r="D174" s="541">
        <f t="shared" si="20"/>
        <v>1.5752999999999999</v>
      </c>
      <c r="E174" s="542">
        <f t="shared" si="21"/>
        <v>2.6000000000000023E-2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1.3355224880382774</v>
      </c>
      <c r="D175" s="541">
        <f t="shared" si="20"/>
        <v>1.2922648319532393</v>
      </c>
      <c r="E175" s="542">
        <f t="shared" si="21"/>
        <v>-4.3257656085038176E-2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1.3310999999999999</v>
      </c>
      <c r="D176" s="541">
        <f t="shared" si="20"/>
        <v>1.2915000000000001</v>
      </c>
      <c r="E176" s="542">
        <f t="shared" si="21"/>
        <v>-3.9599999999999858E-2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2.2553999999999998</v>
      </c>
      <c r="D177" s="541">
        <f t="shared" si="20"/>
        <v>1.8149</v>
      </c>
      <c r="E177" s="542">
        <f t="shared" si="21"/>
        <v>-0.44049999999999989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1.5218</v>
      </c>
      <c r="D178" s="541">
        <f t="shared" si="20"/>
        <v>1.226</v>
      </c>
      <c r="E178" s="542">
        <f t="shared" si="21"/>
        <v>-0.29580000000000006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1.3480000000000001</v>
      </c>
      <c r="D179" s="541">
        <f t="shared" si="20"/>
        <v>0.99029999999999996</v>
      </c>
      <c r="E179" s="542">
        <f t="shared" si="21"/>
        <v>-0.35770000000000013</v>
      </c>
    </row>
    <row r="180" spans="1:5" s="506" customFormat="1" x14ac:dyDescent="0.2">
      <c r="A180" s="512"/>
      <c r="B180" s="516" t="s">
        <v>800</v>
      </c>
      <c r="C180" s="543">
        <f t="shared" si="20"/>
        <v>1.4791191692735488</v>
      </c>
      <c r="D180" s="543">
        <f t="shared" si="20"/>
        <v>1.4725398170521227</v>
      </c>
      <c r="E180" s="544">
        <f t="shared" si="21"/>
        <v>-6.579352221426138E-3</v>
      </c>
    </row>
    <row r="181" spans="1:5" s="506" customFormat="1" x14ac:dyDescent="0.2">
      <c r="A181" s="512"/>
      <c r="B181" s="516" t="s">
        <v>709</v>
      </c>
      <c r="C181" s="543">
        <f t="shared" si="20"/>
        <v>1.4545607245100196</v>
      </c>
      <c r="D181" s="543">
        <f t="shared" si="20"/>
        <v>1.4200279078098876</v>
      </c>
      <c r="E181" s="544">
        <f t="shared" si="21"/>
        <v>-3.4532816700131974E-2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213799162</v>
      </c>
      <c r="D185" s="513">
        <v>201989626</v>
      </c>
      <c r="E185" s="514">
        <f>D185-C185</f>
        <v>-11809536</v>
      </c>
    </row>
    <row r="186" spans="1:5" s="506" customFormat="1" ht="25.5" x14ac:dyDescent="0.2">
      <c r="A186" s="512">
        <v>2</v>
      </c>
      <c r="B186" s="511" t="s">
        <v>803</v>
      </c>
      <c r="C186" s="513">
        <v>120391584</v>
      </c>
      <c r="D186" s="513">
        <v>125234436</v>
      </c>
      <c r="E186" s="514">
        <f>D186-C186</f>
        <v>4842852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93407578</v>
      </c>
      <c r="D188" s="546">
        <f>+D185-D186</f>
        <v>76755190</v>
      </c>
      <c r="E188" s="514">
        <f t="shared" ref="E188:E197" si="22">D188-C188</f>
        <v>-16652388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0.43689403235359736</v>
      </c>
      <c r="D189" s="547">
        <f>IF(D185=0,0,+D188/D185)</f>
        <v>0.37999570334369548</v>
      </c>
      <c r="E189" s="523">
        <f t="shared" si="22"/>
        <v>-5.6898329009901882E-2</v>
      </c>
    </row>
    <row r="190" spans="1:5" s="506" customFormat="1" x14ac:dyDescent="0.2">
      <c r="A190" s="512">
        <v>5</v>
      </c>
      <c r="B190" s="511" t="s">
        <v>750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736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873533</v>
      </c>
      <c r="D193" s="513">
        <v>477593</v>
      </c>
      <c r="E193" s="546">
        <f t="shared" si="22"/>
        <v>-395940</v>
      </c>
    </row>
    <row r="194" spans="1:5" s="506" customFormat="1" x14ac:dyDescent="0.2">
      <c r="A194" s="512">
        <v>9</v>
      </c>
      <c r="B194" s="511" t="s">
        <v>806</v>
      </c>
      <c r="C194" s="513">
        <v>2513627</v>
      </c>
      <c r="D194" s="513">
        <v>5650516</v>
      </c>
      <c r="E194" s="546">
        <f t="shared" si="22"/>
        <v>3136889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3387160</v>
      </c>
      <c r="D195" s="513">
        <f>+D193+D194</f>
        <v>6128109</v>
      </c>
      <c r="E195" s="549">
        <f t="shared" si="22"/>
        <v>2740949</v>
      </c>
    </row>
    <row r="196" spans="1:5" s="506" customFormat="1" x14ac:dyDescent="0.2">
      <c r="A196" s="512">
        <v>11</v>
      </c>
      <c r="B196" s="511" t="s">
        <v>808</v>
      </c>
      <c r="C196" s="513">
        <v>213799162</v>
      </c>
      <c r="D196" s="513">
        <v>201989626</v>
      </c>
      <c r="E196" s="546">
        <f t="shared" si="22"/>
        <v>-11809536</v>
      </c>
    </row>
    <row r="197" spans="1:5" s="506" customFormat="1" x14ac:dyDescent="0.2">
      <c r="A197" s="512">
        <v>12</v>
      </c>
      <c r="B197" s="511" t="s">
        <v>693</v>
      </c>
      <c r="C197" s="513">
        <v>262964301</v>
      </c>
      <c r="D197" s="513">
        <v>296523349</v>
      </c>
      <c r="E197" s="546">
        <f t="shared" si="22"/>
        <v>33559048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4699.4687999999996</v>
      </c>
      <c r="D203" s="553">
        <v>3359.4180000000001</v>
      </c>
      <c r="E203" s="554">
        <f t="shared" ref="E203:E211" si="23">D203-C203</f>
        <v>-1340.0507999999995</v>
      </c>
    </row>
    <row r="204" spans="1:5" s="506" customFormat="1" x14ac:dyDescent="0.2">
      <c r="A204" s="512">
        <v>2</v>
      </c>
      <c r="B204" s="511" t="s">
        <v>618</v>
      </c>
      <c r="C204" s="553">
        <v>5904.3822999999993</v>
      </c>
      <c r="D204" s="553">
        <v>5828.61</v>
      </c>
      <c r="E204" s="554">
        <f t="shared" si="23"/>
        <v>-75.772299999999632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2512.1178</v>
      </c>
      <c r="D205" s="553">
        <f>D206+D207</f>
        <v>2653.0197000000003</v>
      </c>
      <c r="E205" s="554">
        <f t="shared" si="23"/>
        <v>140.9019000000003</v>
      </c>
    </row>
    <row r="206" spans="1:5" s="506" customFormat="1" x14ac:dyDescent="0.2">
      <c r="A206" s="512">
        <v>4</v>
      </c>
      <c r="B206" s="511" t="s">
        <v>114</v>
      </c>
      <c r="C206" s="553">
        <v>2491.8191999999999</v>
      </c>
      <c r="D206" s="553">
        <v>2647.5750000000003</v>
      </c>
      <c r="E206" s="554">
        <f t="shared" si="23"/>
        <v>155.75580000000036</v>
      </c>
    </row>
    <row r="207" spans="1:5" s="506" customFormat="1" x14ac:dyDescent="0.2">
      <c r="A207" s="512">
        <v>5</v>
      </c>
      <c r="B207" s="511" t="s">
        <v>731</v>
      </c>
      <c r="C207" s="553">
        <v>20.2986</v>
      </c>
      <c r="D207" s="553">
        <v>5.4447000000000001</v>
      </c>
      <c r="E207" s="554">
        <f t="shared" si="23"/>
        <v>-14.853899999999999</v>
      </c>
    </row>
    <row r="208" spans="1:5" s="506" customFormat="1" x14ac:dyDescent="0.2">
      <c r="A208" s="512">
        <v>6</v>
      </c>
      <c r="B208" s="511" t="s">
        <v>430</v>
      </c>
      <c r="C208" s="553">
        <v>94.351600000000005</v>
      </c>
      <c r="D208" s="553">
        <v>50.265999999999998</v>
      </c>
      <c r="E208" s="554">
        <f t="shared" si="23"/>
        <v>-44.085600000000007</v>
      </c>
    </row>
    <row r="209" spans="1:5" s="506" customFormat="1" x14ac:dyDescent="0.2">
      <c r="A209" s="512">
        <v>7</v>
      </c>
      <c r="B209" s="511" t="s">
        <v>746</v>
      </c>
      <c r="C209" s="553">
        <v>67.400000000000006</v>
      </c>
      <c r="D209" s="553">
        <v>38.621699999999997</v>
      </c>
      <c r="E209" s="554">
        <f t="shared" si="23"/>
        <v>-28.778300000000009</v>
      </c>
    </row>
    <row r="210" spans="1:5" s="506" customFormat="1" x14ac:dyDescent="0.2">
      <c r="A210" s="512"/>
      <c r="B210" s="516" t="s">
        <v>811</v>
      </c>
      <c r="C210" s="555">
        <f>C204+C205+C208</f>
        <v>8510.8516999999993</v>
      </c>
      <c r="D210" s="555">
        <f>D204+D205+D208</f>
        <v>8531.8956999999991</v>
      </c>
      <c r="E210" s="556">
        <f t="shared" si="23"/>
        <v>21.043999999999869</v>
      </c>
    </row>
    <row r="211" spans="1:5" s="506" customFormat="1" x14ac:dyDescent="0.2">
      <c r="A211" s="512"/>
      <c r="B211" s="516" t="s">
        <v>710</v>
      </c>
      <c r="C211" s="555">
        <f>C210+C203</f>
        <v>13210.320499999998</v>
      </c>
      <c r="D211" s="555">
        <f>D210+D203</f>
        <v>11891.313699999999</v>
      </c>
      <c r="E211" s="556">
        <f t="shared" si="23"/>
        <v>-1319.0067999999992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5745.5081084367694</v>
      </c>
      <c r="D215" s="557">
        <f>IF(D14*D137=0,0,D25/D14*D137)</f>
        <v>6550.2561318878152</v>
      </c>
      <c r="E215" s="557">
        <f t="shared" ref="E215:E223" si="24">D215-C215</f>
        <v>804.74802345104581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3001.9860688600043</v>
      </c>
      <c r="D216" s="557">
        <f>IF(D15*D138=0,0,D26/D15*D138)</f>
        <v>3200.8713440044435</v>
      </c>
      <c r="E216" s="557">
        <f t="shared" si="24"/>
        <v>198.88527514443922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1345.2018817900509</v>
      </c>
      <c r="D217" s="557">
        <f>D218+D219</f>
        <v>1881.6676786772487</v>
      </c>
      <c r="E217" s="557">
        <f t="shared" si="24"/>
        <v>536.46579688719771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1340.2010764479483</v>
      </c>
      <c r="D218" s="557">
        <f t="shared" si="25"/>
        <v>1878.367364920904</v>
      </c>
      <c r="E218" s="557">
        <f t="shared" si="24"/>
        <v>538.16628847295578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5.0008053421026135</v>
      </c>
      <c r="D219" s="557">
        <f t="shared" si="25"/>
        <v>3.3003137563446909</v>
      </c>
      <c r="E219" s="557">
        <f t="shared" si="24"/>
        <v>-1.7004915857579226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48.742473985719577</v>
      </c>
      <c r="D220" s="557">
        <f t="shared" si="25"/>
        <v>111.26993521636223</v>
      </c>
      <c r="E220" s="557">
        <f t="shared" si="24"/>
        <v>62.52746123064265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104.4873223099452</v>
      </c>
      <c r="D221" s="557">
        <f t="shared" si="25"/>
        <v>163.33303007721602</v>
      </c>
      <c r="E221" s="557">
        <f t="shared" si="24"/>
        <v>58.845707767270824</v>
      </c>
    </row>
    <row r="222" spans="1:5" s="506" customFormat="1" x14ac:dyDescent="0.2">
      <c r="A222" s="512"/>
      <c r="B222" s="516" t="s">
        <v>813</v>
      </c>
      <c r="C222" s="558">
        <f>C216+C218+C219+C220</f>
        <v>4395.9304246357751</v>
      </c>
      <c r="D222" s="558">
        <f>D216+D218+D219+D220</f>
        <v>5193.8089578980544</v>
      </c>
      <c r="E222" s="558">
        <f t="shared" si="24"/>
        <v>797.87853326227923</v>
      </c>
    </row>
    <row r="223" spans="1:5" s="506" customFormat="1" x14ac:dyDescent="0.2">
      <c r="A223" s="512"/>
      <c r="B223" s="516" t="s">
        <v>814</v>
      </c>
      <c r="C223" s="558">
        <f>C215+C222</f>
        <v>10141.438533072545</v>
      </c>
      <c r="D223" s="558">
        <f>D215+D222</f>
        <v>11744.065089785869</v>
      </c>
      <c r="E223" s="558">
        <f t="shared" si="24"/>
        <v>1602.6265567133232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10322.331111124731</v>
      </c>
      <c r="D227" s="560">
        <f t="shared" si="26"/>
        <v>11413.80352191957</v>
      </c>
      <c r="E227" s="560">
        <f t="shared" ref="E227:E235" si="27">D227-C227</f>
        <v>1091.4724107948387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11749.613333811398</v>
      </c>
      <c r="D228" s="560">
        <f t="shared" si="26"/>
        <v>11248.836686619967</v>
      </c>
      <c r="E228" s="560">
        <f t="shared" si="27"/>
        <v>-500.77664719143104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7970.2970139378021</v>
      </c>
      <c r="D229" s="560">
        <f t="shared" si="26"/>
        <v>6835.2127200563182</v>
      </c>
      <c r="E229" s="560">
        <f t="shared" si="27"/>
        <v>-1135.084293881484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8016.4379502333077</v>
      </c>
      <c r="D230" s="560">
        <f t="shared" si="26"/>
        <v>6837.0150042963842</v>
      </c>
      <c r="E230" s="560">
        <f t="shared" si="27"/>
        <v>-1179.4229459369235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2306.1196338663749</v>
      </c>
      <c r="D231" s="560">
        <f t="shared" si="26"/>
        <v>5958.8223409921575</v>
      </c>
      <c r="E231" s="560">
        <f t="shared" si="27"/>
        <v>3652.7027071257826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7593.9994658278183</v>
      </c>
      <c r="D232" s="560">
        <f t="shared" si="26"/>
        <v>5183.6430191381851</v>
      </c>
      <c r="E232" s="560">
        <f t="shared" si="27"/>
        <v>-2410.3564466896332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3421.4094955489613</v>
      </c>
      <c r="D233" s="560">
        <f t="shared" si="26"/>
        <v>927.63912515502955</v>
      </c>
      <c r="E233" s="560">
        <f t="shared" si="27"/>
        <v>-2493.7703703939319</v>
      </c>
    </row>
    <row r="234" spans="1:5" x14ac:dyDescent="0.2">
      <c r="A234" s="512"/>
      <c r="B234" s="516" t="s">
        <v>816</v>
      </c>
      <c r="C234" s="561">
        <f t="shared" si="26"/>
        <v>10588.016708128049</v>
      </c>
      <c r="D234" s="561">
        <f t="shared" si="26"/>
        <v>9840.6731577836817</v>
      </c>
      <c r="E234" s="561">
        <f t="shared" si="27"/>
        <v>-747.34355034436703</v>
      </c>
    </row>
    <row r="235" spans="1:5" s="506" customFormat="1" x14ac:dyDescent="0.2">
      <c r="A235" s="512"/>
      <c r="B235" s="516" t="s">
        <v>817</v>
      </c>
      <c r="C235" s="561">
        <f t="shared" si="26"/>
        <v>10493.501122853153</v>
      </c>
      <c r="D235" s="561">
        <f t="shared" si="26"/>
        <v>10285.098609416049</v>
      </c>
      <c r="E235" s="561">
        <f t="shared" si="27"/>
        <v>-208.40251343710406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12258.999495027019</v>
      </c>
      <c r="D239" s="560">
        <f t="shared" si="28"/>
        <v>13357.320422031169</v>
      </c>
      <c r="E239" s="562">
        <f t="shared" ref="E239:E247" si="29">D239-C239</f>
        <v>1098.3209270041498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10645.58371256397</v>
      </c>
      <c r="D240" s="560">
        <f t="shared" si="28"/>
        <v>11067.985930255752</v>
      </c>
      <c r="E240" s="562">
        <f t="shared" si="29"/>
        <v>422.40221769178243</v>
      </c>
    </row>
    <row r="241" spans="1:5" x14ac:dyDescent="0.2">
      <c r="A241" s="512">
        <v>3</v>
      </c>
      <c r="B241" s="511" t="s">
        <v>764</v>
      </c>
      <c r="C241" s="560">
        <f t="shared" si="28"/>
        <v>14044.442886787916</v>
      </c>
      <c r="D241" s="560">
        <f t="shared" si="28"/>
        <v>10332.720926400574</v>
      </c>
      <c r="E241" s="562">
        <f t="shared" si="29"/>
        <v>-3711.7219603873418</v>
      </c>
    </row>
    <row r="242" spans="1:5" x14ac:dyDescent="0.2">
      <c r="A242" s="512">
        <v>4</v>
      </c>
      <c r="B242" s="511" t="s">
        <v>114</v>
      </c>
      <c r="C242" s="560">
        <f t="shared" si="28"/>
        <v>14088.749316665202</v>
      </c>
      <c r="D242" s="560">
        <f t="shared" si="28"/>
        <v>10301.325162138766</v>
      </c>
      <c r="E242" s="562">
        <f t="shared" si="29"/>
        <v>-3787.4241545264358</v>
      </c>
    </row>
    <row r="243" spans="1:5" x14ac:dyDescent="0.2">
      <c r="A243" s="512">
        <v>5</v>
      </c>
      <c r="B243" s="511" t="s">
        <v>731</v>
      </c>
      <c r="C243" s="560">
        <f t="shared" si="28"/>
        <v>2170.4504089808024</v>
      </c>
      <c r="D243" s="560">
        <f t="shared" si="28"/>
        <v>28201.561085236157</v>
      </c>
      <c r="E243" s="562">
        <f t="shared" si="29"/>
        <v>26031.110676255354</v>
      </c>
    </row>
    <row r="244" spans="1:5" x14ac:dyDescent="0.2">
      <c r="A244" s="512">
        <v>6</v>
      </c>
      <c r="B244" s="511" t="s">
        <v>430</v>
      </c>
      <c r="C244" s="560">
        <f t="shared" si="28"/>
        <v>13286.502449377864</v>
      </c>
      <c r="D244" s="560">
        <f t="shared" si="28"/>
        <v>6299.0690040137024</v>
      </c>
      <c r="E244" s="562">
        <f t="shared" si="29"/>
        <v>-6987.4334453641613</v>
      </c>
    </row>
    <row r="245" spans="1:5" x14ac:dyDescent="0.2">
      <c r="A245" s="512">
        <v>7</v>
      </c>
      <c r="B245" s="511" t="s">
        <v>746</v>
      </c>
      <c r="C245" s="560">
        <f t="shared" si="28"/>
        <v>3277.6703664019815</v>
      </c>
      <c r="D245" s="560">
        <f t="shared" si="28"/>
        <v>3473.5350206372063</v>
      </c>
      <c r="E245" s="562">
        <f t="shared" si="29"/>
        <v>195.86465423522486</v>
      </c>
    </row>
    <row r="246" spans="1:5" ht="25.5" x14ac:dyDescent="0.2">
      <c r="A246" s="512"/>
      <c r="B246" s="516" t="s">
        <v>819</v>
      </c>
      <c r="C246" s="561">
        <f t="shared" si="28"/>
        <v>11714.95383807556</v>
      </c>
      <c r="D246" s="561">
        <f t="shared" si="28"/>
        <v>10699.439168915762</v>
      </c>
      <c r="E246" s="563">
        <f t="shared" si="29"/>
        <v>-1015.5146691597984</v>
      </c>
    </row>
    <row r="247" spans="1:5" x14ac:dyDescent="0.2">
      <c r="A247" s="512"/>
      <c r="B247" s="516" t="s">
        <v>820</v>
      </c>
      <c r="C247" s="561">
        <f t="shared" si="28"/>
        <v>12023.176258709547</v>
      </c>
      <c r="D247" s="561">
        <f t="shared" si="28"/>
        <v>12181.873304195773</v>
      </c>
      <c r="E247" s="563">
        <f t="shared" si="29"/>
        <v>158.69704548622576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-4614534.2490050215</v>
      </c>
      <c r="D251" s="546">
        <f>((IF((IF(D15=0,0,D26/D15)*D138)=0,0,D59/(IF(D15=0,0,D26/D15)*D138)))-(IF((IF(D17=0,0,D28/D17)*D140)=0,0,D61/(IF(D17=0,0,D28/D17)*D140))))*(IF(D17=0,0,D28/D17)*D140)</f>
        <v>1440070.5667961396</v>
      </c>
      <c r="E251" s="546">
        <f>D251-C251</f>
        <v>6054604.8158011613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234072.19311729449</v>
      </c>
      <c r="D252" s="546">
        <f>IF(D231=0,0,(D228-D231)*D207)+IF(D243=0,0,(D240-D243)*D219)</f>
        <v>-27743.632671707714</v>
      </c>
      <c r="E252" s="546">
        <f>D252-C252</f>
        <v>-261815.82578900221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1331174.4752510628</v>
      </c>
      <c r="D253" s="546">
        <f>IF(D233=0,0,(D228-D233)*D209+IF(D221=0,0,(D240-D245)*D221))</f>
        <v>1639046.8747002969</v>
      </c>
      <c r="E253" s="546">
        <f>D253-C253</f>
        <v>307872.39944923413</v>
      </c>
    </row>
    <row r="254" spans="1:5" ht="15" customHeight="1" x14ac:dyDescent="0.2">
      <c r="A254" s="512"/>
      <c r="B254" s="516" t="s">
        <v>747</v>
      </c>
      <c r="C254" s="564">
        <f>+C251+C252+C253</f>
        <v>-3049287.5806366643</v>
      </c>
      <c r="D254" s="564">
        <f>+D251+D252+D253</f>
        <v>3051373.8088247287</v>
      </c>
      <c r="E254" s="564">
        <f>D254-C254</f>
        <v>6100661.3894613925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533723134</v>
      </c>
      <c r="D258" s="549">
        <f>+D44</f>
        <v>535141391</v>
      </c>
      <c r="E258" s="546">
        <f t="shared" ref="E258:E271" si="30">D258-C258</f>
        <v>1418257</v>
      </c>
    </row>
    <row r="259" spans="1:5" x14ac:dyDescent="0.2">
      <c r="A259" s="512">
        <v>2</v>
      </c>
      <c r="B259" s="511" t="s">
        <v>730</v>
      </c>
      <c r="C259" s="546">
        <f>+(C43-C76)</f>
        <v>174679503</v>
      </c>
      <c r="D259" s="549">
        <f>+(D43-D76)</f>
        <v>190216886</v>
      </c>
      <c r="E259" s="546">
        <f t="shared" si="30"/>
        <v>15537383</v>
      </c>
    </row>
    <row r="260" spans="1:5" x14ac:dyDescent="0.2">
      <c r="A260" s="512">
        <v>3</v>
      </c>
      <c r="B260" s="511" t="s">
        <v>734</v>
      </c>
      <c r="C260" s="546">
        <f>C195</f>
        <v>3387160</v>
      </c>
      <c r="D260" s="546">
        <f>D195</f>
        <v>6128109</v>
      </c>
      <c r="E260" s="546">
        <f t="shared" si="30"/>
        <v>2740949</v>
      </c>
    </row>
    <row r="261" spans="1:5" x14ac:dyDescent="0.2">
      <c r="A261" s="512">
        <v>4</v>
      </c>
      <c r="B261" s="511" t="s">
        <v>735</v>
      </c>
      <c r="C261" s="546">
        <f>C188</f>
        <v>93407578</v>
      </c>
      <c r="D261" s="546">
        <f>D188</f>
        <v>76755190</v>
      </c>
      <c r="E261" s="546">
        <f t="shared" si="30"/>
        <v>-16652388</v>
      </c>
    </row>
    <row r="262" spans="1:5" x14ac:dyDescent="0.2">
      <c r="A262" s="512">
        <v>5</v>
      </c>
      <c r="B262" s="511" t="s">
        <v>736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737</v>
      </c>
      <c r="C263" s="546">
        <f>+C259+C260+C261+C262</f>
        <v>271474241</v>
      </c>
      <c r="D263" s="546">
        <f>+D259+D260+D261+D262</f>
        <v>273100185</v>
      </c>
      <c r="E263" s="546">
        <f t="shared" si="30"/>
        <v>1625944</v>
      </c>
    </row>
    <row r="264" spans="1:5" x14ac:dyDescent="0.2">
      <c r="A264" s="512">
        <v>7</v>
      </c>
      <c r="B264" s="511" t="s">
        <v>637</v>
      </c>
      <c r="C264" s="546">
        <f>+C258-C263</f>
        <v>262248893</v>
      </c>
      <c r="D264" s="546">
        <f>+D258-D263</f>
        <v>262041206</v>
      </c>
      <c r="E264" s="546">
        <f t="shared" si="30"/>
        <v>-207687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262248893</v>
      </c>
      <c r="D266" s="546">
        <f>+D264+D265</f>
        <v>262041206</v>
      </c>
      <c r="E266" s="565">
        <f t="shared" si="30"/>
        <v>-207687</v>
      </c>
    </row>
    <row r="267" spans="1:5" x14ac:dyDescent="0.2">
      <c r="A267" s="512">
        <v>10</v>
      </c>
      <c r="B267" s="511" t="s">
        <v>825</v>
      </c>
      <c r="C267" s="566">
        <f>IF(C258=0,0,C266/C258)</f>
        <v>0.49135755280939347</v>
      </c>
      <c r="D267" s="566">
        <f>IF(D258=0,0,D266/D258)</f>
        <v>0.48966723637342419</v>
      </c>
      <c r="E267" s="567">
        <f t="shared" si="30"/>
        <v>-1.6903164359692857E-3</v>
      </c>
    </row>
    <row r="268" spans="1:5" x14ac:dyDescent="0.2">
      <c r="A268" s="512">
        <v>11</v>
      </c>
      <c r="B268" s="511" t="s">
        <v>699</v>
      </c>
      <c r="C268" s="546">
        <f>+C260*C267</f>
        <v>1664306.6485738652</v>
      </c>
      <c r="D268" s="568">
        <f>+D260*D267</f>
        <v>3000734.198225108</v>
      </c>
      <c r="E268" s="546">
        <f t="shared" si="30"/>
        <v>1336427.5496512428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13123810.804122739</v>
      </c>
      <c r="D269" s="568">
        <f>((D17+D18+D28+D29)*D267)-(D50+D51+D61+D62)</f>
        <v>12507759.595781267</v>
      </c>
      <c r="E269" s="546">
        <f t="shared" si="30"/>
        <v>-616051.20834147185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14788117.452696603</v>
      </c>
      <c r="D271" s="546">
        <f>+D268+D269+D270</f>
        <v>15508493.794006374</v>
      </c>
      <c r="E271" s="549">
        <f t="shared" si="30"/>
        <v>720376.34130977094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0.60826674457982488</v>
      </c>
      <c r="D276" s="547">
        <f t="shared" si="31"/>
        <v>0.66064750929666505</v>
      </c>
      <c r="E276" s="574">
        <f t="shared" ref="E276:E284" si="32">D276-C276</f>
        <v>5.2380764716840167E-2</v>
      </c>
    </row>
    <row r="277" spans="1:5" x14ac:dyDescent="0.2">
      <c r="A277" s="512">
        <v>2</v>
      </c>
      <c r="B277" s="511" t="s">
        <v>618</v>
      </c>
      <c r="C277" s="547">
        <f t="shared" si="31"/>
        <v>0.60113216204389097</v>
      </c>
      <c r="D277" s="547">
        <f t="shared" si="31"/>
        <v>0.5437080342341668</v>
      </c>
      <c r="E277" s="574">
        <f t="shared" si="32"/>
        <v>-5.7424127809724168E-2</v>
      </c>
    </row>
    <row r="278" spans="1:5" x14ac:dyDescent="0.2">
      <c r="A278" s="512">
        <v>3</v>
      </c>
      <c r="B278" s="511" t="s">
        <v>764</v>
      </c>
      <c r="C278" s="547">
        <f t="shared" si="31"/>
        <v>0.32426938824387236</v>
      </c>
      <c r="D278" s="547">
        <f t="shared" si="31"/>
        <v>0.33980529710468249</v>
      </c>
      <c r="E278" s="574">
        <f t="shared" si="32"/>
        <v>1.5535908860810133E-2</v>
      </c>
    </row>
    <row r="279" spans="1:5" x14ac:dyDescent="0.2">
      <c r="A279" s="512">
        <v>4</v>
      </c>
      <c r="B279" s="511" t="s">
        <v>114</v>
      </c>
      <c r="C279" s="547">
        <f t="shared" si="31"/>
        <v>0.32492264844036589</v>
      </c>
      <c r="D279" s="547">
        <f t="shared" si="31"/>
        <v>0.33986107563103091</v>
      </c>
      <c r="E279" s="574">
        <f t="shared" si="32"/>
        <v>1.4938427190665016E-2</v>
      </c>
    </row>
    <row r="280" spans="1:5" x14ac:dyDescent="0.2">
      <c r="A280" s="512">
        <v>5</v>
      </c>
      <c r="B280" s="511" t="s">
        <v>731</v>
      </c>
      <c r="C280" s="547">
        <f t="shared" si="31"/>
        <v>0.17453180169196411</v>
      </c>
      <c r="D280" s="547">
        <f t="shared" si="31"/>
        <v>0.3113000259064872</v>
      </c>
      <c r="E280" s="574">
        <f t="shared" si="32"/>
        <v>0.13676822421452309</v>
      </c>
    </row>
    <row r="281" spans="1:5" x14ac:dyDescent="0.2">
      <c r="A281" s="512">
        <v>6</v>
      </c>
      <c r="B281" s="511" t="s">
        <v>430</v>
      </c>
      <c r="C281" s="547">
        <f t="shared" si="31"/>
        <v>0.31448267265458901</v>
      </c>
      <c r="D281" s="547">
        <f t="shared" si="31"/>
        <v>0.37881708799292846</v>
      </c>
      <c r="E281" s="574">
        <f t="shared" si="32"/>
        <v>6.4334415338339446E-2</v>
      </c>
    </row>
    <row r="282" spans="1:5" x14ac:dyDescent="0.2">
      <c r="A282" s="512">
        <v>7</v>
      </c>
      <c r="B282" s="511" t="s">
        <v>746</v>
      </c>
      <c r="C282" s="547">
        <f t="shared" si="31"/>
        <v>0.19610365976032465</v>
      </c>
      <c r="D282" s="547">
        <f t="shared" si="31"/>
        <v>5.4596768417475475E-2</v>
      </c>
      <c r="E282" s="574">
        <f t="shared" si="32"/>
        <v>-0.14150689134284916</v>
      </c>
    </row>
    <row r="283" spans="1:5" ht="29.25" customHeight="1" x14ac:dyDescent="0.2">
      <c r="A283" s="512"/>
      <c r="B283" s="516" t="s">
        <v>832</v>
      </c>
      <c r="C283" s="575">
        <f t="shared" si="31"/>
        <v>0.50221767798642503</v>
      </c>
      <c r="D283" s="575">
        <f t="shared" si="31"/>
        <v>0.48075174106573199</v>
      </c>
      <c r="E283" s="576">
        <f t="shared" si="32"/>
        <v>-2.1465936920693041E-2</v>
      </c>
    </row>
    <row r="284" spans="1:5" x14ac:dyDescent="0.2">
      <c r="A284" s="512"/>
      <c r="B284" s="516" t="s">
        <v>833</v>
      </c>
      <c r="C284" s="575">
        <f t="shared" si="31"/>
        <v>0.5348491668580776</v>
      </c>
      <c r="D284" s="575">
        <f t="shared" si="31"/>
        <v>0.52562451289462964</v>
      </c>
      <c r="E284" s="576">
        <f t="shared" si="32"/>
        <v>-9.2246539634479596E-3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0.51157093432742984</v>
      </c>
      <c r="D287" s="547">
        <f t="shared" si="33"/>
        <v>0.59376475502756332</v>
      </c>
      <c r="E287" s="574">
        <f t="shared" ref="E287:E295" si="34">D287-C287</f>
        <v>8.219382070013348E-2</v>
      </c>
    </row>
    <row r="288" spans="1:5" x14ac:dyDescent="0.2">
      <c r="A288" s="512">
        <v>2</v>
      </c>
      <c r="B288" s="511" t="s">
        <v>618</v>
      </c>
      <c r="C288" s="547">
        <f t="shared" si="33"/>
        <v>0.35154453282526887</v>
      </c>
      <c r="D288" s="547">
        <f t="shared" si="33"/>
        <v>0.33959670225626887</v>
      </c>
      <c r="E288" s="574">
        <f t="shared" si="34"/>
        <v>-1.1947830569000006E-2</v>
      </c>
    </row>
    <row r="289" spans="1:5" x14ac:dyDescent="0.2">
      <c r="A289" s="512">
        <v>3</v>
      </c>
      <c r="B289" s="511" t="s">
        <v>764</v>
      </c>
      <c r="C289" s="547">
        <f t="shared" si="33"/>
        <v>0.42780104670192298</v>
      </c>
      <c r="D289" s="547">
        <f t="shared" si="33"/>
        <v>0.39746460361256952</v>
      </c>
      <c r="E289" s="574">
        <f t="shared" si="34"/>
        <v>-3.033644308935346E-2</v>
      </c>
    </row>
    <row r="290" spans="1:5" x14ac:dyDescent="0.2">
      <c r="A290" s="512">
        <v>4</v>
      </c>
      <c r="B290" s="511" t="s">
        <v>114</v>
      </c>
      <c r="C290" s="547">
        <f t="shared" si="33"/>
        <v>0.42900297852135616</v>
      </c>
      <c r="D290" s="547">
        <f t="shared" si="33"/>
        <v>0.39649122490667599</v>
      </c>
      <c r="E290" s="574">
        <f t="shared" si="34"/>
        <v>-3.2511753614680172E-2</v>
      </c>
    </row>
    <row r="291" spans="1:5" x14ac:dyDescent="0.2">
      <c r="A291" s="512">
        <v>5</v>
      </c>
      <c r="B291" s="511" t="s">
        <v>731</v>
      </c>
      <c r="C291" s="547">
        <f t="shared" si="33"/>
        <v>7.2831462332834551E-2</v>
      </c>
      <c r="D291" s="547">
        <f t="shared" si="33"/>
        <v>0.81178153400666353</v>
      </c>
      <c r="E291" s="574">
        <f t="shared" si="34"/>
        <v>0.73895007167382898</v>
      </c>
    </row>
    <row r="292" spans="1:5" x14ac:dyDescent="0.2">
      <c r="A292" s="512">
        <v>6</v>
      </c>
      <c r="B292" s="511" t="s">
        <v>430</v>
      </c>
      <c r="C292" s="547">
        <f t="shared" si="33"/>
        <v>0.36155906249459158</v>
      </c>
      <c r="D292" s="547">
        <f t="shared" si="33"/>
        <v>0.37547443425472909</v>
      </c>
      <c r="E292" s="574">
        <f t="shared" si="34"/>
        <v>1.3915371760137518E-2</v>
      </c>
    </row>
    <row r="293" spans="1:5" x14ac:dyDescent="0.2">
      <c r="A293" s="512">
        <v>7</v>
      </c>
      <c r="B293" s="511" t="s">
        <v>746</v>
      </c>
      <c r="C293" s="547">
        <f t="shared" si="33"/>
        <v>0.13936573989483936</v>
      </c>
      <c r="D293" s="547">
        <f t="shared" si="33"/>
        <v>0.20643949248770754</v>
      </c>
      <c r="E293" s="574">
        <f t="shared" si="34"/>
        <v>6.7073752592868185E-2</v>
      </c>
    </row>
    <row r="294" spans="1:5" ht="29.25" customHeight="1" x14ac:dyDescent="0.2">
      <c r="A294" s="512"/>
      <c r="B294" s="516" t="s">
        <v>835</v>
      </c>
      <c r="C294" s="575">
        <f t="shared" si="33"/>
        <v>0.37628206348801119</v>
      </c>
      <c r="D294" s="575">
        <f t="shared" si="33"/>
        <v>0.35827883729688143</v>
      </c>
      <c r="E294" s="576">
        <f t="shared" si="34"/>
        <v>-1.8003226191129762E-2</v>
      </c>
    </row>
    <row r="295" spans="1:5" x14ac:dyDescent="0.2">
      <c r="A295" s="512"/>
      <c r="B295" s="516" t="s">
        <v>836</v>
      </c>
      <c r="C295" s="575">
        <f t="shared" si="33"/>
        <v>0.44412896168718641</v>
      </c>
      <c r="D295" s="575">
        <f t="shared" si="33"/>
        <v>0.47300461232743246</v>
      </c>
      <c r="E295" s="576">
        <f t="shared" si="34"/>
        <v>2.8875650640246053E-2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260554816</v>
      </c>
      <c r="D301" s="514">
        <f>+D48+D47+D50+D51+D52+D59+D58+D61+D62+D63</f>
        <v>265368047</v>
      </c>
      <c r="E301" s="514">
        <f>D301-C301</f>
        <v>4813231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260554816</v>
      </c>
      <c r="D303" s="517">
        <f>+D301+D302</f>
        <v>265368047</v>
      </c>
      <c r="E303" s="517">
        <f>D303-C303</f>
        <v>4813231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0</v>
      </c>
      <c r="D305" s="578">
        <v>0</v>
      </c>
      <c r="E305" s="579">
        <f>D305-C305</f>
        <v>0</v>
      </c>
    </row>
    <row r="306" spans="1:5" x14ac:dyDescent="0.2">
      <c r="A306" s="512">
        <v>4</v>
      </c>
      <c r="B306" s="516" t="s">
        <v>843</v>
      </c>
      <c r="C306" s="580">
        <f>+C303+C305</f>
        <v>260554816</v>
      </c>
      <c r="D306" s="580">
        <f>+D303+D305</f>
        <v>265368047</v>
      </c>
      <c r="E306" s="580">
        <f>D306-C306</f>
        <v>4813231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260554818</v>
      </c>
      <c r="D308" s="513">
        <v>265368041</v>
      </c>
      <c r="E308" s="514">
        <f>D308-C308</f>
        <v>4813223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-2</v>
      </c>
      <c r="D310" s="582">
        <f>D306-D308</f>
        <v>6</v>
      </c>
      <c r="E310" s="580">
        <f>D310-C310</f>
        <v>8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533723134</v>
      </c>
      <c r="D314" s="514">
        <f>+D14+D15+D16+D19+D25+D26+D27+D30</f>
        <v>535141391</v>
      </c>
      <c r="E314" s="514">
        <f>D314-C314</f>
        <v>1418257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533723134</v>
      </c>
      <c r="D316" s="581">
        <f>D314+D315</f>
        <v>535141391</v>
      </c>
      <c r="E316" s="517">
        <f>D316-C316</f>
        <v>1418257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533723134</v>
      </c>
      <c r="D318" s="513">
        <v>535141392</v>
      </c>
      <c r="E318" s="514">
        <f>D318-C318</f>
        <v>1418258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0</v>
      </c>
      <c r="D320" s="581">
        <f>D316-D318</f>
        <v>-1</v>
      </c>
      <c r="E320" s="517">
        <f>D320-C320</f>
        <v>-1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3387160</v>
      </c>
      <c r="D324" s="513">
        <f>+D193+D194</f>
        <v>6128109</v>
      </c>
      <c r="E324" s="514">
        <f>D324-C324</f>
        <v>2740949</v>
      </c>
    </row>
    <row r="325" spans="1:5" x14ac:dyDescent="0.2">
      <c r="A325" s="512">
        <v>2</v>
      </c>
      <c r="B325" s="511" t="s">
        <v>853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854</v>
      </c>
      <c r="C326" s="581">
        <f>C324+C325</f>
        <v>3387160</v>
      </c>
      <c r="D326" s="581">
        <f>D324+D325</f>
        <v>6128109</v>
      </c>
      <c r="E326" s="517">
        <f>D326-C326</f>
        <v>2740949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3387160</v>
      </c>
      <c r="D328" s="513">
        <v>6128109</v>
      </c>
      <c r="E328" s="514">
        <f>D328-C328</f>
        <v>2740949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FILING&amp;RJOHN DEMPSEY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58039630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120588768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53365719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53261498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104221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687828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656211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174642315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232681945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147354435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104321387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48916927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48802273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114654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1866697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2748229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155105011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302459446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205394065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329747326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535141391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38343737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65565082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18133954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18101510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32444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260561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35827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83959597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122303334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87493870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35427199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19442747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19349673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93074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700897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567343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55570843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143064713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125837607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139530440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265368047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2580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3700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2053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2050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3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41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39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5794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8374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1.3021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1.5752999999999999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1.2922648319532393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1.2915000000000001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1.8149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1.226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0.99029999999999996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1.4725398170521227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1.4200279078098879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201989626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125234436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76755190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0.37999570334369548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477593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5650516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6128109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18659132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296523349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265368047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265368047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265368047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265368041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6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535141391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535141391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535141392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-1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6128109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6128109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6128109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FILING&amp;RJOHN DEMPSEY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438</v>
      </c>
      <c r="D12" s="49">
        <v>545</v>
      </c>
      <c r="E12" s="49">
        <f>+D12-C12</f>
        <v>107</v>
      </c>
      <c r="F12" s="70">
        <f>IF(C12=0,0,+E12/C12)</f>
        <v>0.24429223744292236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190</v>
      </c>
      <c r="D13" s="49">
        <v>282</v>
      </c>
      <c r="E13" s="49">
        <f>+D13-C13</f>
        <v>92</v>
      </c>
      <c r="F13" s="70">
        <f>IF(C13=0,0,+E13/C13)</f>
        <v>0.48421052631578948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873533</v>
      </c>
      <c r="D15" s="51">
        <v>477593</v>
      </c>
      <c r="E15" s="51">
        <f>+D15-C15</f>
        <v>-395940</v>
      </c>
      <c r="F15" s="70">
        <f>IF(C15=0,0,+E15/C15)</f>
        <v>-0.45326278457711383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4597.5421052631582</v>
      </c>
      <c r="D16" s="27">
        <f>IF(D13=0,0,+D15/+D13)</f>
        <v>1693.5921985815603</v>
      </c>
      <c r="E16" s="27">
        <f>+D16-C16</f>
        <v>-2903.9499066815979</v>
      </c>
      <c r="F16" s="28">
        <f>IF(C16=0,0,+E16/C16)</f>
        <v>-0.63163095414770087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0.48929800000000001</v>
      </c>
      <c r="D18" s="210">
        <v>0.490064</v>
      </c>
      <c r="E18" s="210">
        <f>+D18-C18</f>
        <v>7.6599999999998891E-4</v>
      </c>
      <c r="F18" s="70">
        <f>IF(C18=0,0,+E18/C18)</f>
        <v>1.5655081361460477E-3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427417.94983400003</v>
      </c>
      <c r="D19" s="27">
        <f>+D15*D18</f>
        <v>234051.13595200001</v>
      </c>
      <c r="E19" s="27">
        <f>+D19-C19</f>
        <v>-193366.81388200002</v>
      </c>
      <c r="F19" s="28">
        <f>IF(C19=0,0,+E19/C19)</f>
        <v>-0.45240686301803551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2249.5681570210527</v>
      </c>
      <c r="D20" s="27">
        <f>IF(D13=0,0,+D19/D13)</f>
        <v>829.96856720567382</v>
      </c>
      <c r="E20" s="27">
        <f>+D20-C20</f>
        <v>-1419.5995898153787</v>
      </c>
      <c r="F20" s="28">
        <f>IF(C20=0,0,+E20/C20)</f>
        <v>-0.63105426940931464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345689</v>
      </c>
      <c r="D22" s="51">
        <v>91830</v>
      </c>
      <c r="E22" s="51">
        <f>+D22-C22</f>
        <v>-253859</v>
      </c>
      <c r="F22" s="70">
        <f>IF(C22=0,0,+E22/C22)</f>
        <v>-0.73435660376812684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194666</v>
      </c>
      <c r="D23" s="49">
        <v>148864</v>
      </c>
      <c r="E23" s="49">
        <f>+D23-C23</f>
        <v>-45802</v>
      </c>
      <c r="F23" s="70">
        <f>IF(C23=0,0,+E23/C23)</f>
        <v>-0.23528505234606967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333178</v>
      </c>
      <c r="D24" s="49">
        <v>236899</v>
      </c>
      <c r="E24" s="49">
        <f>+D24-C24</f>
        <v>-96279</v>
      </c>
      <c r="F24" s="70">
        <f>IF(C24=0,0,+E24/C24)</f>
        <v>-0.28897166079393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873533</v>
      </c>
      <c r="D25" s="27">
        <f>+D22+D23+D24</f>
        <v>477593</v>
      </c>
      <c r="E25" s="27">
        <f>+E22+E23+E24</f>
        <v>-395940</v>
      </c>
      <c r="F25" s="28">
        <f>IF(C25=0,0,+E25/C25)</f>
        <v>-0.45326278457711383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143</v>
      </c>
      <c r="D27" s="49">
        <v>128</v>
      </c>
      <c r="E27" s="49">
        <f>+D27-C27</f>
        <v>-15</v>
      </c>
      <c r="F27" s="70">
        <f>IF(C27=0,0,+E27/C27)</f>
        <v>-0.1048951048951049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38</v>
      </c>
      <c r="D28" s="49">
        <v>20</v>
      </c>
      <c r="E28" s="49">
        <f>+D28-C28</f>
        <v>-18</v>
      </c>
      <c r="F28" s="70">
        <f>IF(C28=0,0,+E28/C28)</f>
        <v>-0.47368421052631576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407</v>
      </c>
      <c r="D29" s="49">
        <v>142</v>
      </c>
      <c r="E29" s="49">
        <f>+D29-C29</f>
        <v>-265</v>
      </c>
      <c r="F29" s="70">
        <f>IF(C29=0,0,+E29/C29)</f>
        <v>-0.65110565110565111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515</v>
      </c>
      <c r="D30" s="49">
        <v>581</v>
      </c>
      <c r="E30" s="49">
        <f>+D30-C30</f>
        <v>66</v>
      </c>
      <c r="F30" s="70">
        <f>IF(C30=0,0,+E30/C30)</f>
        <v>0.12815533980582525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779224</v>
      </c>
      <c r="D33" s="51">
        <v>1868064</v>
      </c>
      <c r="E33" s="51">
        <f>+D33-C33</f>
        <v>1088840</v>
      </c>
      <c r="F33" s="70">
        <f>IF(C33=0,0,+E33/C33)</f>
        <v>1.3973388909992506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879770</v>
      </c>
      <c r="D34" s="49">
        <v>1856077</v>
      </c>
      <c r="E34" s="49">
        <f>+D34-C34</f>
        <v>976307</v>
      </c>
      <c r="F34" s="70">
        <f>IF(C34=0,0,+E34/C34)</f>
        <v>1.1097298157472977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854633</v>
      </c>
      <c r="D35" s="49">
        <v>1926375</v>
      </c>
      <c r="E35" s="49">
        <f>+D35-C35</f>
        <v>1071742</v>
      </c>
      <c r="F35" s="70">
        <f>IF(C35=0,0,+E35/C35)</f>
        <v>1.2540376980528485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2513627</v>
      </c>
      <c r="D36" s="27">
        <f>+D33+D34+D35</f>
        <v>5650516</v>
      </c>
      <c r="E36" s="27">
        <f>+E33+E34+E35</f>
        <v>3136889</v>
      </c>
      <c r="F36" s="28">
        <f>IF(C36=0,0,+E36/C36)</f>
        <v>1.247953256390069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873533</v>
      </c>
      <c r="D39" s="51">
        <f>+D25</f>
        <v>477593</v>
      </c>
      <c r="E39" s="51">
        <f>+D39-C39</f>
        <v>-395940</v>
      </c>
      <c r="F39" s="70">
        <f>IF(C39=0,0,+E39/C39)</f>
        <v>-0.45326278457711383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2513627</v>
      </c>
      <c r="D40" s="49">
        <f>+D36</f>
        <v>5650516</v>
      </c>
      <c r="E40" s="49">
        <f>+D40-C40</f>
        <v>3136889</v>
      </c>
      <c r="F40" s="70">
        <f>IF(C40=0,0,+E40/C40)</f>
        <v>1.247953256390069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3387160</v>
      </c>
      <c r="D41" s="27">
        <f>+D39+D40</f>
        <v>6128109</v>
      </c>
      <c r="E41" s="27">
        <f>+E39+E40</f>
        <v>2740949</v>
      </c>
      <c r="F41" s="28">
        <f>IF(C41=0,0,+E41/C41)</f>
        <v>0.80921745651224031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1124913</v>
      </c>
      <c r="D43" s="51">
        <f t="shared" si="0"/>
        <v>1959894</v>
      </c>
      <c r="E43" s="51">
        <f>+D43-C43</f>
        <v>834981</v>
      </c>
      <c r="F43" s="70">
        <f>IF(C43=0,0,+E43/C43)</f>
        <v>0.74226273498483886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1074436</v>
      </c>
      <c r="D44" s="49">
        <f t="shared" si="0"/>
        <v>2004941</v>
      </c>
      <c r="E44" s="49">
        <f>+D44-C44</f>
        <v>930505</v>
      </c>
      <c r="F44" s="70">
        <f>IF(C44=0,0,+E44/C44)</f>
        <v>0.86604041562270806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1187811</v>
      </c>
      <c r="D45" s="49">
        <f t="shared" si="0"/>
        <v>2163274</v>
      </c>
      <c r="E45" s="49">
        <f>+D45-C45</f>
        <v>975463</v>
      </c>
      <c r="F45" s="70">
        <f>IF(C45=0,0,+E45/C45)</f>
        <v>0.8212274511685782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3387160</v>
      </c>
      <c r="D46" s="27">
        <f>+D43+D44+D45</f>
        <v>6128109</v>
      </c>
      <c r="E46" s="27">
        <f>+E43+E44+E45</f>
        <v>2740949</v>
      </c>
      <c r="F46" s="28">
        <f>IF(C46=0,0,+E46/C46)</f>
        <v>0.80921745651224031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FILING&amp;RJOHN DEMPSEY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213799162</v>
      </c>
      <c r="D15" s="51">
        <v>201989626</v>
      </c>
      <c r="E15" s="51">
        <f>+D15-C15</f>
        <v>-11809536</v>
      </c>
      <c r="F15" s="70">
        <f>+E15/C15</f>
        <v>-5.523658694228184E-2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93407578</v>
      </c>
      <c r="D17" s="51">
        <v>76755190</v>
      </c>
      <c r="E17" s="51">
        <f>+D17-C17</f>
        <v>-16652388</v>
      </c>
      <c r="F17" s="70">
        <f>+E17/C17</f>
        <v>-0.17827662762008453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120391584</v>
      </c>
      <c r="D19" s="27">
        <f>+D15-D17</f>
        <v>125234436</v>
      </c>
      <c r="E19" s="27">
        <f>+D19-C19</f>
        <v>4842852</v>
      </c>
      <c r="F19" s="28">
        <f>+E19/C19</f>
        <v>4.0225835055048363E-2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0.43689403235359736</v>
      </c>
      <c r="D21" s="628">
        <f>+D17/D15</f>
        <v>0.37999570334369548</v>
      </c>
      <c r="E21" s="628">
        <f>+D21-C21</f>
        <v>-5.6898329009901882E-2</v>
      </c>
      <c r="F21" s="28">
        <f>+E21/C21</f>
        <v>-0.13023370610805593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FILING&amp;R&amp;12JOHN DEMPSEY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271260811</v>
      </c>
      <c r="D10" s="641">
        <v>259180572</v>
      </c>
      <c r="E10" s="641">
        <v>232681945</v>
      </c>
    </row>
    <row r="11" spans="1:6" ht="26.1" customHeight="1" x14ac:dyDescent="0.25">
      <c r="A11" s="639">
        <v>2</v>
      </c>
      <c r="B11" s="640" t="s">
        <v>920</v>
      </c>
      <c r="C11" s="641">
        <v>243961762</v>
      </c>
      <c r="D11" s="641">
        <v>274542562</v>
      </c>
      <c r="E11" s="641">
        <v>302459446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515222573</v>
      </c>
      <c r="D12" s="641">
        <f>+D11+D10</f>
        <v>533723134</v>
      </c>
      <c r="E12" s="641">
        <f>+E11+E10</f>
        <v>535141391</v>
      </c>
    </row>
    <row r="13" spans="1:6" ht="26.1" customHeight="1" x14ac:dyDescent="0.25">
      <c r="A13" s="639">
        <v>4</v>
      </c>
      <c r="B13" s="640" t="s">
        <v>496</v>
      </c>
      <c r="C13" s="641">
        <v>253989584</v>
      </c>
      <c r="D13" s="641">
        <v>268117022</v>
      </c>
      <c r="E13" s="641">
        <v>278985670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279636521</v>
      </c>
      <c r="D16" s="641">
        <v>286852873</v>
      </c>
      <c r="E16" s="641">
        <v>303434488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51230</v>
      </c>
      <c r="D19" s="644">
        <v>51614</v>
      </c>
      <c r="E19" s="644">
        <v>40295</v>
      </c>
    </row>
    <row r="20" spans="1:5" ht="26.1" customHeight="1" x14ac:dyDescent="0.25">
      <c r="A20" s="639">
        <v>2</v>
      </c>
      <c r="B20" s="640" t="s">
        <v>385</v>
      </c>
      <c r="C20" s="645">
        <v>9567</v>
      </c>
      <c r="D20" s="645">
        <v>9082</v>
      </c>
      <c r="E20" s="645">
        <v>8374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5.3548656841225046</v>
      </c>
      <c r="D21" s="646">
        <f>IF(D20=0,0,+D19/D20)</f>
        <v>5.683109447258313</v>
      </c>
      <c r="E21" s="646">
        <f>IF(E20=0,0,+E19/E20)</f>
        <v>4.8119178409362311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97304.333484389674</v>
      </c>
      <c r="D22" s="645">
        <f>IF(D10=0,0,D19*(D12/D10))</f>
        <v>106287.23297314122</v>
      </c>
      <c r="E22" s="645">
        <f>IF(E10=0,0,E19*(E12/E10))</f>
        <v>92673.809952658761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18171.199657332734</v>
      </c>
      <c r="D23" s="645">
        <f>IF(D10=0,0,D20*(D12/D10))</f>
        <v>18702.302667145901</v>
      </c>
      <c r="E23" s="645">
        <f>IF(E10=0,0,E20*(E12/E10))</f>
        <v>19259.225326803931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1.4917819170063762</v>
      </c>
      <c r="D26" s="647">
        <v>1.4545607245100198</v>
      </c>
      <c r="E26" s="647">
        <v>1.4200279078098879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76423.987608236654</v>
      </c>
      <c r="D27" s="645">
        <f>D19*D26</f>
        <v>75075.69723486017</v>
      </c>
      <c r="E27" s="645">
        <f>E19*E26</f>
        <v>57220.024545199434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14271.877600000002</v>
      </c>
      <c r="D28" s="645">
        <f>D20*D26</f>
        <v>13210.3205</v>
      </c>
      <c r="E28" s="645">
        <f>E20*E26</f>
        <v>11891.313700000001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145156.84513837055</v>
      </c>
      <c r="D29" s="645">
        <f>D22*D26</f>
        <v>154601.23459957755</v>
      </c>
      <c r="E29" s="645">
        <f>E22*E26</f>
        <v>131599.39645584518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27107.467059121431</v>
      </c>
      <c r="D30" s="645">
        <f>D23*D26</f>
        <v>27203.63491752942</v>
      </c>
      <c r="E30" s="645">
        <f>E23*E26</f>
        <v>27348.63744686059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10057.048077298457</v>
      </c>
      <c r="D33" s="641">
        <f>IF(D19=0,0,D12/D19)</f>
        <v>10340.66598209788</v>
      </c>
      <c r="E33" s="641">
        <f>IF(E19=0,0,E12/E19)</f>
        <v>13280.590420647723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53854.141632695726</v>
      </c>
      <c r="D34" s="641">
        <f>IF(D20=0,0,D12/D20)</f>
        <v>58767.136533803125</v>
      </c>
      <c r="E34" s="641">
        <f>IF(E20=0,0,E12/E20)</f>
        <v>63905.109983281589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5294.9601991020891</v>
      </c>
      <c r="D35" s="641">
        <f>IF(D22=0,0,D12/D22)</f>
        <v>5021.5168752664003</v>
      </c>
      <c r="E35" s="641">
        <f>IF(E22=0,0,E12/E22)</f>
        <v>5774.4619679861025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28353.80066896624</v>
      </c>
      <c r="D36" s="641">
        <f>IF(D23=0,0,D12/D23)</f>
        <v>28537.829993393523</v>
      </c>
      <c r="E36" s="641">
        <f>IF(E23=0,0,E12/E23)</f>
        <v>27786.23656556007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3549.419750125217</v>
      </c>
      <c r="D37" s="641">
        <f>IF(D29=0,0,D12/D29)</f>
        <v>3452.2566096083324</v>
      </c>
      <c r="E37" s="641">
        <f>IF(E29=0,0,E12/E29)</f>
        <v>4066.442593295274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19006.6660184922</v>
      </c>
      <c r="D38" s="641">
        <f>IF(D30=0,0,D12/D30)</f>
        <v>19619.552152425065</v>
      </c>
      <c r="E38" s="641">
        <f>IF(E30=0,0,E12/E30)</f>
        <v>19567.387663820526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2787.7567348376915</v>
      </c>
      <c r="D39" s="641">
        <f>IF(D22=0,0,D10/D22)</f>
        <v>2438.4920441526119</v>
      </c>
      <c r="E39" s="641">
        <f>IF(E22=0,0,E10/E22)</f>
        <v>2510.7626968057384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14928.062875063753</v>
      </c>
      <c r="D40" s="641">
        <f>IF(D23=0,0,D10/D23)</f>
        <v>13858.217173187943</v>
      </c>
      <c r="E40" s="641">
        <f>IF(E23=0,0,E10/E23)</f>
        <v>12081.583815116699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4957.8290845207885</v>
      </c>
      <c r="D43" s="641">
        <f>IF(D19=0,0,D13/D19)</f>
        <v>5194.6569147905611</v>
      </c>
      <c r="E43" s="641">
        <f>IF(E19=0,0,E13/E19)</f>
        <v>6923.5803449559498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26548.508832444862</v>
      </c>
      <c r="D44" s="641">
        <f>IF(D20=0,0,D13/D20)</f>
        <v>29521.803787711957</v>
      </c>
      <c r="E44" s="641">
        <f>IF(E20=0,0,E13/E20)</f>
        <v>33315.699785048964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2610.259737720181</v>
      </c>
      <c r="D45" s="641">
        <f>IF(D22=0,0,D13/D22)</f>
        <v>2522.570345468991</v>
      </c>
      <c r="E45" s="641">
        <f>IF(E22=0,0,E13/E22)</f>
        <v>3010.4046671062329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13977.590296164406</v>
      </c>
      <c r="D46" s="641">
        <f>IF(D23=0,0,D13/D23)</f>
        <v>14336.043361708491</v>
      </c>
      <c r="E46" s="641">
        <f>IF(E23=0,0,E13/E23)</f>
        <v>14485.81992608618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1749.7596049148408</v>
      </c>
      <c r="D47" s="641">
        <f>IF(D29=0,0,D13/D29)</f>
        <v>1734.2489061903818</v>
      </c>
      <c r="E47" s="641">
        <f>IF(E29=0,0,E13/E29)</f>
        <v>2119.9616222678233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9369.7276638222338</v>
      </c>
      <c r="D48" s="641">
        <f>IF(D30=0,0,D13/D30)</f>
        <v>9855.9263426679554</v>
      </c>
      <c r="E48" s="641">
        <f>IF(E30=0,0,E13/E30)</f>
        <v>10201.081152290655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5458.4524887761081</v>
      </c>
      <c r="D51" s="641">
        <f>IF(D19=0,0,D16/D19)</f>
        <v>5557.6563141783236</v>
      </c>
      <c r="E51" s="641">
        <f>IF(E19=0,0,E16/E19)</f>
        <v>7530.3260454150641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29229.279920560261</v>
      </c>
      <c r="D52" s="641">
        <f>IF(D20=0,0,D16/D20)</f>
        <v>31584.769103721646</v>
      </c>
      <c r="E52" s="641">
        <f>IF(E20=0,0,E16/E20)</f>
        <v>36235.310245999521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2873.8341961394913</v>
      </c>
      <c r="D53" s="641">
        <f>IF(D22=0,0,D16/D22)</f>
        <v>2698.8459947253282</v>
      </c>
      <c r="E53" s="641">
        <f>IF(E22=0,0,E16/E22)</f>
        <v>3274.2204961143352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15388.996118765146</v>
      </c>
      <c r="D54" s="641">
        <f>IF(D23=0,0,D16/D23)</f>
        <v>15337.837169318771</v>
      </c>
      <c r="E54" s="641">
        <f>IF(E23=0,0,E16/E23)</f>
        <v>15755.28002041165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1926.44391474227</v>
      </c>
      <c r="D55" s="641">
        <f>IF(D29=0,0,D16/D29)</f>
        <v>1855.4371428078093</v>
      </c>
      <c r="E55" s="641">
        <f>IF(E29=0,0,E16/E29)</f>
        <v>2305.7437660955361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10315.848411440002</v>
      </c>
      <c r="D56" s="641">
        <f>IF(D30=0,0,D16/D30)</f>
        <v>10544.652355085032</v>
      </c>
      <c r="E56" s="641">
        <f>IF(E30=0,0,E16/E30)</f>
        <v>11095.049564702607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31768766</v>
      </c>
      <c r="D59" s="649">
        <v>33899265</v>
      </c>
      <c r="E59" s="649">
        <v>35440601</v>
      </c>
    </row>
    <row r="60" spans="1:6" ht="26.1" customHeight="1" x14ac:dyDescent="0.25">
      <c r="A60" s="639">
        <v>2</v>
      </c>
      <c r="B60" s="640" t="s">
        <v>956</v>
      </c>
      <c r="C60" s="649">
        <v>13355703</v>
      </c>
      <c r="D60" s="649">
        <v>14671255</v>
      </c>
      <c r="E60" s="649">
        <v>14550177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45124469</v>
      </c>
      <c r="D61" s="652">
        <f>D59+D60</f>
        <v>48570520</v>
      </c>
      <c r="E61" s="652">
        <f>E59+E60</f>
        <v>49990778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2198863</v>
      </c>
      <c r="D64" s="641">
        <v>2350320</v>
      </c>
      <c r="E64" s="649">
        <v>2152218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512981</v>
      </c>
      <c r="D65" s="649">
        <v>558790</v>
      </c>
      <c r="E65" s="649">
        <v>523653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2711844</v>
      </c>
      <c r="D66" s="654">
        <f>D64+D65</f>
        <v>2909110</v>
      </c>
      <c r="E66" s="654">
        <f>E64+E65</f>
        <v>2675871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54796522</v>
      </c>
      <c r="D69" s="649">
        <v>59381744</v>
      </c>
      <c r="E69" s="649">
        <v>68454474</v>
      </c>
    </row>
    <row r="70" spans="1:6" ht="26.1" customHeight="1" x14ac:dyDescent="0.25">
      <c r="A70" s="639">
        <v>2</v>
      </c>
      <c r="B70" s="640" t="s">
        <v>964</v>
      </c>
      <c r="C70" s="649">
        <v>24957115</v>
      </c>
      <c r="D70" s="649">
        <v>26925351</v>
      </c>
      <c r="E70" s="649">
        <v>30957333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79753637</v>
      </c>
      <c r="D71" s="652">
        <f>D69+D70</f>
        <v>86307095</v>
      </c>
      <c r="E71" s="652">
        <f>E69+E70</f>
        <v>99411807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88764151</v>
      </c>
      <c r="D75" s="641">
        <f t="shared" si="0"/>
        <v>95631329</v>
      </c>
      <c r="E75" s="641">
        <f t="shared" si="0"/>
        <v>106047293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38825799</v>
      </c>
      <c r="D76" s="641">
        <f t="shared" si="0"/>
        <v>42155396</v>
      </c>
      <c r="E76" s="641">
        <f t="shared" si="0"/>
        <v>46031163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127589950</v>
      </c>
      <c r="D77" s="654">
        <f>D75+D76</f>
        <v>137786725</v>
      </c>
      <c r="E77" s="654">
        <f>E75+E76</f>
        <v>152078456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552</v>
      </c>
      <c r="D80" s="646">
        <v>592.4</v>
      </c>
      <c r="E80" s="646">
        <v>632.29999999999995</v>
      </c>
    </row>
    <row r="81" spans="1:5" ht="26.1" customHeight="1" x14ac:dyDescent="0.25">
      <c r="A81" s="639">
        <v>2</v>
      </c>
      <c r="B81" s="640" t="s">
        <v>597</v>
      </c>
      <c r="C81" s="646">
        <v>28</v>
      </c>
      <c r="D81" s="646">
        <v>30</v>
      </c>
      <c r="E81" s="646">
        <v>41.2</v>
      </c>
    </row>
    <row r="82" spans="1:5" ht="26.1" customHeight="1" x14ac:dyDescent="0.25">
      <c r="A82" s="639">
        <v>3</v>
      </c>
      <c r="B82" s="640" t="s">
        <v>970</v>
      </c>
      <c r="C82" s="646">
        <v>615</v>
      </c>
      <c r="D82" s="646">
        <v>662.9</v>
      </c>
      <c r="E82" s="646">
        <v>871.4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1195</v>
      </c>
      <c r="D83" s="656">
        <f>D80+D81+D82</f>
        <v>1285.3</v>
      </c>
      <c r="E83" s="656">
        <f>E80+E81+E82</f>
        <v>1544.9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57552.112318840576</v>
      </c>
      <c r="D86" s="649">
        <f>IF(D80=0,0,D59/D80)</f>
        <v>57223.607359891968</v>
      </c>
      <c r="E86" s="649">
        <f>IF(E80=0,0,E59/E80)</f>
        <v>56050.294164162588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24195.114130434784</v>
      </c>
      <c r="D87" s="649">
        <f>IF(D80=0,0,D60/D80)</f>
        <v>24765.79169480081</v>
      </c>
      <c r="E87" s="649">
        <f>IF(E80=0,0,E60/E80)</f>
        <v>23011.508777479048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81747.22644927536</v>
      </c>
      <c r="D88" s="652">
        <f>+D86+D87</f>
        <v>81989.399054692782</v>
      </c>
      <c r="E88" s="652">
        <f>+E86+E87</f>
        <v>79061.802941641639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78530.821428571435</v>
      </c>
      <c r="D91" s="641">
        <f>IF(D81=0,0,D64/D81)</f>
        <v>78344</v>
      </c>
      <c r="E91" s="641">
        <f>IF(E81=0,0,E64/E81)</f>
        <v>52238.300970873781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18320.75</v>
      </c>
      <c r="D92" s="641">
        <f>IF(D81=0,0,D65/D81)</f>
        <v>18626.333333333332</v>
      </c>
      <c r="E92" s="641">
        <f>IF(E81=0,0,E65/E81)</f>
        <v>12710.024271844659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96851.571428571435</v>
      </c>
      <c r="D93" s="654">
        <f>+D91+D92</f>
        <v>96970.333333333328</v>
      </c>
      <c r="E93" s="654">
        <f>+E91+E92</f>
        <v>64948.325242718442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89100.035772357718</v>
      </c>
      <c r="D96" s="649">
        <f>IF(D82=0,0,D69/D82)</f>
        <v>89578.735857595413</v>
      </c>
      <c r="E96" s="649">
        <f>IF(E82=0,0,E69/E82)</f>
        <v>78556.890061969243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40580.674796747968</v>
      </c>
      <c r="D97" s="649">
        <f>IF(D82=0,0,D70/D82)</f>
        <v>40617.515462362346</v>
      </c>
      <c r="E97" s="649">
        <f>IF(E82=0,0,E70/E82)</f>
        <v>35525.973146660544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129680.71056910569</v>
      </c>
      <c r="D98" s="654">
        <f>+D96+D97</f>
        <v>130196.25131995775</v>
      </c>
      <c r="E98" s="654">
        <f>+E96+E97</f>
        <v>114082.86320862979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74279.624267782434</v>
      </c>
      <c r="D101" s="641">
        <f>IF(D83=0,0,D75/D83)</f>
        <v>74403.897144635499</v>
      </c>
      <c r="E101" s="641">
        <f>IF(E83=0,0,E75/E83)</f>
        <v>68643.467538351993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32490.208368200838</v>
      </c>
      <c r="D102" s="658">
        <f>IF(D83=0,0,D76/D83)</f>
        <v>32798.098498405045</v>
      </c>
      <c r="E102" s="658">
        <f>IF(E83=0,0,E76/E83)</f>
        <v>29795.561525017798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106769.83263598327</v>
      </c>
      <c r="D103" s="654">
        <f>+D101+D102</f>
        <v>107201.99564304054</v>
      </c>
      <c r="E103" s="654">
        <f>+E101+E102</f>
        <v>98439.029063369788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2490.5319148936169</v>
      </c>
      <c r="D108" s="641">
        <f>IF(D19=0,0,D77/D19)</f>
        <v>2669.56106870229</v>
      </c>
      <c r="E108" s="641">
        <f>IF(E19=0,0,E77/E19)</f>
        <v>3774.12721181288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13336.46388627574</v>
      </c>
      <c r="D109" s="641">
        <f>IF(D20=0,0,D77/D20)</f>
        <v>15171.407729574983</v>
      </c>
      <c r="E109" s="641">
        <f>IF(E20=0,0,E77/E20)</f>
        <v>18160.790064485311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1311.2463282066362</v>
      </c>
      <c r="D110" s="641">
        <f>IF(D22=0,0,D77/D22)</f>
        <v>1296.361953790054</v>
      </c>
      <c r="E110" s="641">
        <f>IF(E22=0,0,E77/E22)</f>
        <v>1641.0079188250418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7021.5479663453507</v>
      </c>
      <c r="D111" s="641">
        <f>IF(D23=0,0,D77/D23)</f>
        <v>7367.3668666505009</v>
      </c>
      <c r="E111" s="641">
        <f>IF(E23=0,0,E77/E23)</f>
        <v>7896.3952817118543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878.97990534566293</v>
      </c>
      <c r="D112" s="641">
        <f>IF(D29=0,0,D77/D29)</f>
        <v>891.23948690883549</v>
      </c>
      <c r="E112" s="641">
        <f>IF(E29=0,0,E77/E29)</f>
        <v>1155.6166676723783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4706.8193321687377</v>
      </c>
      <c r="D113" s="641">
        <f>IF(D30=0,0,D77/D30)</f>
        <v>5065.0115478212538</v>
      </c>
      <c r="E113" s="641">
        <f>IF(E30=0,0,E77/E30)</f>
        <v>5560.7324604559935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FILING&amp;R&amp;12JOHN DEMPSEY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543303930</v>
      </c>
      <c r="D12" s="51">
        <v>547510368</v>
      </c>
      <c r="E12" s="51">
        <f t="shared" ref="E12:E19" si="0">D12-C12</f>
        <v>4206438</v>
      </c>
      <c r="F12" s="70">
        <f t="shared" ref="F12:F19" si="1">IF(C12=0,0,E12/C12)</f>
        <v>7.7423294177165255E-3</v>
      </c>
    </row>
    <row r="13" spans="1:8" ht="23.1" customHeight="1" x14ac:dyDescent="0.2">
      <c r="A13" s="25">
        <v>2</v>
      </c>
      <c r="B13" s="48" t="s">
        <v>72</v>
      </c>
      <c r="C13" s="51">
        <v>274274626</v>
      </c>
      <c r="D13" s="51">
        <v>267981589</v>
      </c>
      <c r="E13" s="51">
        <f t="shared" si="0"/>
        <v>-6293037</v>
      </c>
      <c r="F13" s="70">
        <f t="shared" si="1"/>
        <v>-2.2944291609388615E-2</v>
      </c>
    </row>
    <row r="14" spans="1:8" ht="23.1" customHeight="1" x14ac:dyDescent="0.2">
      <c r="A14" s="25">
        <v>3</v>
      </c>
      <c r="B14" s="48" t="s">
        <v>73</v>
      </c>
      <c r="C14" s="51">
        <v>912282</v>
      </c>
      <c r="D14" s="51">
        <v>543109</v>
      </c>
      <c r="E14" s="51">
        <f t="shared" si="0"/>
        <v>-369173</v>
      </c>
      <c r="F14" s="70">
        <f t="shared" si="1"/>
        <v>-0.40466982796986017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268117022</v>
      </c>
      <c r="D16" s="27">
        <f>D12-D13-D14-D15</f>
        <v>278985670</v>
      </c>
      <c r="E16" s="27">
        <f t="shared" si="0"/>
        <v>10868648</v>
      </c>
      <c r="F16" s="28">
        <f t="shared" si="1"/>
        <v>4.0536956284707652E-2</v>
      </c>
    </row>
    <row r="17" spans="1:7" ht="23.1" customHeight="1" x14ac:dyDescent="0.2">
      <c r="A17" s="25">
        <v>5</v>
      </c>
      <c r="B17" s="48" t="s">
        <v>76</v>
      </c>
      <c r="C17" s="51">
        <v>1954663</v>
      </c>
      <c r="D17" s="51">
        <v>15889186</v>
      </c>
      <c r="E17" s="51">
        <f t="shared" si="0"/>
        <v>13934523</v>
      </c>
      <c r="F17" s="70">
        <f t="shared" si="1"/>
        <v>7.1288621107577113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270071685</v>
      </c>
      <c r="D19" s="27">
        <f>SUM(D16:D18)</f>
        <v>294874856</v>
      </c>
      <c r="E19" s="27">
        <f t="shared" si="0"/>
        <v>24803171</v>
      </c>
      <c r="F19" s="28">
        <f t="shared" si="1"/>
        <v>9.1839212985248719E-2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95631329</v>
      </c>
      <c r="D22" s="51">
        <v>106047293</v>
      </c>
      <c r="E22" s="51">
        <f t="shared" ref="E22:E31" si="2">D22-C22</f>
        <v>10415964</v>
      </c>
      <c r="F22" s="70">
        <f t="shared" ref="F22:F31" si="3">IF(C22=0,0,E22/C22)</f>
        <v>0.10891790492632389</v>
      </c>
    </row>
    <row r="23" spans="1:7" ht="23.1" customHeight="1" x14ac:dyDescent="0.2">
      <c r="A23" s="25">
        <v>2</v>
      </c>
      <c r="B23" s="48" t="s">
        <v>81</v>
      </c>
      <c r="C23" s="51">
        <v>42155396</v>
      </c>
      <c r="D23" s="51">
        <v>46031163</v>
      </c>
      <c r="E23" s="51">
        <f t="shared" si="2"/>
        <v>3875767</v>
      </c>
      <c r="F23" s="70">
        <f t="shared" si="3"/>
        <v>9.1939997432357173E-2</v>
      </c>
    </row>
    <row r="24" spans="1:7" ht="23.1" customHeight="1" x14ac:dyDescent="0.2">
      <c r="A24" s="25">
        <v>3</v>
      </c>
      <c r="B24" s="48" t="s">
        <v>82</v>
      </c>
      <c r="C24" s="51">
        <v>16188925</v>
      </c>
      <c r="D24" s="51">
        <v>17482692</v>
      </c>
      <c r="E24" s="51">
        <f t="shared" si="2"/>
        <v>1293767</v>
      </c>
      <c r="F24" s="70">
        <f t="shared" si="3"/>
        <v>7.9916794969400379E-2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51662400</v>
      </c>
      <c r="D25" s="51">
        <v>52316676</v>
      </c>
      <c r="E25" s="51">
        <f t="shared" si="2"/>
        <v>654276</v>
      </c>
      <c r="F25" s="70">
        <f t="shared" si="3"/>
        <v>1.2664452290253647E-2</v>
      </c>
    </row>
    <row r="26" spans="1:7" ht="23.1" customHeight="1" x14ac:dyDescent="0.2">
      <c r="A26" s="25">
        <v>5</v>
      </c>
      <c r="B26" s="48" t="s">
        <v>84</v>
      </c>
      <c r="C26" s="51">
        <v>9298913</v>
      </c>
      <c r="D26" s="51">
        <v>8971611</v>
      </c>
      <c r="E26" s="51">
        <f t="shared" si="2"/>
        <v>-327302</v>
      </c>
      <c r="F26" s="70">
        <f t="shared" si="3"/>
        <v>-3.5197877429329644E-2</v>
      </c>
    </row>
    <row r="27" spans="1:7" ht="23.1" customHeight="1" x14ac:dyDescent="0.2">
      <c r="A27" s="25">
        <v>6</v>
      </c>
      <c r="B27" s="48" t="s">
        <v>85</v>
      </c>
      <c r="C27" s="51">
        <v>3784188</v>
      </c>
      <c r="D27" s="51">
        <v>5464999</v>
      </c>
      <c r="E27" s="51">
        <f t="shared" si="2"/>
        <v>1680811</v>
      </c>
      <c r="F27" s="70">
        <f t="shared" si="3"/>
        <v>0.4441668860003784</v>
      </c>
    </row>
    <row r="28" spans="1:7" ht="23.1" customHeight="1" x14ac:dyDescent="0.2">
      <c r="A28" s="25">
        <v>7</v>
      </c>
      <c r="B28" s="48" t="s">
        <v>86</v>
      </c>
      <c r="C28" s="51">
        <v>149794</v>
      </c>
      <c r="D28" s="51">
        <v>64233</v>
      </c>
      <c r="E28" s="51">
        <f t="shared" si="2"/>
        <v>-85561</v>
      </c>
      <c r="F28" s="70">
        <f t="shared" si="3"/>
        <v>-0.57119110244736104</v>
      </c>
    </row>
    <row r="29" spans="1:7" ht="23.1" customHeight="1" x14ac:dyDescent="0.2">
      <c r="A29" s="25">
        <v>8</v>
      </c>
      <c r="B29" s="48" t="s">
        <v>87</v>
      </c>
      <c r="C29" s="51">
        <v>4145224</v>
      </c>
      <c r="D29" s="51">
        <v>3413844</v>
      </c>
      <c r="E29" s="51">
        <f t="shared" si="2"/>
        <v>-731380</v>
      </c>
      <c r="F29" s="70">
        <f t="shared" si="3"/>
        <v>-0.17643919846068631</v>
      </c>
    </row>
    <row r="30" spans="1:7" ht="23.1" customHeight="1" x14ac:dyDescent="0.2">
      <c r="A30" s="25">
        <v>9</v>
      </c>
      <c r="B30" s="48" t="s">
        <v>88</v>
      </c>
      <c r="C30" s="51">
        <v>63836704</v>
      </c>
      <c r="D30" s="51">
        <v>63641977</v>
      </c>
      <c r="E30" s="51">
        <f t="shared" si="2"/>
        <v>-194727</v>
      </c>
      <c r="F30" s="70">
        <f t="shared" si="3"/>
        <v>-3.0503924513395932E-3</v>
      </c>
    </row>
    <row r="31" spans="1:7" ht="23.1" customHeight="1" x14ac:dyDescent="0.25">
      <c r="A31" s="29"/>
      <c r="B31" s="71" t="s">
        <v>89</v>
      </c>
      <c r="C31" s="27">
        <f>SUM(C22:C30)</f>
        <v>286852873</v>
      </c>
      <c r="D31" s="27">
        <f>SUM(D22:D30)</f>
        <v>303434488</v>
      </c>
      <c r="E31" s="27">
        <f t="shared" si="2"/>
        <v>16581615</v>
      </c>
      <c r="F31" s="28">
        <f t="shared" si="3"/>
        <v>5.7805295190472089E-2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-16781188</v>
      </c>
      <c r="D33" s="27">
        <f>+D19-D31</f>
        <v>-8559632</v>
      </c>
      <c r="E33" s="27">
        <f>D33-C33</f>
        <v>8221556</v>
      </c>
      <c r="F33" s="28">
        <f>IF(C33=0,0,E33/C33)</f>
        <v>-0.48992693485109634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74</v>
      </c>
      <c r="D36" s="51">
        <v>0</v>
      </c>
      <c r="E36" s="51">
        <f>D36-C36</f>
        <v>-74</v>
      </c>
      <c r="F36" s="70">
        <f>IF(C36=0,0,E36/C36)</f>
        <v>-1</v>
      </c>
    </row>
    <row r="37" spans="1:6" ht="23.1" customHeight="1" x14ac:dyDescent="0.2">
      <c r="A37" s="44">
        <v>2</v>
      </c>
      <c r="B37" s="48" t="s">
        <v>93</v>
      </c>
      <c r="C37" s="51">
        <v>502896</v>
      </c>
      <c r="D37" s="51">
        <v>500000</v>
      </c>
      <c r="E37" s="51">
        <f>D37-C37</f>
        <v>-2896</v>
      </c>
      <c r="F37" s="70">
        <f>IF(C37=0,0,E37/C37)</f>
        <v>-5.758645922815055E-3</v>
      </c>
    </row>
    <row r="38" spans="1:6" ht="23.1" customHeight="1" x14ac:dyDescent="0.2">
      <c r="A38" s="44">
        <v>3</v>
      </c>
      <c r="B38" s="48" t="s">
        <v>94</v>
      </c>
      <c r="C38" s="51">
        <v>13500000</v>
      </c>
      <c r="D38" s="51">
        <v>0</v>
      </c>
      <c r="E38" s="51">
        <f>D38-C38</f>
        <v>-13500000</v>
      </c>
      <c r="F38" s="70">
        <f>IF(C38=0,0,E38/C38)</f>
        <v>-1</v>
      </c>
    </row>
    <row r="39" spans="1:6" ht="23.1" customHeight="1" x14ac:dyDescent="0.25">
      <c r="A39" s="20"/>
      <c r="B39" s="71" t="s">
        <v>95</v>
      </c>
      <c r="C39" s="27">
        <f>SUM(C36:C38)</f>
        <v>14002970</v>
      </c>
      <c r="D39" s="27">
        <f>SUM(D36:D38)</f>
        <v>500000</v>
      </c>
      <c r="E39" s="27">
        <f>D39-C39</f>
        <v>-13502970</v>
      </c>
      <c r="F39" s="28">
        <f>IF(C39=0,0,E39/C39)</f>
        <v>-0.96429328920936064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-2778218</v>
      </c>
      <c r="D41" s="27">
        <f>D33+D39</f>
        <v>-8059632</v>
      </c>
      <c r="E41" s="27">
        <f>D41-C41</f>
        <v>-5281414</v>
      </c>
      <c r="F41" s="28">
        <f>IF(C41=0,0,E41/C41)</f>
        <v>1.9010077682888815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5406902</v>
      </c>
      <c r="D45" s="51">
        <v>8064466</v>
      </c>
      <c r="E45" s="51">
        <f>D45-C45</f>
        <v>2657564</v>
      </c>
      <c r="F45" s="70">
        <f>IF(C45=0,0,E45/C45)</f>
        <v>0.49151325472516422</v>
      </c>
    </row>
    <row r="46" spans="1:6" ht="23.1" customHeight="1" x14ac:dyDescent="0.25">
      <c r="A46" s="20"/>
      <c r="B46" s="74" t="s">
        <v>100</v>
      </c>
      <c r="C46" s="27">
        <f>SUM(C44:C45)</f>
        <v>5406902</v>
      </c>
      <c r="D46" s="27">
        <f>SUM(D44:D45)</f>
        <v>8064466</v>
      </c>
      <c r="E46" s="27">
        <f>D46-C46</f>
        <v>2657564</v>
      </c>
      <c r="F46" s="28">
        <f>IF(C46=0,0,E46/C46)</f>
        <v>0.49151325472516422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2628684</v>
      </c>
      <c r="D48" s="27">
        <f>D41+D46</f>
        <v>4834</v>
      </c>
      <c r="E48" s="27">
        <f>D48-C48</f>
        <v>-2623850</v>
      </c>
      <c r="F48" s="28">
        <f>IF(C48=0,0,E48/C48)</f>
        <v>-0.99816105701560176</v>
      </c>
    </row>
    <row r="49" spans="1:6" ht="23.1" customHeight="1" x14ac:dyDescent="0.2">
      <c r="A49" s="44"/>
      <c r="B49" s="48" t="s">
        <v>102</v>
      </c>
      <c r="C49" s="51">
        <v>2062148</v>
      </c>
      <c r="D49" s="51">
        <v>1445127</v>
      </c>
      <c r="E49" s="51">
        <f>D49-C49</f>
        <v>-617021</v>
      </c>
      <c r="F49" s="70">
        <f>IF(C49=0,0,E49/C49)</f>
        <v>-0.29921276261451651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FILING&amp;RJOHN DEMPSEY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9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97905493</v>
      </c>
      <c r="D14" s="97">
        <v>100173873</v>
      </c>
      <c r="E14" s="97">
        <f t="shared" ref="E14:E25" si="0">D14-C14</f>
        <v>2268380</v>
      </c>
      <c r="F14" s="98">
        <f t="shared" ref="F14:F25" si="1">IF(C14=0,0,E14/C14)</f>
        <v>2.3169077959701401E-2</v>
      </c>
    </row>
    <row r="15" spans="1:6" ht="18" customHeight="1" x14ac:dyDescent="0.25">
      <c r="A15" s="99">
        <v>2</v>
      </c>
      <c r="B15" s="100" t="s">
        <v>113</v>
      </c>
      <c r="C15" s="97">
        <v>17500425</v>
      </c>
      <c r="D15" s="97">
        <v>20414895</v>
      </c>
      <c r="E15" s="97">
        <f t="shared" si="0"/>
        <v>2914470</v>
      </c>
      <c r="F15" s="98">
        <f t="shared" si="1"/>
        <v>0.1665370983847535</v>
      </c>
    </row>
    <row r="16" spans="1:6" ht="18" customHeight="1" x14ac:dyDescent="0.25">
      <c r="A16" s="99">
        <v>3</v>
      </c>
      <c r="B16" s="100" t="s">
        <v>114</v>
      </c>
      <c r="C16" s="97">
        <v>35421627</v>
      </c>
      <c r="D16" s="97">
        <v>51222507</v>
      </c>
      <c r="E16" s="97">
        <f t="shared" si="0"/>
        <v>15800880</v>
      </c>
      <c r="F16" s="98">
        <f t="shared" si="1"/>
        <v>0.44608001772476458</v>
      </c>
    </row>
    <row r="17" spans="1:6" ht="18" customHeight="1" x14ac:dyDescent="0.25">
      <c r="A17" s="99">
        <v>4</v>
      </c>
      <c r="B17" s="100" t="s">
        <v>115</v>
      </c>
      <c r="C17" s="97">
        <v>26056125</v>
      </c>
      <c r="D17" s="97">
        <v>2038991</v>
      </c>
      <c r="E17" s="97">
        <f t="shared" si="0"/>
        <v>-24017134</v>
      </c>
      <c r="F17" s="98">
        <f t="shared" si="1"/>
        <v>-0.92174619211413822</v>
      </c>
    </row>
    <row r="18" spans="1:6" ht="18" customHeight="1" x14ac:dyDescent="0.25">
      <c r="A18" s="99">
        <v>5</v>
      </c>
      <c r="B18" s="100" t="s">
        <v>116</v>
      </c>
      <c r="C18" s="97">
        <v>2278364</v>
      </c>
      <c r="D18" s="97">
        <v>687828</v>
      </c>
      <c r="E18" s="97">
        <f t="shared" si="0"/>
        <v>-1590536</v>
      </c>
      <c r="F18" s="98">
        <f t="shared" si="1"/>
        <v>-0.69810442931858119</v>
      </c>
    </row>
    <row r="19" spans="1:6" ht="18" customHeight="1" x14ac:dyDescent="0.25">
      <c r="A19" s="99">
        <v>6</v>
      </c>
      <c r="B19" s="100" t="s">
        <v>117</v>
      </c>
      <c r="C19" s="97">
        <v>301586</v>
      </c>
      <c r="D19" s="97">
        <v>382423</v>
      </c>
      <c r="E19" s="97">
        <f t="shared" si="0"/>
        <v>80837</v>
      </c>
      <c r="F19" s="98">
        <f t="shared" si="1"/>
        <v>0.26803963048682633</v>
      </c>
    </row>
    <row r="20" spans="1:6" ht="18" customHeight="1" x14ac:dyDescent="0.25">
      <c r="A20" s="99">
        <v>7</v>
      </c>
      <c r="B20" s="100" t="s">
        <v>118</v>
      </c>
      <c r="C20" s="97">
        <v>77094535</v>
      </c>
      <c r="D20" s="97">
        <v>55276518</v>
      </c>
      <c r="E20" s="97">
        <f t="shared" si="0"/>
        <v>-21818017</v>
      </c>
      <c r="F20" s="98">
        <f t="shared" si="1"/>
        <v>-0.28300341911394888</v>
      </c>
    </row>
    <row r="21" spans="1:6" ht="18" customHeight="1" x14ac:dyDescent="0.25">
      <c r="A21" s="99">
        <v>8</v>
      </c>
      <c r="B21" s="100" t="s">
        <v>119</v>
      </c>
      <c r="C21" s="97">
        <v>1178284</v>
      </c>
      <c r="D21" s="97">
        <v>1724478</v>
      </c>
      <c r="E21" s="97">
        <f t="shared" si="0"/>
        <v>546194</v>
      </c>
      <c r="F21" s="98">
        <f t="shared" si="1"/>
        <v>0.46355038343896715</v>
      </c>
    </row>
    <row r="22" spans="1:6" ht="18" customHeight="1" x14ac:dyDescent="0.25">
      <c r="A22" s="99">
        <v>9</v>
      </c>
      <c r="B22" s="100" t="s">
        <v>120</v>
      </c>
      <c r="C22" s="97">
        <v>1175924</v>
      </c>
      <c r="D22" s="97">
        <v>656211</v>
      </c>
      <c r="E22" s="97">
        <f t="shared" si="0"/>
        <v>-519713</v>
      </c>
      <c r="F22" s="98">
        <f t="shared" si="1"/>
        <v>-0.44196138525959161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268209</v>
      </c>
      <c r="D24" s="97">
        <v>104221</v>
      </c>
      <c r="E24" s="97">
        <f t="shared" si="0"/>
        <v>-163988</v>
      </c>
      <c r="F24" s="98">
        <f t="shared" si="1"/>
        <v>-0.61141870705308177</v>
      </c>
    </row>
    <row r="25" spans="1:6" ht="18" customHeight="1" x14ac:dyDescent="0.25">
      <c r="A25" s="101"/>
      <c r="B25" s="102" t="s">
        <v>123</v>
      </c>
      <c r="C25" s="103">
        <f>SUM(C14:C24)</f>
        <v>259180572</v>
      </c>
      <c r="D25" s="103">
        <f>SUM(D14:D24)</f>
        <v>232681945</v>
      </c>
      <c r="E25" s="103">
        <f t="shared" si="0"/>
        <v>-26498627</v>
      </c>
      <c r="F25" s="104">
        <f t="shared" si="1"/>
        <v>-0.10224002052129123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74210762</v>
      </c>
      <c r="D27" s="97">
        <v>82547244</v>
      </c>
      <c r="E27" s="97">
        <f t="shared" ref="E27:E38" si="2">D27-C27</f>
        <v>8336482</v>
      </c>
      <c r="F27" s="98">
        <f t="shared" ref="F27:F38" si="3">IF(C27=0,0,E27/C27)</f>
        <v>0.11233521628574572</v>
      </c>
    </row>
    <row r="28" spans="1:6" ht="18" customHeight="1" x14ac:dyDescent="0.25">
      <c r="A28" s="99">
        <v>2</v>
      </c>
      <c r="B28" s="100" t="s">
        <v>113</v>
      </c>
      <c r="C28" s="97">
        <v>16696338</v>
      </c>
      <c r="D28" s="97">
        <v>21774143</v>
      </c>
      <c r="E28" s="97">
        <f t="shared" si="2"/>
        <v>5077805</v>
      </c>
      <c r="F28" s="98">
        <f t="shared" si="3"/>
        <v>0.30412686901762531</v>
      </c>
    </row>
    <row r="29" spans="1:6" ht="18" customHeight="1" x14ac:dyDescent="0.25">
      <c r="A29" s="99">
        <v>3</v>
      </c>
      <c r="B29" s="100" t="s">
        <v>114</v>
      </c>
      <c r="C29" s="97">
        <v>27694792</v>
      </c>
      <c r="D29" s="97">
        <v>44727664</v>
      </c>
      <c r="E29" s="97">
        <f t="shared" si="2"/>
        <v>17032872</v>
      </c>
      <c r="F29" s="98">
        <f t="shared" si="3"/>
        <v>0.61502075913767473</v>
      </c>
    </row>
    <row r="30" spans="1:6" ht="18" customHeight="1" x14ac:dyDescent="0.25">
      <c r="A30" s="99">
        <v>4</v>
      </c>
      <c r="B30" s="100" t="s">
        <v>115</v>
      </c>
      <c r="C30" s="97">
        <v>16318322</v>
      </c>
      <c r="D30" s="97">
        <v>4074609</v>
      </c>
      <c r="E30" s="97">
        <f t="shared" si="2"/>
        <v>-12243713</v>
      </c>
      <c r="F30" s="98">
        <f t="shared" si="3"/>
        <v>-0.75030465754996134</v>
      </c>
    </row>
    <row r="31" spans="1:6" ht="18" customHeight="1" x14ac:dyDescent="0.25">
      <c r="A31" s="99">
        <v>5</v>
      </c>
      <c r="B31" s="100" t="s">
        <v>116</v>
      </c>
      <c r="C31" s="97">
        <v>1791179</v>
      </c>
      <c r="D31" s="97">
        <v>1866697</v>
      </c>
      <c r="E31" s="97">
        <f t="shared" si="2"/>
        <v>75518</v>
      </c>
      <c r="F31" s="98">
        <f t="shared" si="3"/>
        <v>4.2161057046783156E-2</v>
      </c>
    </row>
    <row r="32" spans="1:6" ht="18" customHeight="1" x14ac:dyDescent="0.25">
      <c r="A32" s="99">
        <v>6</v>
      </c>
      <c r="B32" s="100" t="s">
        <v>117</v>
      </c>
      <c r="C32" s="97">
        <v>995672</v>
      </c>
      <c r="D32" s="97">
        <v>846275</v>
      </c>
      <c r="E32" s="97">
        <f t="shared" si="2"/>
        <v>-149397</v>
      </c>
      <c r="F32" s="98">
        <f t="shared" si="3"/>
        <v>-0.15004640082276091</v>
      </c>
    </row>
    <row r="33" spans="1:6" ht="18" customHeight="1" x14ac:dyDescent="0.25">
      <c r="A33" s="99">
        <v>7</v>
      </c>
      <c r="B33" s="100" t="s">
        <v>118</v>
      </c>
      <c r="C33" s="97">
        <v>130571717</v>
      </c>
      <c r="D33" s="97">
        <v>140455915</v>
      </c>
      <c r="E33" s="97">
        <f t="shared" si="2"/>
        <v>9884198</v>
      </c>
      <c r="F33" s="98">
        <f t="shared" si="3"/>
        <v>7.5699379828175192E-2</v>
      </c>
    </row>
    <row r="34" spans="1:6" ht="18" customHeight="1" x14ac:dyDescent="0.25">
      <c r="A34" s="99">
        <v>8</v>
      </c>
      <c r="B34" s="100" t="s">
        <v>119</v>
      </c>
      <c r="C34" s="97">
        <v>3657368</v>
      </c>
      <c r="D34" s="97">
        <v>3304016</v>
      </c>
      <c r="E34" s="97">
        <f t="shared" si="2"/>
        <v>-353352</v>
      </c>
      <c r="F34" s="98">
        <f t="shared" si="3"/>
        <v>-9.6613739716648689E-2</v>
      </c>
    </row>
    <row r="35" spans="1:6" ht="18" customHeight="1" x14ac:dyDescent="0.25">
      <c r="A35" s="99">
        <v>9</v>
      </c>
      <c r="B35" s="100" t="s">
        <v>120</v>
      </c>
      <c r="C35" s="97">
        <v>2457383</v>
      </c>
      <c r="D35" s="97">
        <v>2748229</v>
      </c>
      <c r="E35" s="97">
        <f t="shared" si="2"/>
        <v>290846</v>
      </c>
      <c r="F35" s="98">
        <f t="shared" si="3"/>
        <v>0.11835599090577252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149029</v>
      </c>
      <c r="D37" s="97">
        <v>114654</v>
      </c>
      <c r="E37" s="97">
        <f t="shared" si="2"/>
        <v>-34375</v>
      </c>
      <c r="F37" s="98">
        <f t="shared" si="3"/>
        <v>-0.23065980446758685</v>
      </c>
    </row>
    <row r="38" spans="1:6" ht="18" customHeight="1" x14ac:dyDescent="0.25">
      <c r="A38" s="101"/>
      <c r="B38" s="102" t="s">
        <v>126</v>
      </c>
      <c r="C38" s="103">
        <f>SUM(C27:C37)</f>
        <v>274542562</v>
      </c>
      <c r="D38" s="103">
        <f>SUM(D27:D37)</f>
        <v>302459446</v>
      </c>
      <c r="E38" s="103">
        <f t="shared" si="2"/>
        <v>27916884</v>
      </c>
      <c r="F38" s="104">
        <f t="shared" si="3"/>
        <v>0.10168508589935865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172116255</v>
      </c>
      <c r="D41" s="103">
        <f t="shared" si="4"/>
        <v>182721117</v>
      </c>
      <c r="E41" s="107">
        <f t="shared" ref="E41:E52" si="5">D41-C41</f>
        <v>10604862</v>
      </c>
      <c r="F41" s="108">
        <f t="shared" ref="F41:F52" si="6">IF(C41=0,0,E41/C41)</f>
        <v>6.1614529086750115E-2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34196763</v>
      </c>
      <c r="D42" s="103">
        <f t="shared" si="4"/>
        <v>42189038</v>
      </c>
      <c r="E42" s="107">
        <f t="shared" si="5"/>
        <v>7992275</v>
      </c>
      <c r="F42" s="108">
        <f t="shared" si="6"/>
        <v>0.23371437232231601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63116419</v>
      </c>
      <c r="D43" s="103">
        <f t="shared" si="4"/>
        <v>95950171</v>
      </c>
      <c r="E43" s="107">
        <f t="shared" si="5"/>
        <v>32833752</v>
      </c>
      <c r="F43" s="108">
        <f t="shared" si="6"/>
        <v>0.52020936105389626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42374447</v>
      </c>
      <c r="D44" s="103">
        <f t="shared" si="4"/>
        <v>6113600</v>
      </c>
      <c r="E44" s="107">
        <f t="shared" si="5"/>
        <v>-36260847</v>
      </c>
      <c r="F44" s="108">
        <f t="shared" si="6"/>
        <v>-0.85572437086907593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4069543</v>
      </c>
      <c r="D45" s="103">
        <f t="shared" si="4"/>
        <v>2554525</v>
      </c>
      <c r="E45" s="107">
        <f t="shared" si="5"/>
        <v>-1515018</v>
      </c>
      <c r="F45" s="108">
        <f t="shared" si="6"/>
        <v>-0.37228209654007832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1297258</v>
      </c>
      <c r="D46" s="103">
        <f t="shared" si="4"/>
        <v>1228698</v>
      </c>
      <c r="E46" s="107">
        <f t="shared" si="5"/>
        <v>-68560</v>
      </c>
      <c r="F46" s="108">
        <f t="shared" si="6"/>
        <v>-5.2849934245924865E-2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207666252</v>
      </c>
      <c r="D47" s="103">
        <f t="shared" si="4"/>
        <v>195732433</v>
      </c>
      <c r="E47" s="107">
        <f t="shared" si="5"/>
        <v>-11933819</v>
      </c>
      <c r="F47" s="108">
        <f t="shared" si="6"/>
        <v>-5.7466337862157789E-2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4835652</v>
      </c>
      <c r="D48" s="103">
        <f t="shared" si="4"/>
        <v>5028494</v>
      </c>
      <c r="E48" s="107">
        <f t="shared" si="5"/>
        <v>192842</v>
      </c>
      <c r="F48" s="108">
        <f t="shared" si="6"/>
        <v>3.9879213806121701E-2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3633307</v>
      </c>
      <c r="D49" s="103">
        <f t="shared" si="4"/>
        <v>3404440</v>
      </c>
      <c r="E49" s="107">
        <f t="shared" si="5"/>
        <v>-228867</v>
      </c>
      <c r="F49" s="108">
        <f t="shared" si="6"/>
        <v>-6.2991373974178339E-2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417238</v>
      </c>
      <c r="D51" s="103">
        <f t="shared" si="4"/>
        <v>218875</v>
      </c>
      <c r="E51" s="107">
        <f t="shared" si="5"/>
        <v>-198363</v>
      </c>
      <c r="F51" s="108">
        <f t="shared" si="6"/>
        <v>-0.47541930504891694</v>
      </c>
    </row>
    <row r="52" spans="1:6" ht="18.75" customHeight="1" thickBot="1" x14ac:dyDescent="0.3">
      <c r="A52" s="109"/>
      <c r="B52" s="110" t="s">
        <v>128</v>
      </c>
      <c r="C52" s="111">
        <f>SUM(C41:C51)</f>
        <v>533723134</v>
      </c>
      <c r="D52" s="112">
        <f>SUM(D41:D51)</f>
        <v>535141391</v>
      </c>
      <c r="E52" s="111">
        <f t="shared" si="5"/>
        <v>1418257</v>
      </c>
      <c r="F52" s="113">
        <f t="shared" si="6"/>
        <v>2.6572897250505914E-3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59977372</v>
      </c>
      <c r="D57" s="97">
        <v>55483068</v>
      </c>
      <c r="E57" s="97">
        <f t="shared" ref="E57:E68" si="7">D57-C57</f>
        <v>-4494304</v>
      </c>
      <c r="F57" s="98">
        <f t="shared" ref="F57:F68" si="8">IF(C57=0,0,E57/C57)</f>
        <v>-7.4933326521875621E-2</v>
      </c>
    </row>
    <row r="58" spans="1:6" ht="18" customHeight="1" x14ac:dyDescent="0.25">
      <c r="A58" s="99">
        <v>2</v>
      </c>
      <c r="B58" s="100" t="s">
        <v>113</v>
      </c>
      <c r="C58" s="97">
        <v>9396837</v>
      </c>
      <c r="D58" s="97">
        <v>10082014</v>
      </c>
      <c r="E58" s="97">
        <f t="shared" si="7"/>
        <v>685177</v>
      </c>
      <c r="F58" s="98">
        <f t="shared" si="8"/>
        <v>7.2915705571991937E-2</v>
      </c>
    </row>
    <row r="59" spans="1:6" ht="18" customHeight="1" x14ac:dyDescent="0.25">
      <c r="A59" s="99">
        <v>3</v>
      </c>
      <c r="B59" s="100" t="s">
        <v>114</v>
      </c>
      <c r="C59" s="97">
        <v>10583817</v>
      </c>
      <c r="D59" s="97">
        <v>17585699</v>
      </c>
      <c r="E59" s="97">
        <f t="shared" si="7"/>
        <v>7001882</v>
      </c>
      <c r="F59" s="98">
        <f t="shared" si="8"/>
        <v>0.66156491556874042</v>
      </c>
    </row>
    <row r="60" spans="1:6" ht="18" customHeight="1" x14ac:dyDescent="0.25">
      <c r="A60" s="99">
        <v>4</v>
      </c>
      <c r="B60" s="100" t="s">
        <v>115</v>
      </c>
      <c r="C60" s="97">
        <v>9391697</v>
      </c>
      <c r="D60" s="97">
        <v>515811</v>
      </c>
      <c r="E60" s="97">
        <f t="shared" si="7"/>
        <v>-8875886</v>
      </c>
      <c r="F60" s="98">
        <f t="shared" si="8"/>
        <v>-0.94507797685551398</v>
      </c>
    </row>
    <row r="61" spans="1:6" ht="18" customHeight="1" x14ac:dyDescent="0.25">
      <c r="A61" s="99">
        <v>5</v>
      </c>
      <c r="B61" s="100" t="s">
        <v>116</v>
      </c>
      <c r="C61" s="97">
        <v>716506</v>
      </c>
      <c r="D61" s="97">
        <v>260561</v>
      </c>
      <c r="E61" s="97">
        <f t="shared" si="7"/>
        <v>-455945</v>
      </c>
      <c r="F61" s="98">
        <f t="shared" si="8"/>
        <v>-0.63634498524785554</v>
      </c>
    </row>
    <row r="62" spans="1:6" ht="18" customHeight="1" x14ac:dyDescent="0.25">
      <c r="A62" s="99">
        <v>6</v>
      </c>
      <c r="B62" s="100" t="s">
        <v>117</v>
      </c>
      <c r="C62" s="97">
        <v>136507</v>
      </c>
      <c r="D62" s="97">
        <v>292587</v>
      </c>
      <c r="E62" s="97">
        <f t="shared" si="7"/>
        <v>156080</v>
      </c>
      <c r="F62" s="98">
        <f t="shared" si="8"/>
        <v>1.1433845883361293</v>
      </c>
    </row>
    <row r="63" spans="1:6" ht="18" customHeight="1" x14ac:dyDescent="0.25">
      <c r="A63" s="99">
        <v>7</v>
      </c>
      <c r="B63" s="100" t="s">
        <v>118</v>
      </c>
      <c r="C63" s="97">
        <v>47247166</v>
      </c>
      <c r="D63" s="97">
        <v>36610760</v>
      </c>
      <c r="E63" s="97">
        <f t="shared" si="7"/>
        <v>-10636406</v>
      </c>
      <c r="F63" s="98">
        <f t="shared" si="8"/>
        <v>-0.22512262428607888</v>
      </c>
    </row>
    <row r="64" spans="1:6" ht="18" customHeight="1" x14ac:dyDescent="0.25">
      <c r="A64" s="99">
        <v>8</v>
      </c>
      <c r="B64" s="100" t="s">
        <v>119</v>
      </c>
      <c r="C64" s="97">
        <v>895197</v>
      </c>
      <c r="D64" s="97">
        <v>1404563</v>
      </c>
      <c r="E64" s="97">
        <f t="shared" si="7"/>
        <v>509366</v>
      </c>
      <c r="F64" s="98">
        <f t="shared" si="8"/>
        <v>0.56899877903969742</v>
      </c>
    </row>
    <row r="65" spans="1:6" ht="18" customHeight="1" x14ac:dyDescent="0.25">
      <c r="A65" s="99">
        <v>9</v>
      </c>
      <c r="B65" s="100" t="s">
        <v>120</v>
      </c>
      <c r="C65" s="97">
        <v>230603</v>
      </c>
      <c r="D65" s="97">
        <v>35827</v>
      </c>
      <c r="E65" s="97">
        <f t="shared" si="7"/>
        <v>-194776</v>
      </c>
      <c r="F65" s="98">
        <f t="shared" si="8"/>
        <v>-0.84463775406217612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46811</v>
      </c>
      <c r="D67" s="97">
        <v>32444</v>
      </c>
      <c r="E67" s="97">
        <f t="shared" si="7"/>
        <v>-14367</v>
      </c>
      <c r="F67" s="98">
        <f t="shared" si="8"/>
        <v>-0.30691504133643804</v>
      </c>
    </row>
    <row r="68" spans="1:6" ht="18" customHeight="1" x14ac:dyDescent="0.25">
      <c r="A68" s="101"/>
      <c r="B68" s="102" t="s">
        <v>131</v>
      </c>
      <c r="C68" s="103">
        <f>SUM(C57:C67)</f>
        <v>138622513</v>
      </c>
      <c r="D68" s="103">
        <f>SUM(D57:D67)</f>
        <v>122303334</v>
      </c>
      <c r="E68" s="103">
        <f t="shared" si="7"/>
        <v>-16319179</v>
      </c>
      <c r="F68" s="104">
        <f t="shared" si="8"/>
        <v>-0.11772387216786352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26728132</v>
      </c>
      <c r="D70" s="97">
        <v>28278499</v>
      </c>
      <c r="E70" s="97">
        <f t="shared" ref="E70:E81" si="9">D70-C70</f>
        <v>1550367</v>
      </c>
      <c r="F70" s="98">
        <f t="shared" ref="F70:F81" si="10">IF(C70=0,0,E70/C70)</f>
        <v>5.800506372835932E-2</v>
      </c>
    </row>
    <row r="71" spans="1:6" ht="18" customHeight="1" x14ac:dyDescent="0.25">
      <c r="A71" s="99">
        <v>2</v>
      </c>
      <c r="B71" s="100" t="s">
        <v>113</v>
      </c>
      <c r="C71" s="97">
        <v>5229762</v>
      </c>
      <c r="D71" s="97">
        <v>7148700</v>
      </c>
      <c r="E71" s="97">
        <f t="shared" si="9"/>
        <v>1918938</v>
      </c>
      <c r="F71" s="98">
        <f t="shared" si="10"/>
        <v>0.36692644904299659</v>
      </c>
    </row>
    <row r="72" spans="1:6" ht="18" customHeight="1" x14ac:dyDescent="0.25">
      <c r="A72" s="99">
        <v>3</v>
      </c>
      <c r="B72" s="100" t="s">
        <v>114</v>
      </c>
      <c r="C72" s="97">
        <v>11513089</v>
      </c>
      <c r="D72" s="97">
        <v>17506014</v>
      </c>
      <c r="E72" s="97">
        <f t="shared" si="9"/>
        <v>5992925</v>
      </c>
      <c r="F72" s="98">
        <f t="shared" si="10"/>
        <v>0.52053145771738585</v>
      </c>
    </row>
    <row r="73" spans="1:6" ht="18" customHeight="1" x14ac:dyDescent="0.25">
      <c r="A73" s="99">
        <v>4</v>
      </c>
      <c r="B73" s="100" t="s">
        <v>115</v>
      </c>
      <c r="C73" s="97">
        <v>7368668</v>
      </c>
      <c r="D73" s="97">
        <v>1843659</v>
      </c>
      <c r="E73" s="97">
        <f t="shared" si="9"/>
        <v>-5525009</v>
      </c>
      <c r="F73" s="98">
        <f t="shared" si="10"/>
        <v>-0.74979752107165099</v>
      </c>
    </row>
    <row r="74" spans="1:6" ht="18" customHeight="1" x14ac:dyDescent="0.25">
      <c r="A74" s="99">
        <v>5</v>
      </c>
      <c r="B74" s="100" t="s">
        <v>116</v>
      </c>
      <c r="C74" s="97">
        <v>647617</v>
      </c>
      <c r="D74" s="97">
        <v>700897</v>
      </c>
      <c r="E74" s="97">
        <f t="shared" si="9"/>
        <v>53280</v>
      </c>
      <c r="F74" s="98">
        <f t="shared" si="10"/>
        <v>8.2270848356358769E-2</v>
      </c>
    </row>
    <row r="75" spans="1:6" ht="18" customHeight="1" x14ac:dyDescent="0.25">
      <c r="A75" s="99">
        <v>6</v>
      </c>
      <c r="B75" s="100" t="s">
        <v>117</v>
      </c>
      <c r="C75" s="97">
        <v>553058</v>
      </c>
      <c r="D75" s="97">
        <v>627712</v>
      </c>
      <c r="E75" s="97">
        <f t="shared" si="9"/>
        <v>74654</v>
      </c>
      <c r="F75" s="98">
        <f t="shared" si="10"/>
        <v>0.13498403422425859</v>
      </c>
    </row>
    <row r="76" spans="1:6" ht="18" customHeight="1" x14ac:dyDescent="0.25">
      <c r="A76" s="99">
        <v>7</v>
      </c>
      <c r="B76" s="100" t="s">
        <v>118</v>
      </c>
      <c r="C76" s="97">
        <v>67007321</v>
      </c>
      <c r="D76" s="97">
        <v>83671659</v>
      </c>
      <c r="E76" s="97">
        <f t="shared" si="9"/>
        <v>16664338</v>
      </c>
      <c r="F76" s="98">
        <f t="shared" si="10"/>
        <v>0.24869428819576297</v>
      </c>
    </row>
    <row r="77" spans="1:6" ht="18" customHeight="1" x14ac:dyDescent="0.25">
      <c r="A77" s="99">
        <v>8</v>
      </c>
      <c r="B77" s="100" t="s">
        <v>119</v>
      </c>
      <c r="C77" s="97">
        <v>2531327</v>
      </c>
      <c r="D77" s="97">
        <v>2627156</v>
      </c>
      <c r="E77" s="97">
        <f t="shared" si="9"/>
        <v>95829</v>
      </c>
      <c r="F77" s="98">
        <f t="shared" si="10"/>
        <v>3.7857218763123056E-2</v>
      </c>
    </row>
    <row r="78" spans="1:6" ht="18" customHeight="1" x14ac:dyDescent="0.25">
      <c r="A78" s="99">
        <v>9</v>
      </c>
      <c r="B78" s="100" t="s">
        <v>120</v>
      </c>
      <c r="C78" s="97">
        <v>342475</v>
      </c>
      <c r="D78" s="97">
        <v>567343</v>
      </c>
      <c r="E78" s="97">
        <f t="shared" si="9"/>
        <v>224868</v>
      </c>
      <c r="F78" s="98">
        <f t="shared" si="10"/>
        <v>0.65659683188553908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10854</v>
      </c>
      <c r="D80" s="97">
        <v>93074</v>
      </c>
      <c r="E80" s="97">
        <f t="shared" si="9"/>
        <v>82220</v>
      </c>
      <c r="F80" s="98">
        <f t="shared" si="10"/>
        <v>7.5750875253362819</v>
      </c>
    </row>
    <row r="81" spans="1:6" ht="18" customHeight="1" x14ac:dyDescent="0.25">
      <c r="A81" s="101"/>
      <c r="B81" s="102" t="s">
        <v>133</v>
      </c>
      <c r="C81" s="103">
        <f>SUM(C70:C80)</f>
        <v>121932303</v>
      </c>
      <c r="D81" s="103">
        <f>SUM(D70:D80)</f>
        <v>143064713</v>
      </c>
      <c r="E81" s="103">
        <f t="shared" si="9"/>
        <v>21132410</v>
      </c>
      <c r="F81" s="104">
        <f t="shared" si="10"/>
        <v>0.17331264546032563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86705504</v>
      </c>
      <c r="D84" s="103">
        <f t="shared" si="11"/>
        <v>83761567</v>
      </c>
      <c r="E84" s="103">
        <f t="shared" ref="E84:E95" si="12">D84-C84</f>
        <v>-2943937</v>
      </c>
      <c r="F84" s="104">
        <f t="shared" ref="F84:F95" si="13">IF(C84=0,0,E84/C84)</f>
        <v>-3.3953288593997447E-2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14626599</v>
      </c>
      <c r="D85" s="103">
        <f t="shared" si="11"/>
        <v>17230714</v>
      </c>
      <c r="E85" s="103">
        <f t="shared" si="12"/>
        <v>2604115</v>
      </c>
      <c r="F85" s="104">
        <f t="shared" si="13"/>
        <v>0.17803967962750603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22096906</v>
      </c>
      <c r="D86" s="103">
        <f t="shared" si="11"/>
        <v>35091713</v>
      </c>
      <c r="E86" s="103">
        <f t="shared" si="12"/>
        <v>12994807</v>
      </c>
      <c r="F86" s="104">
        <f t="shared" si="13"/>
        <v>0.58808264831284529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16760365</v>
      </c>
      <c r="D87" s="103">
        <f t="shared" si="11"/>
        <v>2359470</v>
      </c>
      <c r="E87" s="103">
        <f t="shared" si="12"/>
        <v>-14400895</v>
      </c>
      <c r="F87" s="104">
        <f t="shared" si="13"/>
        <v>-0.8592232329069206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1364123</v>
      </c>
      <c r="D88" s="103">
        <f t="shared" si="11"/>
        <v>961458</v>
      </c>
      <c r="E88" s="103">
        <f t="shared" si="12"/>
        <v>-402665</v>
      </c>
      <c r="F88" s="104">
        <f t="shared" si="13"/>
        <v>-0.29518232593395172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689565</v>
      </c>
      <c r="D89" s="103">
        <f t="shared" si="11"/>
        <v>920299</v>
      </c>
      <c r="E89" s="103">
        <f t="shared" si="12"/>
        <v>230734</v>
      </c>
      <c r="F89" s="104">
        <f t="shared" si="13"/>
        <v>0.33460805000253785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114254487</v>
      </c>
      <c r="D90" s="103">
        <f t="shared" si="11"/>
        <v>120282419</v>
      </c>
      <c r="E90" s="103">
        <f t="shared" si="12"/>
        <v>6027932</v>
      </c>
      <c r="F90" s="104">
        <f t="shared" si="13"/>
        <v>5.275882075423436E-2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3426524</v>
      </c>
      <c r="D91" s="103">
        <f t="shared" si="11"/>
        <v>4031719</v>
      </c>
      <c r="E91" s="103">
        <f t="shared" si="12"/>
        <v>605195</v>
      </c>
      <c r="F91" s="104">
        <f t="shared" si="13"/>
        <v>0.17662068031626219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573078</v>
      </c>
      <c r="D92" s="103">
        <f t="shared" si="11"/>
        <v>603170</v>
      </c>
      <c r="E92" s="103">
        <f t="shared" si="12"/>
        <v>30092</v>
      </c>
      <c r="F92" s="104">
        <f t="shared" si="13"/>
        <v>5.2509431525900485E-2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57665</v>
      </c>
      <c r="D94" s="103">
        <f t="shared" si="11"/>
        <v>125518</v>
      </c>
      <c r="E94" s="103">
        <f t="shared" si="12"/>
        <v>67853</v>
      </c>
      <c r="F94" s="104">
        <f t="shared" si="13"/>
        <v>1.1766756264631926</v>
      </c>
    </row>
    <row r="95" spans="1:6" ht="18.75" customHeight="1" thickBot="1" x14ac:dyDescent="0.3">
      <c r="A95" s="115"/>
      <c r="B95" s="116" t="s">
        <v>134</v>
      </c>
      <c r="C95" s="112">
        <f>SUM(C84:C94)</f>
        <v>260554816</v>
      </c>
      <c r="D95" s="112">
        <f>SUM(D84:D94)</f>
        <v>265368047</v>
      </c>
      <c r="E95" s="112">
        <f t="shared" si="12"/>
        <v>4813231</v>
      </c>
      <c r="F95" s="113">
        <f t="shared" si="13"/>
        <v>1.8473007230846963E-2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3268</v>
      </c>
      <c r="D100" s="117">
        <v>3101</v>
      </c>
      <c r="E100" s="117">
        <f t="shared" ref="E100:E111" si="14">D100-C100</f>
        <v>-167</v>
      </c>
      <c r="F100" s="98">
        <f t="shared" ref="F100:F111" si="15">IF(C100=0,0,E100/C100)</f>
        <v>-5.1101591187270499E-2</v>
      </c>
    </row>
    <row r="101" spans="1:6" ht="18" customHeight="1" x14ac:dyDescent="0.25">
      <c r="A101" s="99">
        <v>2</v>
      </c>
      <c r="B101" s="100" t="s">
        <v>113</v>
      </c>
      <c r="C101" s="117">
        <v>543</v>
      </c>
      <c r="D101" s="117">
        <v>599</v>
      </c>
      <c r="E101" s="117">
        <f t="shared" si="14"/>
        <v>56</v>
      </c>
      <c r="F101" s="98">
        <f t="shared" si="15"/>
        <v>0.10313075506445672</v>
      </c>
    </row>
    <row r="102" spans="1:6" ht="18" customHeight="1" x14ac:dyDescent="0.25">
      <c r="A102" s="99">
        <v>3</v>
      </c>
      <c r="B102" s="100" t="s">
        <v>114</v>
      </c>
      <c r="C102" s="117">
        <v>1116</v>
      </c>
      <c r="D102" s="117">
        <v>1939</v>
      </c>
      <c r="E102" s="117">
        <f t="shared" si="14"/>
        <v>823</v>
      </c>
      <c r="F102" s="98">
        <f t="shared" si="15"/>
        <v>0.73745519713261654</v>
      </c>
    </row>
    <row r="103" spans="1:6" ht="18" customHeight="1" x14ac:dyDescent="0.25">
      <c r="A103" s="99">
        <v>4</v>
      </c>
      <c r="B103" s="100" t="s">
        <v>115</v>
      </c>
      <c r="C103" s="117">
        <v>756</v>
      </c>
      <c r="D103" s="117">
        <v>111</v>
      </c>
      <c r="E103" s="117">
        <f t="shared" si="14"/>
        <v>-645</v>
      </c>
      <c r="F103" s="98">
        <f t="shared" si="15"/>
        <v>-0.85317460317460314</v>
      </c>
    </row>
    <row r="104" spans="1:6" ht="18" customHeight="1" x14ac:dyDescent="0.25">
      <c r="A104" s="99">
        <v>5</v>
      </c>
      <c r="B104" s="100" t="s">
        <v>116</v>
      </c>
      <c r="C104" s="117">
        <v>62</v>
      </c>
      <c r="D104" s="117">
        <v>41</v>
      </c>
      <c r="E104" s="117">
        <f t="shared" si="14"/>
        <v>-21</v>
      </c>
      <c r="F104" s="98">
        <f t="shared" si="15"/>
        <v>-0.33870967741935482</v>
      </c>
    </row>
    <row r="105" spans="1:6" ht="18" customHeight="1" x14ac:dyDescent="0.25">
      <c r="A105" s="99">
        <v>6</v>
      </c>
      <c r="B105" s="100" t="s">
        <v>117</v>
      </c>
      <c r="C105" s="117">
        <v>18</v>
      </c>
      <c r="D105" s="117">
        <v>15</v>
      </c>
      <c r="E105" s="117">
        <f t="shared" si="14"/>
        <v>-3</v>
      </c>
      <c r="F105" s="98">
        <f t="shared" si="15"/>
        <v>-0.16666666666666666</v>
      </c>
    </row>
    <row r="106" spans="1:6" ht="18" customHeight="1" x14ac:dyDescent="0.25">
      <c r="A106" s="99">
        <v>7</v>
      </c>
      <c r="B106" s="100" t="s">
        <v>118</v>
      </c>
      <c r="C106" s="117">
        <v>3208</v>
      </c>
      <c r="D106" s="117">
        <v>2472</v>
      </c>
      <c r="E106" s="117">
        <f t="shared" si="14"/>
        <v>-736</v>
      </c>
      <c r="F106" s="98">
        <f t="shared" si="15"/>
        <v>-0.22942643391521197</v>
      </c>
    </row>
    <row r="107" spans="1:6" ht="18" customHeight="1" x14ac:dyDescent="0.25">
      <c r="A107" s="99">
        <v>8</v>
      </c>
      <c r="B107" s="100" t="s">
        <v>119</v>
      </c>
      <c r="C107" s="117">
        <v>52</v>
      </c>
      <c r="D107" s="117">
        <v>54</v>
      </c>
      <c r="E107" s="117">
        <f t="shared" si="14"/>
        <v>2</v>
      </c>
      <c r="F107" s="98">
        <f t="shared" si="15"/>
        <v>3.8461538461538464E-2</v>
      </c>
    </row>
    <row r="108" spans="1:6" ht="18" customHeight="1" x14ac:dyDescent="0.25">
      <c r="A108" s="99">
        <v>9</v>
      </c>
      <c r="B108" s="100" t="s">
        <v>120</v>
      </c>
      <c r="C108" s="117">
        <v>50</v>
      </c>
      <c r="D108" s="117">
        <v>39</v>
      </c>
      <c r="E108" s="117">
        <f t="shared" si="14"/>
        <v>-11</v>
      </c>
      <c r="F108" s="98">
        <f t="shared" si="15"/>
        <v>-0.22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9</v>
      </c>
      <c r="D110" s="117">
        <v>3</v>
      </c>
      <c r="E110" s="117">
        <f t="shared" si="14"/>
        <v>-6</v>
      </c>
      <c r="F110" s="98">
        <f t="shared" si="15"/>
        <v>-0.66666666666666663</v>
      </c>
    </row>
    <row r="111" spans="1:6" ht="18" customHeight="1" x14ac:dyDescent="0.25">
      <c r="A111" s="101"/>
      <c r="B111" s="102" t="s">
        <v>138</v>
      </c>
      <c r="C111" s="118">
        <f>SUM(C100:C110)</f>
        <v>9082</v>
      </c>
      <c r="D111" s="118">
        <f>SUM(D100:D110)</f>
        <v>8374</v>
      </c>
      <c r="E111" s="118">
        <f t="shared" si="14"/>
        <v>-708</v>
      </c>
      <c r="F111" s="104">
        <f t="shared" si="15"/>
        <v>-7.7956397269323935E-2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16928</v>
      </c>
      <c r="D113" s="117">
        <v>16717</v>
      </c>
      <c r="E113" s="117">
        <f t="shared" ref="E113:E124" si="16">D113-C113</f>
        <v>-211</v>
      </c>
      <c r="F113" s="98">
        <f t="shared" ref="F113:F124" si="17">IF(C113=0,0,E113/C113)</f>
        <v>-1.2464555765595462E-2</v>
      </c>
    </row>
    <row r="114" spans="1:6" ht="18" customHeight="1" x14ac:dyDescent="0.25">
      <c r="A114" s="99">
        <v>2</v>
      </c>
      <c r="B114" s="100" t="s">
        <v>113</v>
      </c>
      <c r="C114" s="117">
        <v>2454</v>
      </c>
      <c r="D114" s="117">
        <v>2983</v>
      </c>
      <c r="E114" s="117">
        <f t="shared" si="16"/>
        <v>529</v>
      </c>
      <c r="F114" s="98">
        <f t="shared" si="17"/>
        <v>0.21556642216788915</v>
      </c>
    </row>
    <row r="115" spans="1:6" ht="18" customHeight="1" x14ac:dyDescent="0.25">
      <c r="A115" s="99">
        <v>3</v>
      </c>
      <c r="B115" s="100" t="s">
        <v>114</v>
      </c>
      <c r="C115" s="117">
        <v>7383</v>
      </c>
      <c r="D115" s="117">
        <v>10324</v>
      </c>
      <c r="E115" s="117">
        <f t="shared" si="16"/>
        <v>2941</v>
      </c>
      <c r="F115" s="98">
        <f t="shared" si="17"/>
        <v>0.39834755519436543</v>
      </c>
    </row>
    <row r="116" spans="1:6" ht="18" customHeight="1" x14ac:dyDescent="0.25">
      <c r="A116" s="99">
        <v>4</v>
      </c>
      <c r="B116" s="100" t="s">
        <v>115</v>
      </c>
      <c r="C116" s="117">
        <v>6677</v>
      </c>
      <c r="D116" s="117">
        <v>373</v>
      </c>
      <c r="E116" s="117">
        <f t="shared" si="16"/>
        <v>-6304</v>
      </c>
      <c r="F116" s="98">
        <f t="shared" si="17"/>
        <v>-0.94413658828815339</v>
      </c>
    </row>
    <row r="117" spans="1:6" ht="18" customHeight="1" x14ac:dyDescent="0.25">
      <c r="A117" s="99">
        <v>5</v>
      </c>
      <c r="B117" s="100" t="s">
        <v>116</v>
      </c>
      <c r="C117" s="117">
        <v>529</v>
      </c>
      <c r="D117" s="117">
        <v>120</v>
      </c>
      <c r="E117" s="117">
        <f t="shared" si="16"/>
        <v>-409</v>
      </c>
      <c r="F117" s="98">
        <f t="shared" si="17"/>
        <v>-0.77315689981096414</v>
      </c>
    </row>
    <row r="118" spans="1:6" ht="18" customHeight="1" x14ac:dyDescent="0.25">
      <c r="A118" s="99">
        <v>6</v>
      </c>
      <c r="B118" s="100" t="s">
        <v>117</v>
      </c>
      <c r="C118" s="117">
        <v>75</v>
      </c>
      <c r="D118" s="117">
        <v>114</v>
      </c>
      <c r="E118" s="117">
        <f t="shared" si="16"/>
        <v>39</v>
      </c>
      <c r="F118" s="98">
        <f t="shared" si="17"/>
        <v>0.52</v>
      </c>
    </row>
    <row r="119" spans="1:6" ht="18" customHeight="1" x14ac:dyDescent="0.25">
      <c r="A119" s="99">
        <v>7</v>
      </c>
      <c r="B119" s="100" t="s">
        <v>118</v>
      </c>
      <c r="C119" s="117">
        <v>17141</v>
      </c>
      <c r="D119" s="117">
        <v>9368</v>
      </c>
      <c r="E119" s="117">
        <f t="shared" si="16"/>
        <v>-7773</v>
      </c>
      <c r="F119" s="98">
        <f t="shared" si="17"/>
        <v>-0.45347412636368939</v>
      </c>
    </row>
    <row r="120" spans="1:6" ht="18" customHeight="1" x14ac:dyDescent="0.25">
      <c r="A120" s="99">
        <v>8</v>
      </c>
      <c r="B120" s="100" t="s">
        <v>119</v>
      </c>
      <c r="C120" s="117">
        <v>113</v>
      </c>
      <c r="D120" s="117">
        <v>137</v>
      </c>
      <c r="E120" s="117">
        <f t="shared" si="16"/>
        <v>24</v>
      </c>
      <c r="F120" s="98">
        <f t="shared" si="17"/>
        <v>0.21238938053097345</v>
      </c>
    </row>
    <row r="121" spans="1:6" ht="18" customHeight="1" x14ac:dyDescent="0.25">
      <c r="A121" s="99">
        <v>9</v>
      </c>
      <c r="B121" s="100" t="s">
        <v>120</v>
      </c>
      <c r="C121" s="117">
        <v>234</v>
      </c>
      <c r="D121" s="117">
        <v>145</v>
      </c>
      <c r="E121" s="117">
        <f t="shared" si="16"/>
        <v>-89</v>
      </c>
      <c r="F121" s="98">
        <f t="shared" si="17"/>
        <v>-0.38034188034188032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14</v>
      </c>
      <c r="E122" s="117">
        <f t="shared" si="16"/>
        <v>14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80</v>
      </c>
      <c r="D123" s="117">
        <v>0</v>
      </c>
      <c r="E123" s="117">
        <f t="shared" si="16"/>
        <v>-80</v>
      </c>
      <c r="F123" s="98">
        <f t="shared" si="17"/>
        <v>-1</v>
      </c>
    </row>
    <row r="124" spans="1:6" ht="18" customHeight="1" x14ac:dyDescent="0.25">
      <c r="A124" s="101"/>
      <c r="B124" s="102" t="s">
        <v>140</v>
      </c>
      <c r="C124" s="118">
        <f>SUM(C113:C123)</f>
        <v>51614</v>
      </c>
      <c r="D124" s="118">
        <f>SUM(D113:D123)</f>
        <v>40295</v>
      </c>
      <c r="E124" s="118">
        <f t="shared" si="16"/>
        <v>-11319</v>
      </c>
      <c r="F124" s="104">
        <f t="shared" si="17"/>
        <v>-0.21930096485449685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82197</v>
      </c>
      <c r="D126" s="117">
        <v>91876</v>
      </c>
      <c r="E126" s="117">
        <f t="shared" ref="E126:E137" si="18">D126-C126</f>
        <v>9679</v>
      </c>
      <c r="F126" s="98">
        <f t="shared" ref="F126:F137" si="19">IF(C126=0,0,E126/C126)</f>
        <v>0.11775368930739565</v>
      </c>
    </row>
    <row r="127" spans="1:6" ht="18" customHeight="1" x14ac:dyDescent="0.25">
      <c r="A127" s="99">
        <v>2</v>
      </c>
      <c r="B127" s="100" t="s">
        <v>113</v>
      </c>
      <c r="C127" s="117">
        <v>16186</v>
      </c>
      <c r="D127" s="117">
        <v>20443</v>
      </c>
      <c r="E127" s="117">
        <f t="shared" si="18"/>
        <v>4257</v>
      </c>
      <c r="F127" s="98">
        <f t="shared" si="19"/>
        <v>0.26300506610651181</v>
      </c>
    </row>
    <row r="128" spans="1:6" ht="18" customHeight="1" x14ac:dyDescent="0.25">
      <c r="A128" s="99">
        <v>3</v>
      </c>
      <c r="B128" s="100" t="s">
        <v>114</v>
      </c>
      <c r="C128" s="117">
        <v>27575</v>
      </c>
      <c r="D128" s="117">
        <v>57726</v>
      </c>
      <c r="E128" s="117">
        <f t="shared" si="18"/>
        <v>30151</v>
      </c>
      <c r="F128" s="98">
        <f t="shared" si="19"/>
        <v>1.093417951042611</v>
      </c>
    </row>
    <row r="129" spans="1:6" ht="18" customHeight="1" x14ac:dyDescent="0.25">
      <c r="A129" s="99">
        <v>4</v>
      </c>
      <c r="B129" s="100" t="s">
        <v>115</v>
      </c>
      <c r="C129" s="117">
        <v>23872</v>
      </c>
      <c r="D129" s="117">
        <v>6513</v>
      </c>
      <c r="E129" s="117">
        <f t="shared" si="18"/>
        <v>-17359</v>
      </c>
      <c r="F129" s="98">
        <f t="shared" si="19"/>
        <v>-0.72716990616621979</v>
      </c>
    </row>
    <row r="130" spans="1:6" ht="18" customHeight="1" x14ac:dyDescent="0.25">
      <c r="A130" s="99">
        <v>5</v>
      </c>
      <c r="B130" s="100" t="s">
        <v>116</v>
      </c>
      <c r="C130" s="117">
        <v>2251</v>
      </c>
      <c r="D130" s="117">
        <v>2196</v>
      </c>
      <c r="E130" s="117">
        <f t="shared" si="18"/>
        <v>-55</v>
      </c>
      <c r="F130" s="98">
        <f t="shared" si="19"/>
        <v>-2.4433585073300755E-2</v>
      </c>
    </row>
    <row r="131" spans="1:6" ht="18" customHeight="1" x14ac:dyDescent="0.25">
      <c r="A131" s="99">
        <v>6</v>
      </c>
      <c r="B131" s="100" t="s">
        <v>117</v>
      </c>
      <c r="C131" s="117">
        <v>1306</v>
      </c>
      <c r="D131" s="117">
        <v>1335</v>
      </c>
      <c r="E131" s="117">
        <f t="shared" si="18"/>
        <v>29</v>
      </c>
      <c r="F131" s="98">
        <f t="shared" si="19"/>
        <v>2.22052067381317E-2</v>
      </c>
    </row>
    <row r="132" spans="1:6" ht="18" customHeight="1" x14ac:dyDescent="0.25">
      <c r="A132" s="99">
        <v>7</v>
      </c>
      <c r="B132" s="100" t="s">
        <v>118</v>
      </c>
      <c r="C132" s="117">
        <v>141837</v>
      </c>
      <c r="D132" s="117">
        <v>157477</v>
      </c>
      <c r="E132" s="117">
        <f t="shared" si="18"/>
        <v>15640</v>
      </c>
      <c r="F132" s="98">
        <f t="shared" si="19"/>
        <v>0.11026741964367549</v>
      </c>
    </row>
    <row r="133" spans="1:6" ht="18" customHeight="1" x14ac:dyDescent="0.25">
      <c r="A133" s="99">
        <v>8</v>
      </c>
      <c r="B133" s="100" t="s">
        <v>119</v>
      </c>
      <c r="C133" s="117">
        <v>2420</v>
      </c>
      <c r="D133" s="117">
        <v>2334</v>
      </c>
      <c r="E133" s="117">
        <f t="shared" si="18"/>
        <v>-86</v>
      </c>
      <c r="F133" s="98">
        <f t="shared" si="19"/>
        <v>-3.553719008264463E-2</v>
      </c>
    </row>
    <row r="134" spans="1:6" ht="18" customHeight="1" x14ac:dyDescent="0.25">
      <c r="A134" s="99">
        <v>9</v>
      </c>
      <c r="B134" s="100" t="s">
        <v>120</v>
      </c>
      <c r="C134" s="117">
        <v>4566</v>
      </c>
      <c r="D134" s="117">
        <v>5882</v>
      </c>
      <c r="E134" s="117">
        <f t="shared" si="18"/>
        <v>1316</v>
      </c>
      <c r="F134" s="98">
        <f t="shared" si="19"/>
        <v>0.28821725799386771</v>
      </c>
    </row>
    <row r="135" spans="1:6" ht="18" customHeight="1" x14ac:dyDescent="0.25">
      <c r="A135" s="99">
        <v>10</v>
      </c>
      <c r="B135" s="100" t="s">
        <v>121</v>
      </c>
      <c r="C135" s="117">
        <v>1</v>
      </c>
      <c r="D135" s="117">
        <v>0</v>
      </c>
      <c r="E135" s="117">
        <f t="shared" si="18"/>
        <v>-1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669</v>
      </c>
      <c r="D136" s="117">
        <v>747</v>
      </c>
      <c r="E136" s="117">
        <f t="shared" si="18"/>
        <v>78</v>
      </c>
      <c r="F136" s="98">
        <f t="shared" si="19"/>
        <v>0.11659192825112108</v>
      </c>
    </row>
    <row r="137" spans="1:6" ht="18" customHeight="1" x14ac:dyDescent="0.25">
      <c r="A137" s="101"/>
      <c r="B137" s="102" t="s">
        <v>143</v>
      </c>
      <c r="C137" s="118">
        <f>SUM(C126:C136)</f>
        <v>302880</v>
      </c>
      <c r="D137" s="118">
        <f>SUM(D126:D136)</f>
        <v>346529</v>
      </c>
      <c r="E137" s="118">
        <f t="shared" si="18"/>
        <v>43649</v>
      </c>
      <c r="F137" s="104">
        <f t="shared" si="19"/>
        <v>0.14411318013734811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7717499</v>
      </c>
      <c r="D142" s="97">
        <v>8196976</v>
      </c>
      <c r="E142" s="97">
        <f t="shared" ref="E142:E153" si="20">D142-C142</f>
        <v>479477</v>
      </c>
      <c r="F142" s="98">
        <f t="shared" ref="F142:F153" si="21">IF(C142=0,0,E142/C142)</f>
        <v>6.2128547085007722E-2</v>
      </c>
    </row>
    <row r="143" spans="1:6" ht="18" customHeight="1" x14ac:dyDescent="0.25">
      <c r="A143" s="99">
        <v>2</v>
      </c>
      <c r="B143" s="100" t="s">
        <v>113</v>
      </c>
      <c r="C143" s="97">
        <v>1370574</v>
      </c>
      <c r="D143" s="97">
        <v>1826100</v>
      </c>
      <c r="E143" s="97">
        <f t="shared" si="20"/>
        <v>455526</v>
      </c>
      <c r="F143" s="98">
        <f t="shared" si="21"/>
        <v>0.33236147774582037</v>
      </c>
    </row>
    <row r="144" spans="1:6" ht="18" customHeight="1" x14ac:dyDescent="0.25">
      <c r="A144" s="99">
        <v>3</v>
      </c>
      <c r="B144" s="100" t="s">
        <v>114</v>
      </c>
      <c r="C144" s="97">
        <v>3692310</v>
      </c>
      <c r="D144" s="97">
        <v>6578990</v>
      </c>
      <c r="E144" s="97">
        <f t="shared" si="20"/>
        <v>2886680</v>
      </c>
      <c r="F144" s="98">
        <f t="shared" si="21"/>
        <v>0.78180867803624288</v>
      </c>
    </row>
    <row r="145" spans="1:6" ht="18" customHeight="1" x14ac:dyDescent="0.25">
      <c r="A145" s="99">
        <v>4</v>
      </c>
      <c r="B145" s="100" t="s">
        <v>115</v>
      </c>
      <c r="C145" s="97">
        <v>2606775</v>
      </c>
      <c r="D145" s="97">
        <v>617745</v>
      </c>
      <c r="E145" s="97">
        <f t="shared" si="20"/>
        <v>-1989030</v>
      </c>
      <c r="F145" s="98">
        <f t="shared" si="21"/>
        <v>-0.76302327588687169</v>
      </c>
    </row>
    <row r="146" spans="1:6" ht="18" customHeight="1" x14ac:dyDescent="0.25">
      <c r="A146" s="99">
        <v>5</v>
      </c>
      <c r="B146" s="100" t="s">
        <v>116</v>
      </c>
      <c r="C146" s="97">
        <v>150918</v>
      </c>
      <c r="D146" s="97">
        <v>172622</v>
      </c>
      <c r="E146" s="97">
        <f t="shared" si="20"/>
        <v>21704</v>
      </c>
      <c r="F146" s="98">
        <f t="shared" si="21"/>
        <v>0.14381319657032296</v>
      </c>
    </row>
    <row r="147" spans="1:6" ht="18" customHeight="1" x14ac:dyDescent="0.25">
      <c r="A147" s="99">
        <v>6</v>
      </c>
      <c r="B147" s="100" t="s">
        <v>117</v>
      </c>
      <c r="C147" s="97">
        <v>265267</v>
      </c>
      <c r="D147" s="97">
        <v>244381</v>
      </c>
      <c r="E147" s="97">
        <f t="shared" si="20"/>
        <v>-20886</v>
      </c>
      <c r="F147" s="98">
        <f t="shared" si="21"/>
        <v>-7.8735764343095829E-2</v>
      </c>
    </row>
    <row r="148" spans="1:6" ht="18" customHeight="1" x14ac:dyDescent="0.25">
      <c r="A148" s="99">
        <v>7</v>
      </c>
      <c r="B148" s="100" t="s">
        <v>118</v>
      </c>
      <c r="C148" s="97">
        <v>13839677</v>
      </c>
      <c r="D148" s="97">
        <v>14499056</v>
      </c>
      <c r="E148" s="97">
        <f t="shared" si="20"/>
        <v>659379</v>
      </c>
      <c r="F148" s="98">
        <f t="shared" si="21"/>
        <v>4.764410325472191E-2</v>
      </c>
    </row>
    <row r="149" spans="1:6" ht="18" customHeight="1" x14ac:dyDescent="0.25">
      <c r="A149" s="99">
        <v>8</v>
      </c>
      <c r="B149" s="100" t="s">
        <v>119</v>
      </c>
      <c r="C149" s="97">
        <v>720984</v>
      </c>
      <c r="D149" s="97">
        <v>649010</v>
      </c>
      <c r="E149" s="97">
        <f t="shared" si="20"/>
        <v>-71974</v>
      </c>
      <c r="F149" s="98">
        <f t="shared" si="21"/>
        <v>-9.9827458029581789E-2</v>
      </c>
    </row>
    <row r="150" spans="1:6" ht="18" customHeight="1" x14ac:dyDescent="0.25">
      <c r="A150" s="99">
        <v>9</v>
      </c>
      <c r="B150" s="100" t="s">
        <v>120</v>
      </c>
      <c r="C150" s="97">
        <v>1445013</v>
      </c>
      <c r="D150" s="97">
        <v>1447623</v>
      </c>
      <c r="E150" s="97">
        <f t="shared" si="20"/>
        <v>2610</v>
      </c>
      <c r="F150" s="98">
        <f t="shared" si="21"/>
        <v>1.8062121240431748E-3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88609</v>
      </c>
      <c r="D152" s="97">
        <v>98811</v>
      </c>
      <c r="E152" s="97">
        <f t="shared" si="20"/>
        <v>10202</v>
      </c>
      <c r="F152" s="98">
        <f t="shared" si="21"/>
        <v>0.11513503143021589</v>
      </c>
    </row>
    <row r="153" spans="1:6" ht="33.75" customHeight="1" x14ac:dyDescent="0.25">
      <c r="A153" s="101"/>
      <c r="B153" s="102" t="s">
        <v>147</v>
      </c>
      <c r="C153" s="103">
        <f>SUM(C142:C152)</f>
        <v>31897626</v>
      </c>
      <c r="D153" s="103">
        <f>SUM(D142:D152)</f>
        <v>34331314</v>
      </c>
      <c r="E153" s="103">
        <f t="shared" si="20"/>
        <v>2433688</v>
      </c>
      <c r="F153" s="104">
        <f t="shared" si="21"/>
        <v>7.6296837890067429E-2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2266103</v>
      </c>
      <c r="D155" s="97">
        <v>2265688</v>
      </c>
      <c r="E155" s="97">
        <f t="shared" ref="E155:E166" si="22">D155-C155</f>
        <v>-415</v>
      </c>
      <c r="F155" s="98">
        <f t="shared" ref="F155:F166" si="23">IF(C155=0,0,E155/C155)</f>
        <v>-1.8313377635526717E-4</v>
      </c>
    </row>
    <row r="156" spans="1:6" ht="18" customHeight="1" x14ac:dyDescent="0.25">
      <c r="A156" s="99">
        <v>2</v>
      </c>
      <c r="B156" s="100" t="s">
        <v>113</v>
      </c>
      <c r="C156" s="97">
        <v>385577</v>
      </c>
      <c r="D156" s="97">
        <v>516916</v>
      </c>
      <c r="E156" s="97">
        <f t="shared" si="22"/>
        <v>131339</v>
      </c>
      <c r="F156" s="98">
        <f t="shared" si="23"/>
        <v>0.34062975748034763</v>
      </c>
    </row>
    <row r="157" spans="1:6" ht="18" customHeight="1" x14ac:dyDescent="0.25">
      <c r="A157" s="99">
        <v>3</v>
      </c>
      <c r="B157" s="100" t="s">
        <v>114</v>
      </c>
      <c r="C157" s="97">
        <v>1044273</v>
      </c>
      <c r="D157" s="97">
        <v>1743729</v>
      </c>
      <c r="E157" s="97">
        <f t="shared" si="22"/>
        <v>699456</v>
      </c>
      <c r="F157" s="98">
        <f t="shared" si="23"/>
        <v>0.66980186215673487</v>
      </c>
    </row>
    <row r="158" spans="1:6" ht="18" customHeight="1" x14ac:dyDescent="0.25">
      <c r="A158" s="99">
        <v>4</v>
      </c>
      <c r="B158" s="100" t="s">
        <v>115</v>
      </c>
      <c r="C158" s="97">
        <v>875251</v>
      </c>
      <c r="D158" s="97">
        <v>0</v>
      </c>
      <c r="E158" s="97">
        <f t="shared" si="22"/>
        <v>-875251</v>
      </c>
      <c r="F158" s="98">
        <f t="shared" si="23"/>
        <v>-1</v>
      </c>
    </row>
    <row r="159" spans="1:6" ht="18" customHeight="1" x14ac:dyDescent="0.25">
      <c r="A159" s="99">
        <v>5</v>
      </c>
      <c r="B159" s="100" t="s">
        <v>116</v>
      </c>
      <c r="C159" s="97">
        <v>59812</v>
      </c>
      <c r="D159" s="97">
        <v>57520</v>
      </c>
      <c r="E159" s="97">
        <f t="shared" si="22"/>
        <v>-2292</v>
      </c>
      <c r="F159" s="98">
        <f t="shared" si="23"/>
        <v>-3.8320069551260619E-2</v>
      </c>
    </row>
    <row r="160" spans="1:6" ht="18" customHeight="1" x14ac:dyDescent="0.25">
      <c r="A160" s="99">
        <v>6</v>
      </c>
      <c r="B160" s="100" t="s">
        <v>117</v>
      </c>
      <c r="C160" s="97">
        <v>149335</v>
      </c>
      <c r="D160" s="97">
        <v>143312</v>
      </c>
      <c r="E160" s="97">
        <f t="shared" si="22"/>
        <v>-6023</v>
      </c>
      <c r="F160" s="98">
        <f t="shared" si="23"/>
        <v>-4.0332139150232697E-2</v>
      </c>
    </row>
    <row r="161" spans="1:6" ht="18" customHeight="1" x14ac:dyDescent="0.25">
      <c r="A161" s="99">
        <v>7</v>
      </c>
      <c r="B161" s="100" t="s">
        <v>118</v>
      </c>
      <c r="C161" s="97">
        <v>7515900</v>
      </c>
      <c r="D161" s="97">
        <v>7777024</v>
      </c>
      <c r="E161" s="97">
        <f t="shared" si="22"/>
        <v>261124</v>
      </c>
      <c r="F161" s="98">
        <f t="shared" si="23"/>
        <v>3.4742878431059485E-2</v>
      </c>
    </row>
    <row r="162" spans="1:6" ht="18" customHeight="1" x14ac:dyDescent="0.25">
      <c r="A162" s="99">
        <v>8</v>
      </c>
      <c r="B162" s="100" t="s">
        <v>119</v>
      </c>
      <c r="C162" s="97">
        <v>581690</v>
      </c>
      <c r="D162" s="97">
        <v>520268</v>
      </c>
      <c r="E162" s="97">
        <f t="shared" si="22"/>
        <v>-61422</v>
      </c>
      <c r="F162" s="98">
        <f t="shared" si="23"/>
        <v>-0.10559232580927985</v>
      </c>
    </row>
    <row r="163" spans="1:6" ht="18" customHeight="1" x14ac:dyDescent="0.25">
      <c r="A163" s="99">
        <v>9</v>
      </c>
      <c r="B163" s="100" t="s">
        <v>120</v>
      </c>
      <c r="C163" s="97">
        <v>106666</v>
      </c>
      <c r="D163" s="97">
        <v>102410</v>
      </c>
      <c r="E163" s="97">
        <f t="shared" si="22"/>
        <v>-4256</v>
      </c>
      <c r="F163" s="98">
        <f t="shared" si="23"/>
        <v>-3.9900249376558602E-2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4022</v>
      </c>
      <c r="D165" s="97">
        <v>6105</v>
      </c>
      <c r="E165" s="97">
        <f t="shared" si="22"/>
        <v>2083</v>
      </c>
      <c r="F165" s="98">
        <f t="shared" si="23"/>
        <v>0.51790154152163104</v>
      </c>
    </row>
    <row r="166" spans="1:6" ht="33.75" customHeight="1" x14ac:dyDescent="0.25">
      <c r="A166" s="101"/>
      <c r="B166" s="102" t="s">
        <v>149</v>
      </c>
      <c r="C166" s="103">
        <f>SUM(C155:C165)</f>
        <v>12988629</v>
      </c>
      <c r="D166" s="103">
        <f>SUM(D155:D165)</f>
        <v>13132972</v>
      </c>
      <c r="E166" s="103">
        <f t="shared" si="22"/>
        <v>144343</v>
      </c>
      <c r="F166" s="104">
        <f t="shared" si="23"/>
        <v>1.1113028172565403E-2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5075</v>
      </c>
      <c r="D168" s="117">
        <v>4817</v>
      </c>
      <c r="E168" s="117">
        <f t="shared" ref="E168:E179" si="24">D168-C168</f>
        <v>-258</v>
      </c>
      <c r="F168" s="98">
        <f t="shared" ref="F168:F179" si="25">IF(C168=0,0,E168/C168)</f>
        <v>-5.0837438423645319E-2</v>
      </c>
    </row>
    <row r="169" spans="1:6" ht="18" customHeight="1" x14ac:dyDescent="0.25">
      <c r="A169" s="99">
        <v>2</v>
      </c>
      <c r="B169" s="100" t="s">
        <v>113</v>
      </c>
      <c r="C169" s="117">
        <v>896</v>
      </c>
      <c r="D169" s="117">
        <v>1077</v>
      </c>
      <c r="E169" s="117">
        <f t="shared" si="24"/>
        <v>181</v>
      </c>
      <c r="F169" s="98">
        <f t="shared" si="25"/>
        <v>0.20200892857142858</v>
      </c>
    </row>
    <row r="170" spans="1:6" ht="18" customHeight="1" x14ac:dyDescent="0.25">
      <c r="A170" s="99">
        <v>3</v>
      </c>
      <c r="B170" s="100" t="s">
        <v>114</v>
      </c>
      <c r="C170" s="117">
        <v>3206</v>
      </c>
      <c r="D170" s="117">
        <v>5258</v>
      </c>
      <c r="E170" s="117">
        <f t="shared" si="24"/>
        <v>2052</v>
      </c>
      <c r="F170" s="98">
        <f t="shared" si="25"/>
        <v>0.64004990642545223</v>
      </c>
    </row>
    <row r="171" spans="1:6" ht="18" customHeight="1" x14ac:dyDescent="0.25">
      <c r="A171" s="99">
        <v>4</v>
      </c>
      <c r="B171" s="100" t="s">
        <v>115</v>
      </c>
      <c r="C171" s="117">
        <v>2650</v>
      </c>
      <c r="D171" s="117">
        <v>617</v>
      </c>
      <c r="E171" s="117">
        <f t="shared" si="24"/>
        <v>-2033</v>
      </c>
      <c r="F171" s="98">
        <f t="shared" si="25"/>
        <v>-0.76716981132075468</v>
      </c>
    </row>
    <row r="172" spans="1:6" ht="18" customHeight="1" x14ac:dyDescent="0.25">
      <c r="A172" s="99">
        <v>5</v>
      </c>
      <c r="B172" s="100" t="s">
        <v>116</v>
      </c>
      <c r="C172" s="117">
        <v>147</v>
      </c>
      <c r="D172" s="117">
        <v>142</v>
      </c>
      <c r="E172" s="117">
        <f t="shared" si="24"/>
        <v>-5</v>
      </c>
      <c r="F172" s="98">
        <f t="shared" si="25"/>
        <v>-3.4013605442176874E-2</v>
      </c>
    </row>
    <row r="173" spans="1:6" ht="18" customHeight="1" x14ac:dyDescent="0.25">
      <c r="A173" s="99">
        <v>6</v>
      </c>
      <c r="B173" s="100" t="s">
        <v>117</v>
      </c>
      <c r="C173" s="117">
        <v>217</v>
      </c>
      <c r="D173" s="117">
        <v>188</v>
      </c>
      <c r="E173" s="117">
        <f t="shared" si="24"/>
        <v>-29</v>
      </c>
      <c r="F173" s="98">
        <f t="shared" si="25"/>
        <v>-0.13364055299539171</v>
      </c>
    </row>
    <row r="174" spans="1:6" ht="18" customHeight="1" x14ac:dyDescent="0.25">
      <c r="A174" s="99">
        <v>7</v>
      </c>
      <c r="B174" s="100" t="s">
        <v>118</v>
      </c>
      <c r="C174" s="117">
        <v>10965</v>
      </c>
      <c r="D174" s="117">
        <v>10304</v>
      </c>
      <c r="E174" s="117">
        <f t="shared" si="24"/>
        <v>-661</v>
      </c>
      <c r="F174" s="98">
        <f t="shared" si="25"/>
        <v>-6.0282717738258093E-2</v>
      </c>
    </row>
    <row r="175" spans="1:6" ht="18" customHeight="1" x14ac:dyDescent="0.25">
      <c r="A175" s="99">
        <v>8</v>
      </c>
      <c r="B175" s="100" t="s">
        <v>119</v>
      </c>
      <c r="C175" s="117">
        <v>774</v>
      </c>
      <c r="D175" s="117">
        <v>689</v>
      </c>
      <c r="E175" s="117">
        <f t="shared" si="24"/>
        <v>-85</v>
      </c>
      <c r="F175" s="98">
        <f t="shared" si="25"/>
        <v>-0.10981912144702842</v>
      </c>
    </row>
    <row r="176" spans="1:6" ht="18" customHeight="1" x14ac:dyDescent="0.25">
      <c r="A176" s="99">
        <v>9</v>
      </c>
      <c r="B176" s="100" t="s">
        <v>120</v>
      </c>
      <c r="C176" s="117">
        <v>1359</v>
      </c>
      <c r="D176" s="117">
        <v>1255</v>
      </c>
      <c r="E176" s="117">
        <f t="shared" si="24"/>
        <v>-104</v>
      </c>
      <c r="F176" s="98">
        <f t="shared" si="25"/>
        <v>-7.6526857983811633E-2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82</v>
      </c>
      <c r="D178" s="117">
        <v>83</v>
      </c>
      <c r="E178" s="117">
        <f t="shared" si="24"/>
        <v>1</v>
      </c>
      <c r="F178" s="98">
        <f t="shared" si="25"/>
        <v>1.2195121951219513E-2</v>
      </c>
    </row>
    <row r="179" spans="1:6" ht="33.75" customHeight="1" x14ac:dyDescent="0.25">
      <c r="A179" s="101"/>
      <c r="B179" s="102" t="s">
        <v>151</v>
      </c>
      <c r="C179" s="118">
        <f>SUM(C168:C178)</f>
        <v>25371</v>
      </c>
      <c r="D179" s="118">
        <f>SUM(D168:D178)</f>
        <v>24430</v>
      </c>
      <c r="E179" s="118">
        <f t="shared" si="24"/>
        <v>-941</v>
      </c>
      <c r="F179" s="104">
        <f t="shared" si="25"/>
        <v>-3.7089590477316622E-2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FILING&amp;RJOHN DEMPSEY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33899265</v>
      </c>
      <c r="D15" s="146">
        <v>35440601</v>
      </c>
      <c r="E15" s="146">
        <f>+D15-C15</f>
        <v>1541336</v>
      </c>
      <c r="F15" s="150">
        <f>IF(C15=0,0,E15/C15)</f>
        <v>4.5468124456385706E-2</v>
      </c>
    </row>
    <row r="16" spans="1:7" ht="15" customHeight="1" x14ac:dyDescent="0.2">
      <c r="A16" s="141">
        <v>2</v>
      </c>
      <c r="B16" s="149" t="s">
        <v>158</v>
      </c>
      <c r="C16" s="146">
        <v>2350320</v>
      </c>
      <c r="D16" s="146">
        <v>2152218</v>
      </c>
      <c r="E16" s="146">
        <f>+D16-C16</f>
        <v>-198102</v>
      </c>
      <c r="F16" s="150">
        <f>IF(C16=0,0,E16/C16)</f>
        <v>-8.4287245992035131E-2</v>
      </c>
    </row>
    <row r="17" spans="1:7" ht="15" customHeight="1" x14ac:dyDescent="0.2">
      <c r="A17" s="141">
        <v>3</v>
      </c>
      <c r="B17" s="149" t="s">
        <v>159</v>
      </c>
      <c r="C17" s="146">
        <v>59381744</v>
      </c>
      <c r="D17" s="146">
        <v>68454474</v>
      </c>
      <c r="E17" s="146">
        <f>+D17-C17</f>
        <v>9072730</v>
      </c>
      <c r="F17" s="150">
        <f>IF(C17=0,0,E17/C17)</f>
        <v>0.15278651970881826</v>
      </c>
    </row>
    <row r="18" spans="1:7" ht="15.75" customHeight="1" x14ac:dyDescent="0.25">
      <c r="A18" s="141"/>
      <c r="B18" s="151" t="s">
        <v>160</v>
      </c>
      <c r="C18" s="147">
        <f>SUM(C15:C17)</f>
        <v>95631329</v>
      </c>
      <c r="D18" s="147">
        <f>SUM(D15:D17)</f>
        <v>106047293</v>
      </c>
      <c r="E18" s="147">
        <f>+D18-C18</f>
        <v>10415964</v>
      </c>
      <c r="F18" s="148">
        <f>IF(C18=0,0,E18/C18)</f>
        <v>0.10891790492632389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14671255</v>
      </c>
      <c r="D21" s="146">
        <v>14550177</v>
      </c>
      <c r="E21" s="146">
        <f>+D21-C21</f>
        <v>-121078</v>
      </c>
      <c r="F21" s="150">
        <f>IF(C21=0,0,E21/C21)</f>
        <v>-8.2527363882639905E-3</v>
      </c>
    </row>
    <row r="22" spans="1:7" ht="15" customHeight="1" x14ac:dyDescent="0.2">
      <c r="A22" s="141">
        <v>2</v>
      </c>
      <c r="B22" s="149" t="s">
        <v>163</v>
      </c>
      <c r="C22" s="146">
        <v>558790</v>
      </c>
      <c r="D22" s="146">
        <v>523653</v>
      </c>
      <c r="E22" s="146">
        <f>+D22-C22</f>
        <v>-35137</v>
      </c>
      <c r="F22" s="150">
        <f>IF(C22=0,0,E22/C22)</f>
        <v>-6.2880509672685631E-2</v>
      </c>
    </row>
    <row r="23" spans="1:7" ht="15" customHeight="1" x14ac:dyDescent="0.2">
      <c r="A23" s="141">
        <v>3</v>
      </c>
      <c r="B23" s="149" t="s">
        <v>164</v>
      </c>
      <c r="C23" s="146">
        <v>26925351</v>
      </c>
      <c r="D23" s="146">
        <v>30957333</v>
      </c>
      <c r="E23" s="146">
        <f>+D23-C23</f>
        <v>4031982</v>
      </c>
      <c r="F23" s="150">
        <f>IF(C23=0,0,E23/C23)</f>
        <v>0.14974668296803262</v>
      </c>
    </row>
    <row r="24" spans="1:7" ht="15.75" customHeight="1" x14ac:dyDescent="0.25">
      <c r="A24" s="141"/>
      <c r="B24" s="151" t="s">
        <v>165</v>
      </c>
      <c r="C24" s="147">
        <f>SUM(C21:C23)</f>
        <v>42155396</v>
      </c>
      <c r="D24" s="147">
        <f>SUM(D21:D23)</f>
        <v>46031163</v>
      </c>
      <c r="E24" s="147">
        <f>+D24-C24</f>
        <v>3875767</v>
      </c>
      <c r="F24" s="148">
        <f>IF(C24=0,0,E24/C24)</f>
        <v>9.1939997432357173E-2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5131030</v>
      </c>
      <c r="D27" s="146">
        <v>4619728</v>
      </c>
      <c r="E27" s="146">
        <f>+D27-C27</f>
        <v>-511302</v>
      </c>
      <c r="F27" s="150">
        <f>IF(C27=0,0,E27/C27)</f>
        <v>-9.9648998349259305E-2</v>
      </c>
    </row>
    <row r="28" spans="1:7" ht="15" customHeight="1" x14ac:dyDescent="0.2">
      <c r="A28" s="141">
        <v>2</v>
      </c>
      <c r="B28" s="149" t="s">
        <v>168</v>
      </c>
      <c r="C28" s="146">
        <v>16188925</v>
      </c>
      <c r="D28" s="146">
        <v>17482692</v>
      </c>
      <c r="E28" s="146">
        <f>+D28-C28</f>
        <v>1293767</v>
      </c>
      <c r="F28" s="150">
        <f>IF(C28=0,0,E28/C28)</f>
        <v>7.9916794969400379E-2</v>
      </c>
    </row>
    <row r="29" spans="1:7" ht="15" customHeight="1" x14ac:dyDescent="0.2">
      <c r="A29" s="141">
        <v>3</v>
      </c>
      <c r="B29" s="149" t="s">
        <v>169</v>
      </c>
      <c r="C29" s="146">
        <v>17136316</v>
      </c>
      <c r="D29" s="146">
        <v>17083878</v>
      </c>
      <c r="E29" s="146">
        <f>+D29-C29</f>
        <v>-52438</v>
      </c>
      <c r="F29" s="150">
        <f>IF(C29=0,0,E29/C29)</f>
        <v>-3.0600509467729239E-3</v>
      </c>
    </row>
    <row r="30" spans="1:7" ht="15.75" customHeight="1" x14ac:dyDescent="0.25">
      <c r="A30" s="141"/>
      <c r="B30" s="151" t="s">
        <v>170</v>
      </c>
      <c r="C30" s="147">
        <f>SUM(C27:C29)</f>
        <v>38456271</v>
      </c>
      <c r="D30" s="147">
        <f>SUM(D27:D29)</f>
        <v>39186298</v>
      </c>
      <c r="E30" s="147">
        <f>+D30-C30</f>
        <v>730027</v>
      </c>
      <c r="F30" s="148">
        <f>IF(C30=0,0,E30/C30)</f>
        <v>1.8983301839120077E-2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37092877</v>
      </c>
      <c r="D33" s="146">
        <v>35015591</v>
      </c>
      <c r="E33" s="146">
        <f>+D33-C33</f>
        <v>-2077286</v>
      </c>
      <c r="F33" s="150">
        <f>IF(C33=0,0,E33/C33)</f>
        <v>-5.6002288525637954E-2</v>
      </c>
    </row>
    <row r="34" spans="1:7" ht="15" customHeight="1" x14ac:dyDescent="0.2">
      <c r="A34" s="141">
        <v>2</v>
      </c>
      <c r="B34" s="149" t="s">
        <v>174</v>
      </c>
      <c r="C34" s="146">
        <v>14569523</v>
      </c>
      <c r="D34" s="146">
        <v>17301085</v>
      </c>
      <c r="E34" s="146">
        <f>+D34-C34</f>
        <v>2731562</v>
      </c>
      <c r="F34" s="150">
        <f>IF(C34=0,0,E34/C34)</f>
        <v>0.18748465546881665</v>
      </c>
    </row>
    <row r="35" spans="1:7" ht="15.75" customHeight="1" x14ac:dyDescent="0.25">
      <c r="A35" s="141"/>
      <c r="B35" s="151" t="s">
        <v>175</v>
      </c>
      <c r="C35" s="147">
        <f>SUM(C33:C34)</f>
        <v>51662400</v>
      </c>
      <c r="D35" s="147">
        <f>SUM(D33:D34)</f>
        <v>52316676</v>
      </c>
      <c r="E35" s="147">
        <f>+D35-C35</f>
        <v>654276</v>
      </c>
      <c r="F35" s="148">
        <f>IF(C35=0,0,E35/C35)</f>
        <v>1.2664452290253647E-2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2816077</v>
      </c>
      <c r="D38" s="146">
        <v>2795076</v>
      </c>
      <c r="E38" s="146">
        <f>+D38-C38</f>
        <v>-21001</v>
      </c>
      <c r="F38" s="150">
        <f>IF(C38=0,0,E38/C38)</f>
        <v>-7.4575375602300648E-3</v>
      </c>
    </row>
    <row r="39" spans="1:7" ht="15" customHeight="1" x14ac:dyDescent="0.2">
      <c r="A39" s="141">
        <v>2</v>
      </c>
      <c r="B39" s="149" t="s">
        <v>179</v>
      </c>
      <c r="C39" s="146">
        <v>6482836</v>
      </c>
      <c r="D39" s="146">
        <v>6176535</v>
      </c>
      <c r="E39" s="146">
        <f>+D39-C39</f>
        <v>-306301</v>
      </c>
      <c r="F39" s="150">
        <f>IF(C39=0,0,E39/C39)</f>
        <v>-4.7247994550533128E-2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9298913</v>
      </c>
      <c r="D41" s="147">
        <f>SUM(D38:D40)</f>
        <v>8971611</v>
      </c>
      <c r="E41" s="147">
        <f>+D41-C41</f>
        <v>-327302</v>
      </c>
      <c r="F41" s="148">
        <f>IF(C41=0,0,E41/C41)</f>
        <v>-3.5197877429329644E-2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3784188</v>
      </c>
      <c r="D44" s="146">
        <v>5464999</v>
      </c>
      <c r="E44" s="146">
        <f>+D44-C44</f>
        <v>1680811</v>
      </c>
      <c r="F44" s="150">
        <f>IF(C44=0,0,E44/C44)</f>
        <v>0.4441668860003784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149794</v>
      </c>
      <c r="D47" s="146">
        <v>64233</v>
      </c>
      <c r="E47" s="146">
        <f>+D47-C47</f>
        <v>-85561</v>
      </c>
      <c r="F47" s="150">
        <f>IF(C47=0,0,E47/C47)</f>
        <v>-0.57119110244736104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4145224</v>
      </c>
      <c r="D50" s="146">
        <v>3413844</v>
      </c>
      <c r="E50" s="146">
        <f>+D50-C50</f>
        <v>-731380</v>
      </c>
      <c r="F50" s="150">
        <f>IF(C50=0,0,E50/C50)</f>
        <v>-0.17643919846068631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75208</v>
      </c>
      <c r="D53" s="146">
        <v>78771</v>
      </c>
      <c r="E53" s="146">
        <f t="shared" ref="E53:E59" si="0">+D53-C53</f>
        <v>3563</v>
      </c>
      <c r="F53" s="150">
        <f t="shared" ref="F53:F59" si="1">IF(C53=0,0,E53/C53)</f>
        <v>4.7375279225614297E-2</v>
      </c>
    </row>
    <row r="54" spans="1:7" ht="15" customHeight="1" x14ac:dyDescent="0.2">
      <c r="A54" s="141">
        <v>2</v>
      </c>
      <c r="B54" s="149" t="s">
        <v>193</v>
      </c>
      <c r="C54" s="146">
        <v>492246</v>
      </c>
      <c r="D54" s="146">
        <v>400333</v>
      </c>
      <c r="E54" s="146">
        <f t="shared" si="0"/>
        <v>-91913</v>
      </c>
      <c r="F54" s="150">
        <f t="shared" si="1"/>
        <v>-0.18672167981050125</v>
      </c>
    </row>
    <row r="55" spans="1:7" ht="15" customHeight="1" x14ac:dyDescent="0.2">
      <c r="A55" s="141">
        <v>3</v>
      </c>
      <c r="B55" s="149" t="s">
        <v>194</v>
      </c>
      <c r="C55" s="146">
        <v>18811</v>
      </c>
      <c r="D55" s="146">
        <v>0</v>
      </c>
      <c r="E55" s="146">
        <f t="shared" si="0"/>
        <v>-18811</v>
      </c>
      <c r="F55" s="150">
        <f t="shared" si="1"/>
        <v>-1</v>
      </c>
    </row>
    <row r="56" spans="1:7" ht="15" customHeight="1" x14ac:dyDescent="0.2">
      <c r="A56" s="141">
        <v>4</v>
      </c>
      <c r="B56" s="149" t="s">
        <v>195</v>
      </c>
      <c r="C56" s="146">
        <v>2122424</v>
      </c>
      <c r="D56" s="146">
        <v>2137323</v>
      </c>
      <c r="E56" s="146">
        <f t="shared" si="0"/>
        <v>14899</v>
      </c>
      <c r="F56" s="150">
        <f t="shared" si="1"/>
        <v>7.0198037715366954E-3</v>
      </c>
    </row>
    <row r="57" spans="1:7" ht="15" customHeight="1" x14ac:dyDescent="0.2">
      <c r="A57" s="141">
        <v>5</v>
      </c>
      <c r="B57" s="149" t="s">
        <v>196</v>
      </c>
      <c r="C57" s="146">
        <v>704479</v>
      </c>
      <c r="D57" s="146">
        <v>704209</v>
      </c>
      <c r="E57" s="146">
        <f t="shared" si="0"/>
        <v>-270</v>
      </c>
      <c r="F57" s="150">
        <f t="shared" si="1"/>
        <v>-3.8326195670843277E-4</v>
      </c>
    </row>
    <row r="58" spans="1:7" ht="15" customHeight="1" x14ac:dyDescent="0.2">
      <c r="A58" s="141">
        <v>6</v>
      </c>
      <c r="B58" s="149" t="s">
        <v>197</v>
      </c>
      <c r="C58" s="146">
        <v>71341</v>
      </c>
      <c r="D58" s="146">
        <v>70170</v>
      </c>
      <c r="E58" s="146">
        <f t="shared" si="0"/>
        <v>-1171</v>
      </c>
      <c r="F58" s="150">
        <f t="shared" si="1"/>
        <v>-1.6414123715675417E-2</v>
      </c>
    </row>
    <row r="59" spans="1:7" ht="15.75" customHeight="1" x14ac:dyDescent="0.25">
      <c r="A59" s="141"/>
      <c r="B59" s="151" t="s">
        <v>198</v>
      </c>
      <c r="C59" s="147">
        <f>SUM(C53:C58)</f>
        <v>3484509</v>
      </c>
      <c r="D59" s="147">
        <f>SUM(D53:D58)</f>
        <v>3390806</v>
      </c>
      <c r="E59" s="147">
        <f t="shared" si="0"/>
        <v>-93703</v>
      </c>
      <c r="F59" s="148">
        <f t="shared" si="1"/>
        <v>-2.6891306637463128E-2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202094</v>
      </c>
      <c r="D62" s="146">
        <v>79430</v>
      </c>
      <c r="E62" s="146">
        <f t="shared" ref="E62:E90" si="2">+D62-C62</f>
        <v>-122664</v>
      </c>
      <c r="F62" s="150">
        <f t="shared" ref="F62:F90" si="3">IF(C62=0,0,E62/C62)</f>
        <v>-0.60696507565786217</v>
      </c>
    </row>
    <row r="63" spans="1:7" ht="15" customHeight="1" x14ac:dyDescent="0.2">
      <c r="A63" s="141">
        <v>2</v>
      </c>
      <c r="B63" s="149" t="s">
        <v>202</v>
      </c>
      <c r="C63" s="146">
        <v>930736</v>
      </c>
      <c r="D63" s="146">
        <v>421336</v>
      </c>
      <c r="E63" s="146">
        <f t="shared" si="2"/>
        <v>-509400</v>
      </c>
      <c r="F63" s="150">
        <f t="shared" si="3"/>
        <v>-0.54730879647934538</v>
      </c>
    </row>
    <row r="64" spans="1:7" ht="15" customHeight="1" x14ac:dyDescent="0.2">
      <c r="A64" s="141">
        <v>3</v>
      </c>
      <c r="B64" s="149" t="s">
        <v>203</v>
      </c>
      <c r="C64" s="146">
        <v>0</v>
      </c>
      <c r="D64" s="146">
        <v>0</v>
      </c>
      <c r="E64" s="146">
        <f t="shared" si="2"/>
        <v>0</v>
      </c>
      <c r="F64" s="150">
        <f t="shared" si="3"/>
        <v>0</v>
      </c>
    </row>
    <row r="65" spans="1:6" ht="15" customHeight="1" x14ac:dyDescent="0.2">
      <c r="A65" s="141">
        <v>4</v>
      </c>
      <c r="B65" s="149" t="s">
        <v>204</v>
      </c>
      <c r="C65" s="146">
        <v>363297</v>
      </c>
      <c r="D65" s="146">
        <v>873708</v>
      </c>
      <c r="E65" s="146">
        <f t="shared" si="2"/>
        <v>510411</v>
      </c>
      <c r="F65" s="150">
        <f t="shared" si="3"/>
        <v>1.40494141157235</v>
      </c>
    </row>
    <row r="66" spans="1:6" ht="15" customHeight="1" x14ac:dyDescent="0.2">
      <c r="A66" s="141">
        <v>5</v>
      </c>
      <c r="B66" s="149" t="s">
        <v>205</v>
      </c>
      <c r="C66" s="146">
        <v>1590916</v>
      </c>
      <c r="D66" s="146">
        <v>1699890</v>
      </c>
      <c r="E66" s="146">
        <f t="shared" si="2"/>
        <v>108974</v>
      </c>
      <c r="F66" s="150">
        <f t="shared" si="3"/>
        <v>6.8497645381654343E-2</v>
      </c>
    </row>
    <row r="67" spans="1:6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6" ht="15" customHeight="1" x14ac:dyDescent="0.2">
      <c r="A68" s="141">
        <v>7</v>
      </c>
      <c r="B68" s="149" t="s">
        <v>207</v>
      </c>
      <c r="C68" s="146">
        <v>6276939</v>
      </c>
      <c r="D68" s="146">
        <v>6815697</v>
      </c>
      <c r="E68" s="146">
        <f t="shared" si="2"/>
        <v>538758</v>
      </c>
      <c r="F68" s="150">
        <f t="shared" si="3"/>
        <v>8.5831326383767628E-2</v>
      </c>
    </row>
    <row r="69" spans="1:6" ht="15" customHeight="1" x14ac:dyDescent="0.2">
      <c r="A69" s="141">
        <v>8</v>
      </c>
      <c r="B69" s="149" t="s">
        <v>208</v>
      </c>
      <c r="C69" s="146">
        <v>313122</v>
      </c>
      <c r="D69" s="146">
        <v>312779</v>
      </c>
      <c r="E69" s="146">
        <f t="shared" si="2"/>
        <v>-343</v>
      </c>
      <c r="F69" s="150">
        <f t="shared" si="3"/>
        <v>-1.0954196766755451E-3</v>
      </c>
    </row>
    <row r="70" spans="1:6" ht="15" customHeight="1" x14ac:dyDescent="0.2">
      <c r="A70" s="141">
        <v>9</v>
      </c>
      <c r="B70" s="149" t="s">
        <v>209</v>
      </c>
      <c r="C70" s="146">
        <v>101301</v>
      </c>
      <c r="D70" s="146">
        <v>139616</v>
      </c>
      <c r="E70" s="146">
        <f t="shared" si="2"/>
        <v>38315</v>
      </c>
      <c r="F70" s="150">
        <f t="shared" si="3"/>
        <v>0.37822923761858224</v>
      </c>
    </row>
    <row r="71" spans="1:6" ht="15" customHeight="1" x14ac:dyDescent="0.2">
      <c r="A71" s="141">
        <v>10</v>
      </c>
      <c r="B71" s="149" t="s">
        <v>210</v>
      </c>
      <c r="C71" s="146">
        <v>11091</v>
      </c>
      <c r="D71" s="146">
        <v>0</v>
      </c>
      <c r="E71" s="146">
        <f t="shared" si="2"/>
        <v>-11091</v>
      </c>
      <c r="F71" s="150">
        <f t="shared" si="3"/>
        <v>-1</v>
      </c>
    </row>
    <row r="72" spans="1:6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6" ht="15" customHeight="1" x14ac:dyDescent="0.2">
      <c r="A73" s="141">
        <v>12</v>
      </c>
      <c r="B73" s="149" t="s">
        <v>212</v>
      </c>
      <c r="C73" s="146">
        <v>2254393</v>
      </c>
      <c r="D73" s="146">
        <v>0</v>
      </c>
      <c r="E73" s="146">
        <f t="shared" si="2"/>
        <v>-2254393</v>
      </c>
      <c r="F73" s="150">
        <f t="shared" si="3"/>
        <v>-1</v>
      </c>
    </row>
    <row r="74" spans="1:6" ht="15" customHeight="1" x14ac:dyDescent="0.2">
      <c r="A74" s="141">
        <v>13</v>
      </c>
      <c r="B74" s="149" t="s">
        <v>213</v>
      </c>
      <c r="C74" s="146">
        <v>155704</v>
      </c>
      <c r="D74" s="146">
        <v>529288</v>
      </c>
      <c r="E74" s="146">
        <f t="shared" si="2"/>
        <v>373584</v>
      </c>
      <c r="F74" s="150">
        <f t="shared" si="3"/>
        <v>2.3993217900631967</v>
      </c>
    </row>
    <row r="75" spans="1:6" ht="15" customHeight="1" x14ac:dyDescent="0.2">
      <c r="A75" s="141">
        <v>14</v>
      </c>
      <c r="B75" s="149" t="s">
        <v>214</v>
      </c>
      <c r="C75" s="146">
        <v>245036</v>
      </c>
      <c r="D75" s="146">
        <v>310179</v>
      </c>
      <c r="E75" s="146">
        <f t="shared" si="2"/>
        <v>65143</v>
      </c>
      <c r="F75" s="150">
        <f t="shared" si="3"/>
        <v>0.26585073213731858</v>
      </c>
    </row>
    <row r="76" spans="1:6" ht="15" customHeight="1" x14ac:dyDescent="0.2">
      <c r="A76" s="141">
        <v>15</v>
      </c>
      <c r="B76" s="149" t="s">
        <v>215</v>
      </c>
      <c r="C76" s="146">
        <v>1555890</v>
      </c>
      <c r="D76" s="146">
        <v>1572950</v>
      </c>
      <c r="E76" s="146">
        <f t="shared" si="2"/>
        <v>17060</v>
      </c>
      <c r="F76" s="150">
        <f t="shared" si="3"/>
        <v>1.0964785428275777E-2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2798360</v>
      </c>
      <c r="E77" s="146">
        <f t="shared" si="2"/>
        <v>2798360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2840419</v>
      </c>
      <c r="E78" s="146">
        <f t="shared" si="2"/>
        <v>2840419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10470</v>
      </c>
      <c r="E79" s="146">
        <f t="shared" si="2"/>
        <v>10470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3163957</v>
      </c>
      <c r="E80" s="146">
        <f t="shared" si="2"/>
        <v>3163957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1877872</v>
      </c>
      <c r="E81" s="146">
        <f t="shared" si="2"/>
        <v>1877872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323971</v>
      </c>
      <c r="E82" s="146">
        <f t="shared" si="2"/>
        <v>323971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0</v>
      </c>
      <c r="E83" s="146">
        <f t="shared" si="2"/>
        <v>0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756359</v>
      </c>
      <c r="E84" s="146">
        <f t="shared" si="2"/>
        <v>756359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320452</v>
      </c>
      <c r="E85" s="146">
        <f t="shared" si="2"/>
        <v>320452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1537</v>
      </c>
      <c r="E86" s="146">
        <f t="shared" si="2"/>
        <v>1537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3083095</v>
      </c>
      <c r="E87" s="146">
        <f t="shared" si="2"/>
        <v>3083095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0</v>
      </c>
      <c r="E88" s="146">
        <f t="shared" si="2"/>
        <v>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20892519</v>
      </c>
      <c r="D89" s="146">
        <v>7886499</v>
      </c>
      <c r="E89" s="146">
        <f t="shared" si="2"/>
        <v>-13006020</v>
      </c>
      <c r="F89" s="150">
        <f t="shared" si="3"/>
        <v>-0.62252043422815606</v>
      </c>
    </row>
    <row r="90" spans="1:7" ht="15.75" customHeight="1" x14ac:dyDescent="0.25">
      <c r="A90" s="141"/>
      <c r="B90" s="151" t="s">
        <v>229</v>
      </c>
      <c r="C90" s="147">
        <f>SUM(C62:C89)</f>
        <v>34893038</v>
      </c>
      <c r="D90" s="147">
        <f>SUM(D62:D89)</f>
        <v>35817864</v>
      </c>
      <c r="E90" s="147">
        <f t="shared" si="2"/>
        <v>924826</v>
      </c>
      <c r="F90" s="148">
        <f t="shared" si="3"/>
        <v>2.6504599570837024E-2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3191811</v>
      </c>
      <c r="D93" s="146">
        <v>2729701</v>
      </c>
      <c r="E93" s="146">
        <f>+D93-C93</f>
        <v>-462110</v>
      </c>
      <c r="F93" s="150">
        <f>IF(C93=0,0,E93/C93)</f>
        <v>-0.14477987575078849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286852873</v>
      </c>
      <c r="D95" s="147">
        <f>+D93+D90+D59+D50+D47+D44+D41+D35+D30+D24+D18</f>
        <v>303434488</v>
      </c>
      <c r="E95" s="147">
        <f>+D95-C95</f>
        <v>16581615</v>
      </c>
      <c r="F95" s="148">
        <f>IF(C95=0,0,E95/C95)</f>
        <v>5.7805295190472089E-2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10998621</v>
      </c>
      <c r="D103" s="146">
        <v>9665777</v>
      </c>
      <c r="E103" s="146">
        <f t="shared" ref="E103:E121" si="4">D103-C103</f>
        <v>-1332844</v>
      </c>
      <c r="F103" s="150">
        <f t="shared" ref="F103:F121" si="5">IF(C103=0,0,E103/C103)</f>
        <v>-0.12118282828365483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187050</v>
      </c>
      <c r="D104" s="146">
        <v>407757</v>
      </c>
      <c r="E104" s="146">
        <f t="shared" si="4"/>
        <v>220707</v>
      </c>
      <c r="F104" s="150">
        <f t="shared" si="5"/>
        <v>1.1799358460304732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8220722</v>
      </c>
      <c r="D105" s="146">
        <v>10296082</v>
      </c>
      <c r="E105" s="146">
        <f t="shared" si="4"/>
        <v>2075360</v>
      </c>
      <c r="F105" s="150">
        <f t="shared" si="5"/>
        <v>0.25245471139882847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2091786</v>
      </c>
      <c r="D106" s="146">
        <v>2102770</v>
      </c>
      <c r="E106" s="146">
        <f t="shared" si="4"/>
        <v>10984</v>
      </c>
      <c r="F106" s="150">
        <f t="shared" si="5"/>
        <v>5.2510151612067393E-3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1542744</v>
      </c>
      <c r="D107" s="146">
        <v>2061049</v>
      </c>
      <c r="E107" s="146">
        <f t="shared" si="4"/>
        <v>518305</v>
      </c>
      <c r="F107" s="150">
        <f t="shared" si="5"/>
        <v>0.33596306321722852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371116</v>
      </c>
      <c r="D108" s="146">
        <v>363089</v>
      </c>
      <c r="E108" s="146">
        <f t="shared" si="4"/>
        <v>-8027</v>
      </c>
      <c r="F108" s="150">
        <f t="shared" si="5"/>
        <v>-2.1629355780941807E-2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168983</v>
      </c>
      <c r="D109" s="146">
        <v>257399</v>
      </c>
      <c r="E109" s="146">
        <f t="shared" si="4"/>
        <v>88416</v>
      </c>
      <c r="F109" s="150">
        <f t="shared" si="5"/>
        <v>0.5232242296562376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345115</v>
      </c>
      <c r="D110" s="146">
        <v>321602</v>
      </c>
      <c r="E110" s="146">
        <f t="shared" si="4"/>
        <v>-23513</v>
      </c>
      <c r="F110" s="150">
        <f t="shared" si="5"/>
        <v>-6.8130912884111092E-2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0</v>
      </c>
      <c r="D111" s="146">
        <v>0</v>
      </c>
      <c r="E111" s="146">
        <f t="shared" si="4"/>
        <v>0</v>
      </c>
      <c r="F111" s="150">
        <f t="shared" si="5"/>
        <v>0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3222310</v>
      </c>
      <c r="D112" s="146">
        <v>3334877</v>
      </c>
      <c r="E112" s="146">
        <f t="shared" si="4"/>
        <v>112567</v>
      </c>
      <c r="F112" s="150">
        <f t="shared" si="5"/>
        <v>3.4933634566506638E-2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3835641</v>
      </c>
      <c r="D113" s="146">
        <v>4128232</v>
      </c>
      <c r="E113" s="146">
        <f t="shared" si="4"/>
        <v>292591</v>
      </c>
      <c r="F113" s="150">
        <f t="shared" si="5"/>
        <v>7.6282165093135665E-2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883139</v>
      </c>
      <c r="D114" s="146">
        <v>881677</v>
      </c>
      <c r="E114" s="146">
        <f t="shared" si="4"/>
        <v>-1462</v>
      </c>
      <c r="F114" s="150">
        <f t="shared" si="5"/>
        <v>-1.6554585405015518E-3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4815728</v>
      </c>
      <c r="D115" s="146">
        <v>4740168</v>
      </c>
      <c r="E115" s="146">
        <f t="shared" si="4"/>
        <v>-75560</v>
      </c>
      <c r="F115" s="150">
        <f t="shared" si="5"/>
        <v>-1.5690254931341636E-2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0</v>
      </c>
      <c r="D116" s="146">
        <v>0</v>
      </c>
      <c r="E116" s="146">
        <f t="shared" si="4"/>
        <v>0</v>
      </c>
      <c r="F116" s="150">
        <f t="shared" si="5"/>
        <v>0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3943869</v>
      </c>
      <c r="D117" s="146">
        <v>4101010</v>
      </c>
      <c r="E117" s="146">
        <f t="shared" si="4"/>
        <v>157141</v>
      </c>
      <c r="F117" s="150">
        <f t="shared" si="5"/>
        <v>3.9844376169695293E-2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1510709</v>
      </c>
      <c r="D118" s="146">
        <v>1816059</v>
      </c>
      <c r="E118" s="146">
        <f t="shared" si="4"/>
        <v>305350</v>
      </c>
      <c r="F118" s="150">
        <f t="shared" si="5"/>
        <v>0.20212363863589877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19344052</v>
      </c>
      <c r="D119" s="146">
        <v>22588514</v>
      </c>
      <c r="E119" s="146">
        <f t="shared" si="4"/>
        <v>3244462</v>
      </c>
      <c r="F119" s="150">
        <f t="shared" si="5"/>
        <v>0.16772401149459276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16415961</v>
      </c>
      <c r="D120" s="146">
        <v>13192751</v>
      </c>
      <c r="E120" s="146">
        <f t="shared" si="4"/>
        <v>-3223210</v>
      </c>
      <c r="F120" s="150">
        <f t="shared" si="5"/>
        <v>-0.19634610486708637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77897546</v>
      </c>
      <c r="D121" s="147">
        <f>SUM(D103:D120)</f>
        <v>80258813</v>
      </c>
      <c r="E121" s="147">
        <f t="shared" si="4"/>
        <v>2361267</v>
      </c>
      <c r="F121" s="148">
        <f t="shared" si="5"/>
        <v>3.0312469663678492E-2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456033</v>
      </c>
      <c r="D124" s="146">
        <v>400179</v>
      </c>
      <c r="E124" s="146">
        <f t="shared" ref="E124:E130" si="6">D124-C124</f>
        <v>-55854</v>
      </c>
      <c r="F124" s="150">
        <f t="shared" ref="F124:F130" si="7">IF(C124=0,0,E124/C124)</f>
        <v>-0.12247797856734052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16210939</v>
      </c>
      <c r="D125" s="146">
        <v>17504452</v>
      </c>
      <c r="E125" s="146">
        <f t="shared" si="6"/>
        <v>1293513</v>
      </c>
      <c r="F125" s="150">
        <f t="shared" si="7"/>
        <v>7.9792601773407454E-2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3756067</v>
      </c>
      <c r="D126" s="146">
        <v>7116893</v>
      </c>
      <c r="E126" s="146">
        <f t="shared" si="6"/>
        <v>3360826</v>
      </c>
      <c r="F126" s="150">
        <f t="shared" si="7"/>
        <v>0.89477264383196575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5803380</v>
      </c>
      <c r="D127" s="146">
        <v>7111655</v>
      </c>
      <c r="E127" s="146">
        <f t="shared" si="6"/>
        <v>1308275</v>
      </c>
      <c r="F127" s="150">
        <f t="shared" si="7"/>
        <v>0.2254332819839473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956116</v>
      </c>
      <c r="D128" s="146">
        <v>778605</v>
      </c>
      <c r="E128" s="146">
        <f t="shared" si="6"/>
        <v>-177511</v>
      </c>
      <c r="F128" s="150">
        <f t="shared" si="7"/>
        <v>-0.18565843475059512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3107031</v>
      </c>
      <c r="D129" s="146">
        <v>3142653</v>
      </c>
      <c r="E129" s="146">
        <f t="shared" si="6"/>
        <v>35622</v>
      </c>
      <c r="F129" s="150">
        <f t="shared" si="7"/>
        <v>1.1464964462858595E-2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30289566</v>
      </c>
      <c r="D130" s="147">
        <f>SUM(D124:D129)</f>
        <v>36054437</v>
      </c>
      <c r="E130" s="147">
        <f t="shared" si="6"/>
        <v>5764871</v>
      </c>
      <c r="F130" s="148">
        <f t="shared" si="7"/>
        <v>0.19032530872182191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24256471</v>
      </c>
      <c r="D133" s="146">
        <v>25297699</v>
      </c>
      <c r="E133" s="146">
        <f t="shared" ref="E133:E167" si="8">D133-C133</f>
        <v>1041228</v>
      </c>
      <c r="F133" s="150">
        <f t="shared" ref="F133:F167" si="9">IF(C133=0,0,E133/C133)</f>
        <v>4.2925782567464162E-2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3549725</v>
      </c>
      <c r="D134" s="146">
        <v>3449656</v>
      </c>
      <c r="E134" s="146">
        <f t="shared" si="8"/>
        <v>-100069</v>
      </c>
      <c r="F134" s="150">
        <f t="shared" si="9"/>
        <v>-2.8190634485770024E-2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3035264</v>
      </c>
      <c r="D135" s="146">
        <v>2923864</v>
      </c>
      <c r="E135" s="146">
        <f t="shared" si="8"/>
        <v>-111400</v>
      </c>
      <c r="F135" s="150">
        <f t="shared" si="9"/>
        <v>-3.670191456163286E-2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3183547</v>
      </c>
      <c r="D136" s="146">
        <v>2902226</v>
      </c>
      <c r="E136" s="146">
        <f t="shared" si="8"/>
        <v>-281321</v>
      </c>
      <c r="F136" s="150">
        <f t="shared" si="9"/>
        <v>-8.8367157764594015E-2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7683102</v>
      </c>
      <c r="D137" s="146">
        <v>8368753</v>
      </c>
      <c r="E137" s="146">
        <f t="shared" si="8"/>
        <v>685651</v>
      </c>
      <c r="F137" s="150">
        <f t="shared" si="9"/>
        <v>8.9241428787487143E-2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683226</v>
      </c>
      <c r="D138" s="146">
        <v>671833</v>
      </c>
      <c r="E138" s="146">
        <f t="shared" si="8"/>
        <v>-11393</v>
      </c>
      <c r="F138" s="150">
        <f t="shared" si="9"/>
        <v>-1.6675302169413927E-2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1674230</v>
      </c>
      <c r="D139" s="146">
        <v>1623070</v>
      </c>
      <c r="E139" s="146">
        <f t="shared" si="8"/>
        <v>-51160</v>
      </c>
      <c r="F139" s="150">
        <f t="shared" si="9"/>
        <v>-3.0557330832681293E-2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1250627</v>
      </c>
      <c r="D140" s="146">
        <v>1406285</v>
      </c>
      <c r="E140" s="146">
        <f t="shared" si="8"/>
        <v>155658</v>
      </c>
      <c r="F140" s="150">
        <f t="shared" si="9"/>
        <v>0.12446396887321319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814384</v>
      </c>
      <c r="D141" s="146">
        <v>851004</v>
      </c>
      <c r="E141" s="146">
        <f t="shared" si="8"/>
        <v>36620</v>
      </c>
      <c r="F141" s="150">
        <f t="shared" si="9"/>
        <v>4.4966502288846542E-2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14142886</v>
      </c>
      <c r="D142" s="146">
        <v>14029209</v>
      </c>
      <c r="E142" s="146">
        <f t="shared" si="8"/>
        <v>-113677</v>
      </c>
      <c r="F142" s="150">
        <f t="shared" si="9"/>
        <v>-8.0377512765074967E-3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2824871</v>
      </c>
      <c r="D143" s="146">
        <v>3004838</v>
      </c>
      <c r="E143" s="146">
        <f t="shared" si="8"/>
        <v>179967</v>
      </c>
      <c r="F143" s="150">
        <f t="shared" si="9"/>
        <v>6.3708041889346451E-2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0</v>
      </c>
      <c r="D144" s="146">
        <v>0</v>
      </c>
      <c r="E144" s="146">
        <f t="shared" si="8"/>
        <v>0</v>
      </c>
      <c r="F144" s="150">
        <f t="shared" si="9"/>
        <v>0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2986037</v>
      </c>
      <c r="D145" s="146">
        <v>3400280</v>
      </c>
      <c r="E145" s="146">
        <f t="shared" si="8"/>
        <v>414243</v>
      </c>
      <c r="F145" s="150">
        <f t="shared" si="9"/>
        <v>0.13872668021193307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257408</v>
      </c>
      <c r="D146" s="146">
        <v>307146</v>
      </c>
      <c r="E146" s="146">
        <f t="shared" si="8"/>
        <v>49738</v>
      </c>
      <c r="F146" s="150">
        <f t="shared" si="9"/>
        <v>0.19322631775236201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202480</v>
      </c>
      <c r="D147" s="146">
        <v>201984</v>
      </c>
      <c r="E147" s="146">
        <f t="shared" si="8"/>
        <v>-496</v>
      </c>
      <c r="F147" s="150">
        <f t="shared" si="9"/>
        <v>-2.4496246542868431E-3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3296311</v>
      </c>
      <c r="D150" s="146">
        <v>3476943</v>
      </c>
      <c r="E150" s="146">
        <f t="shared" si="8"/>
        <v>180632</v>
      </c>
      <c r="F150" s="150">
        <f t="shared" si="9"/>
        <v>5.4798227473075202E-2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571191</v>
      </c>
      <c r="D151" s="146">
        <v>553830</v>
      </c>
      <c r="E151" s="146">
        <f t="shared" si="8"/>
        <v>-17361</v>
      </c>
      <c r="F151" s="150">
        <f t="shared" si="9"/>
        <v>-3.0394386466173311E-2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217297</v>
      </c>
      <c r="D153" s="146">
        <v>216458</v>
      </c>
      <c r="E153" s="146">
        <f t="shared" si="8"/>
        <v>-839</v>
      </c>
      <c r="F153" s="150">
        <f t="shared" si="9"/>
        <v>-3.8610749343065023E-3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533969</v>
      </c>
      <c r="D155" s="146">
        <v>463962</v>
      </c>
      <c r="E155" s="146">
        <f t="shared" si="8"/>
        <v>-70007</v>
      </c>
      <c r="F155" s="150">
        <f t="shared" si="9"/>
        <v>-0.13110686200884322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10264968</v>
      </c>
      <c r="D156" s="146">
        <v>9582932</v>
      </c>
      <c r="E156" s="146">
        <f t="shared" si="8"/>
        <v>-682036</v>
      </c>
      <c r="F156" s="150">
        <f t="shared" si="9"/>
        <v>-6.6443071230226927E-2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709187</v>
      </c>
      <c r="D157" s="146">
        <v>694118</v>
      </c>
      <c r="E157" s="146">
        <f t="shared" si="8"/>
        <v>-15069</v>
      </c>
      <c r="F157" s="150">
        <f t="shared" si="9"/>
        <v>-2.1248274432554459E-2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412900</v>
      </c>
      <c r="D158" s="146">
        <v>400450</v>
      </c>
      <c r="E158" s="146">
        <f t="shared" si="8"/>
        <v>-12450</v>
      </c>
      <c r="F158" s="150">
        <f t="shared" si="9"/>
        <v>-3.0152579317025915E-2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0</v>
      </c>
      <c r="D160" s="146">
        <v>0</v>
      </c>
      <c r="E160" s="146">
        <f t="shared" si="8"/>
        <v>0</v>
      </c>
      <c r="F160" s="150">
        <f t="shared" si="9"/>
        <v>0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790590</v>
      </c>
      <c r="D161" s="146">
        <v>679457</v>
      </c>
      <c r="E161" s="146">
        <f t="shared" si="8"/>
        <v>-111133</v>
      </c>
      <c r="F161" s="150">
        <f t="shared" si="9"/>
        <v>-0.14056970110929812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6594227</v>
      </c>
      <c r="D163" s="146">
        <v>7442403</v>
      </c>
      <c r="E163" s="146">
        <f t="shared" si="8"/>
        <v>848176</v>
      </c>
      <c r="F163" s="150">
        <f t="shared" si="9"/>
        <v>0.12862402219395844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0</v>
      </c>
      <c r="D164" s="146">
        <v>0</v>
      </c>
      <c r="E164" s="146">
        <f t="shared" si="8"/>
        <v>0</v>
      </c>
      <c r="F164" s="150">
        <f t="shared" si="9"/>
        <v>0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9405959</v>
      </c>
      <c r="D165" s="146">
        <v>10731832</v>
      </c>
      <c r="E165" s="146">
        <f t="shared" si="8"/>
        <v>1325873</v>
      </c>
      <c r="F165" s="150">
        <f t="shared" si="9"/>
        <v>0.14096095889850255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1712769</v>
      </c>
      <c r="D166" s="146">
        <v>1821356</v>
      </c>
      <c r="E166" s="146">
        <f t="shared" si="8"/>
        <v>108587</v>
      </c>
      <c r="F166" s="150">
        <f t="shared" si="9"/>
        <v>6.3398508497059441E-2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101053626</v>
      </c>
      <c r="D167" s="147">
        <f>SUM(D133:D166)</f>
        <v>104501588</v>
      </c>
      <c r="E167" s="147">
        <f t="shared" si="8"/>
        <v>3447962</v>
      </c>
      <c r="F167" s="148">
        <f t="shared" si="9"/>
        <v>3.4120121528345752E-2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29310148</v>
      </c>
      <c r="D170" s="146">
        <v>29962948</v>
      </c>
      <c r="E170" s="146">
        <f t="shared" ref="E170:E183" si="10">D170-C170</f>
        <v>652800</v>
      </c>
      <c r="F170" s="150">
        <f t="shared" ref="F170:F183" si="11">IF(C170=0,0,E170/C170)</f>
        <v>2.2272149564034956E-2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7605449</v>
      </c>
      <c r="D171" s="146">
        <v>7145184</v>
      </c>
      <c r="E171" s="146">
        <f t="shared" si="10"/>
        <v>-460265</v>
      </c>
      <c r="F171" s="150">
        <f t="shared" si="11"/>
        <v>-6.0517794544411516E-2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6549043</v>
      </c>
      <c r="D173" s="146">
        <v>6111092</v>
      </c>
      <c r="E173" s="146">
        <f t="shared" si="10"/>
        <v>-437951</v>
      </c>
      <c r="F173" s="150">
        <f t="shared" si="11"/>
        <v>-6.6872518626003824E-2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0</v>
      </c>
      <c r="D175" s="146">
        <v>0</v>
      </c>
      <c r="E175" s="146">
        <f t="shared" si="10"/>
        <v>0</v>
      </c>
      <c r="F175" s="150">
        <f t="shared" si="11"/>
        <v>0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1317020</v>
      </c>
      <c r="D176" s="146">
        <v>996073</v>
      </c>
      <c r="E176" s="146">
        <f t="shared" si="10"/>
        <v>-320947</v>
      </c>
      <c r="F176" s="150">
        <f t="shared" si="11"/>
        <v>-0.24369181941048731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12878912</v>
      </c>
      <c r="D177" s="146">
        <v>12854544</v>
      </c>
      <c r="E177" s="146">
        <f t="shared" si="10"/>
        <v>-24368</v>
      </c>
      <c r="F177" s="150">
        <f t="shared" si="11"/>
        <v>-1.8920852941614944E-3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3600468</v>
      </c>
      <c r="D178" s="146">
        <v>3717240</v>
      </c>
      <c r="E178" s="146">
        <f t="shared" si="10"/>
        <v>116772</v>
      </c>
      <c r="F178" s="150">
        <f t="shared" si="11"/>
        <v>3.2432450448108413E-2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8609029</v>
      </c>
      <c r="D179" s="146">
        <v>9073382</v>
      </c>
      <c r="E179" s="146">
        <f t="shared" si="10"/>
        <v>464353</v>
      </c>
      <c r="F179" s="150">
        <f t="shared" si="11"/>
        <v>5.3937906353898911E-2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7742066</v>
      </c>
      <c r="D181" s="146">
        <v>12759187</v>
      </c>
      <c r="E181" s="146">
        <f t="shared" si="10"/>
        <v>5017121</v>
      </c>
      <c r="F181" s="150">
        <f t="shared" si="11"/>
        <v>0.64803387106232369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77612135</v>
      </c>
      <c r="D183" s="147">
        <f>SUM(D170:D182)</f>
        <v>82619650</v>
      </c>
      <c r="E183" s="147">
        <f t="shared" si="10"/>
        <v>5007515</v>
      </c>
      <c r="F183" s="148">
        <f t="shared" si="11"/>
        <v>6.4519742949991007E-2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0</v>
      </c>
      <c r="D186" s="146">
        <v>0</v>
      </c>
      <c r="E186" s="146">
        <f>D186-C186</f>
        <v>0</v>
      </c>
      <c r="F186" s="150">
        <f>IF(C186=0,0,E186/C186)</f>
        <v>0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286852873</v>
      </c>
      <c r="D188" s="147">
        <f>+D186+D183+D167+D130+D121</f>
        <v>303434488</v>
      </c>
      <c r="E188" s="147">
        <f>D188-C188</f>
        <v>16581615</v>
      </c>
      <c r="F188" s="148">
        <f>IF(C188=0,0,E188/C188)</f>
        <v>5.7805295190472089E-2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FILING&amp;RJOHN DEMPSEY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253989584</v>
      </c>
      <c r="D11" s="164">
        <v>268117022</v>
      </c>
      <c r="E11" s="51">
        <v>278985670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1081457</v>
      </c>
      <c r="D12" s="49">
        <v>1954663</v>
      </c>
      <c r="E12" s="49">
        <v>15889186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255071041</v>
      </c>
      <c r="D13" s="51">
        <f>+D11+D12</f>
        <v>270071685</v>
      </c>
      <c r="E13" s="51">
        <f>+E11+E12</f>
        <v>294874856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279636521</v>
      </c>
      <c r="D14" s="49">
        <v>286852873</v>
      </c>
      <c r="E14" s="49">
        <v>303434488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-24565480</v>
      </c>
      <c r="D15" s="51">
        <f>+D13-D14</f>
        <v>-16781188</v>
      </c>
      <c r="E15" s="51">
        <f>+E13-E14</f>
        <v>-8559632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33913006</v>
      </c>
      <c r="D16" s="49">
        <v>19409872</v>
      </c>
      <c r="E16" s="49">
        <v>8564466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9347526</v>
      </c>
      <c r="D17" s="51">
        <f>D15+D16</f>
        <v>2628684</v>
      </c>
      <c r="E17" s="51">
        <f>E15+E16</f>
        <v>4834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-8.5006353309184574E-2</v>
      </c>
      <c r="D20" s="169">
        <f>IF(+D27=0,0,+D24/+D27)</f>
        <v>-5.7969800127888632E-2</v>
      </c>
      <c r="E20" s="169">
        <f>IF(+E27=0,0,+E24/+E27)</f>
        <v>-2.8208710537522226E-2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0.11735251946277851</v>
      </c>
      <c r="D21" s="169">
        <f>IF(D27=0,0,+D26/D27)</f>
        <v>6.705046152560247E-2</v>
      </c>
      <c r="E21" s="169">
        <f>IF(E27=0,0,+E26/E27)</f>
        <v>2.8224641234862763E-2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3.2346166153593939E-2</v>
      </c>
      <c r="D22" s="169">
        <f>IF(D27=0,0,+D28/D27)</f>
        <v>9.0806613977138448E-3</v>
      </c>
      <c r="E22" s="169">
        <f>IF(E27=0,0,+E28/E27)</f>
        <v>1.5930697340537821E-5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-24565480</v>
      </c>
      <c r="D24" s="51">
        <f>+D15</f>
        <v>-16781188</v>
      </c>
      <c r="E24" s="51">
        <f>+E15</f>
        <v>-8559632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255071041</v>
      </c>
      <c r="D25" s="51">
        <f>+D13</f>
        <v>270071685</v>
      </c>
      <c r="E25" s="51">
        <f>+E13</f>
        <v>294874856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33913006</v>
      </c>
      <c r="D26" s="51">
        <f>+D16</f>
        <v>19409872</v>
      </c>
      <c r="E26" s="51">
        <f>+E16</f>
        <v>8564466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288984047</v>
      </c>
      <c r="D27" s="51">
        <f>+D25+D26</f>
        <v>289481557</v>
      </c>
      <c r="E27" s="51">
        <f>+E25+E26</f>
        <v>303439322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9347526</v>
      </c>
      <c r="D28" s="51">
        <f>+D17</f>
        <v>2628684</v>
      </c>
      <c r="E28" s="51">
        <f>+E17</f>
        <v>4834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65259763</v>
      </c>
      <c r="D31" s="51">
        <v>67969446</v>
      </c>
      <c r="E31" s="51">
        <v>68041405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65407886</v>
      </c>
      <c r="D32" s="51">
        <v>68036570</v>
      </c>
      <c r="E32" s="51">
        <v>68041405</v>
      </c>
      <c r="F32" s="13"/>
    </row>
    <row r="33" spans="1:6" ht="24" customHeight="1" x14ac:dyDescent="0.2">
      <c r="A33" s="25">
        <v>3</v>
      </c>
      <c r="B33" s="48" t="s">
        <v>331</v>
      </c>
      <c r="C33" s="51">
        <v>9347526</v>
      </c>
      <c r="D33" s="51">
        <f>+D32-C32</f>
        <v>2628684</v>
      </c>
      <c r="E33" s="51">
        <f>+E32-D32</f>
        <v>4835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1.1667000000000001</v>
      </c>
      <c r="D34" s="171">
        <f>IF(C32=0,0,+D33/C32)</f>
        <v>4.0189098910794946E-2</v>
      </c>
      <c r="E34" s="171">
        <f>IF(D32=0,0,+E33/D32)</f>
        <v>7.1064722986476238E-5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0.48929758330567297</v>
      </c>
      <c r="D38" s="172">
        <f>IF((D40+D41)=0,0,+D39/(D40+D41))</f>
        <v>0.49006439209591096</v>
      </c>
      <c r="E38" s="172">
        <f>IF((E40+E41)=0,0,+E39/(E40+E41))</f>
        <v>0.53543349398389783</v>
      </c>
      <c r="F38" s="5"/>
    </row>
    <row r="39" spans="1:6" ht="24" customHeight="1" x14ac:dyDescent="0.2">
      <c r="A39" s="21">
        <v>2</v>
      </c>
      <c r="B39" s="48" t="s">
        <v>336</v>
      </c>
      <c r="C39" s="51">
        <v>252835619</v>
      </c>
      <c r="D39" s="51">
        <v>262964301</v>
      </c>
      <c r="E39" s="23">
        <v>296523349</v>
      </c>
      <c r="F39" s="5"/>
    </row>
    <row r="40" spans="1:6" ht="24" customHeight="1" x14ac:dyDescent="0.2">
      <c r="A40" s="21">
        <v>3</v>
      </c>
      <c r="B40" s="48" t="s">
        <v>337</v>
      </c>
      <c r="C40" s="51">
        <v>515222573</v>
      </c>
      <c r="D40" s="51">
        <v>533723134</v>
      </c>
      <c r="E40" s="23">
        <v>535141391</v>
      </c>
      <c r="F40" s="5"/>
    </row>
    <row r="41" spans="1:6" ht="24" customHeight="1" x14ac:dyDescent="0.2">
      <c r="A41" s="21">
        <v>4</v>
      </c>
      <c r="B41" s="48" t="s">
        <v>338</v>
      </c>
      <c r="C41" s="51">
        <v>1509223</v>
      </c>
      <c r="D41" s="51">
        <v>2868190</v>
      </c>
      <c r="E41" s="23">
        <v>18659132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1.0596595109513081</v>
      </c>
      <c r="D43" s="173">
        <f>IF(D38=0,0,IF((D46-D47)=0,0,((+D44-D45)/(D46-D47)/D38)))</f>
        <v>1.1297558902843803</v>
      </c>
      <c r="E43" s="173">
        <f>IF(E38=0,0,IF((E46-E47)=0,0,((+E44-E45)/(E46-E47)/E38)))</f>
        <v>1.1579483010362164</v>
      </c>
      <c r="F43" s="5"/>
    </row>
    <row r="44" spans="1:6" ht="24" customHeight="1" x14ac:dyDescent="0.2">
      <c r="A44" s="21">
        <v>6</v>
      </c>
      <c r="B44" s="48" t="s">
        <v>340</v>
      </c>
      <c r="C44" s="51">
        <v>112889481</v>
      </c>
      <c r="D44" s="51">
        <v>118943654</v>
      </c>
      <c r="E44" s="23">
        <v>125837607</v>
      </c>
      <c r="F44" s="5"/>
    </row>
    <row r="45" spans="1:6" ht="24" customHeight="1" x14ac:dyDescent="0.2">
      <c r="A45" s="21">
        <v>7</v>
      </c>
      <c r="B45" s="48" t="s">
        <v>341</v>
      </c>
      <c r="C45" s="51">
        <v>477120</v>
      </c>
      <c r="D45" s="51">
        <v>573078</v>
      </c>
      <c r="E45" s="23">
        <v>603170</v>
      </c>
      <c r="F45" s="5"/>
    </row>
    <row r="46" spans="1:6" ht="24" customHeight="1" x14ac:dyDescent="0.2">
      <c r="A46" s="21">
        <v>8</v>
      </c>
      <c r="B46" s="48" t="s">
        <v>342</v>
      </c>
      <c r="C46" s="51">
        <v>220911737</v>
      </c>
      <c r="D46" s="51">
        <v>217432469</v>
      </c>
      <c r="E46" s="23">
        <v>205394065</v>
      </c>
      <c r="F46" s="5"/>
    </row>
    <row r="47" spans="1:6" ht="24" customHeight="1" x14ac:dyDescent="0.2">
      <c r="A47" s="21">
        <v>9</v>
      </c>
      <c r="B47" s="48" t="s">
        <v>343</v>
      </c>
      <c r="C47" s="51">
        <v>4104059</v>
      </c>
      <c r="D47" s="51">
        <v>3633307</v>
      </c>
      <c r="E47" s="174">
        <v>3404440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0.99119332058395992</v>
      </c>
      <c r="D49" s="175">
        <f>IF(D38=0,0,IF(D51=0,0,(D50/D51)/D38))</f>
        <v>1.002229717053269</v>
      </c>
      <c r="E49" s="175">
        <f>IF(E38=0,0,IF(E51=0,0,(E50/E51)/E38))</f>
        <v>0.83863615460680896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97460404</v>
      </c>
      <c r="D50" s="176">
        <v>101332103</v>
      </c>
      <c r="E50" s="176">
        <v>100992281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200954053</v>
      </c>
      <c r="D51" s="176">
        <v>206313018</v>
      </c>
      <c r="E51" s="176">
        <v>224910155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0.74673289901000994</v>
      </c>
      <c r="D53" s="175">
        <f>IF(D38=0,0,IF(D55=0,0,(D54/D55)/D38))</f>
        <v>0.75163031983529793</v>
      </c>
      <c r="E53" s="175">
        <f>IF(E38=0,0,IF(E55=0,0,(E54/E55)/E38))</f>
        <v>0.68531209282896677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30090261</v>
      </c>
      <c r="D54" s="176">
        <v>38857271</v>
      </c>
      <c r="E54" s="176">
        <v>37451183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82354550</v>
      </c>
      <c r="D55" s="176">
        <v>105490866</v>
      </c>
      <c r="E55" s="176">
        <v>102063771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3896815.3725022934</v>
      </c>
      <c r="D57" s="53">
        <f>+D60*D38</f>
        <v>1659926.5063315858</v>
      </c>
      <c r="E57" s="53">
        <f>+E60*E38</f>
        <v>3281194.8133841702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1104104</v>
      </c>
      <c r="D58" s="51">
        <v>873533</v>
      </c>
      <c r="E58" s="52">
        <v>477593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6859997</v>
      </c>
      <c r="D59" s="51">
        <v>2513627</v>
      </c>
      <c r="E59" s="52">
        <v>5650516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7964101</v>
      </c>
      <c r="D60" s="51">
        <v>3387160</v>
      </c>
      <c r="E60" s="52">
        <v>6128109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1.5412446189009048E-2</v>
      </c>
      <c r="D62" s="178">
        <f>IF(D63=0,0,+D57/D63)</f>
        <v>6.3123644541073498E-3</v>
      </c>
      <c r="E62" s="178">
        <f>IF(E63=0,0,+E57/E63)</f>
        <v>1.1065552930147738E-2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252835619</v>
      </c>
      <c r="D63" s="176">
        <v>262964301</v>
      </c>
      <c r="E63" s="176">
        <v>296523349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1.584935226844246</v>
      </c>
      <c r="D67" s="179">
        <f>IF(D69=0,0,D68/D69)</f>
        <v>1.5937135586604028</v>
      </c>
      <c r="E67" s="179">
        <f>IF(E69=0,0,E68/E69)</f>
        <v>1.2215830227003386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53155751</v>
      </c>
      <c r="D68" s="180">
        <v>56503903</v>
      </c>
      <c r="E68" s="180">
        <v>48211880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33538122</v>
      </c>
      <c r="D69" s="180">
        <v>35454240</v>
      </c>
      <c r="E69" s="180">
        <v>39466724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0</v>
      </c>
      <c r="D71" s="181">
        <f>IF((D77/365)=0,0,+D74/(D77/365))</f>
        <v>2.0740830719907581</v>
      </c>
      <c r="E71" s="181">
        <f>IF((E77/365)=0,0,+E74/(E77/365))</f>
        <v>0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0</v>
      </c>
      <c r="D72" s="182">
        <v>1577178</v>
      </c>
      <c r="E72" s="182">
        <v>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0</v>
      </c>
      <c r="D74" s="180">
        <f>+D72+D73</f>
        <v>1577178</v>
      </c>
      <c r="E74" s="180">
        <f>+E72+E73</f>
        <v>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279636521</v>
      </c>
      <c r="D75" s="180">
        <f>+D14</f>
        <v>286852873</v>
      </c>
      <c r="E75" s="180">
        <f>+E14</f>
        <v>303434488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10571031</v>
      </c>
      <c r="D76" s="180">
        <v>9298913</v>
      </c>
      <c r="E76" s="180">
        <v>8971611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269065490</v>
      </c>
      <c r="D77" s="180">
        <f>+D75-D76</f>
        <v>277553960</v>
      </c>
      <c r="E77" s="180">
        <f>+E75-E76</f>
        <v>294462877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38.685104051353534</v>
      </c>
      <c r="D79" s="179">
        <f>IF((D84/365)=0,0,+D83/(D84/365))</f>
        <v>28.719507857281812</v>
      </c>
      <c r="E79" s="179">
        <f>IF((E84/365)=0,0,+E83/(E84/365))</f>
        <v>32.434204004098135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29752888</v>
      </c>
      <c r="D80" s="189">
        <v>30512285</v>
      </c>
      <c r="E80" s="189">
        <v>31531470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2833399</v>
      </c>
      <c r="D82" s="190">
        <v>9415877</v>
      </c>
      <c r="E82" s="190">
        <v>6740571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26919489</v>
      </c>
      <c r="D83" s="191">
        <f>+D80+D81-D82</f>
        <v>21096408</v>
      </c>
      <c r="E83" s="191">
        <f>+E80+E81-E82</f>
        <v>24790899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253989584</v>
      </c>
      <c r="D84" s="191">
        <f>+D11</f>
        <v>268117022</v>
      </c>
      <c r="E84" s="191">
        <f>+E11</f>
        <v>278985670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45.496040870941869</v>
      </c>
      <c r="D86" s="179">
        <f>IF((D90/365)=0,0,+D87/(D90/365))</f>
        <v>46.624438721753421</v>
      </c>
      <c r="E86" s="179">
        <f>IF((E90/365)=0,0,+E87/(E90/365))</f>
        <v>48.920782160258526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33538122</v>
      </c>
      <c r="D87" s="51">
        <f>+D69</f>
        <v>35454240</v>
      </c>
      <c r="E87" s="51">
        <f>+E69</f>
        <v>39466724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279636521</v>
      </c>
      <c r="D88" s="51">
        <f t="shared" si="0"/>
        <v>286852873</v>
      </c>
      <c r="E88" s="51">
        <f t="shared" si="0"/>
        <v>303434488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10571031</v>
      </c>
      <c r="D89" s="52">
        <f t="shared" si="0"/>
        <v>9298913</v>
      </c>
      <c r="E89" s="52">
        <f t="shared" si="0"/>
        <v>8971611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269065490</v>
      </c>
      <c r="D90" s="51">
        <f>+D88-D89</f>
        <v>277553960</v>
      </c>
      <c r="E90" s="51">
        <f>+E88-E89</f>
        <v>294462877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60.294432733975377</v>
      </c>
      <c r="D94" s="192">
        <f>IF(D96=0,0,(D95/D96)*100)</f>
        <v>60.635763992283152</v>
      </c>
      <c r="E94" s="192">
        <f>IF(E96=0,0,(E95/E96)*100)</f>
        <v>58.783314533111543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65407886</v>
      </c>
      <c r="D95" s="51">
        <f>+D32</f>
        <v>68036570</v>
      </c>
      <c r="E95" s="51">
        <f>+E32</f>
        <v>68041405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108480805</v>
      </c>
      <c r="D96" s="51">
        <v>112205348</v>
      </c>
      <c r="E96" s="51">
        <v>115749521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57.264026728368336</v>
      </c>
      <c r="D98" s="192">
        <f>IF(D104=0,0,(D101/D104)*100)</f>
        <v>33.252812603308698</v>
      </c>
      <c r="E98" s="192">
        <f>IF(E104=0,0,(E101/E104)*100)</f>
        <v>22.744337736266125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9347526</v>
      </c>
      <c r="D99" s="51">
        <f>+D28</f>
        <v>2628684</v>
      </c>
      <c r="E99" s="51">
        <f>+E28</f>
        <v>4834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10571031</v>
      </c>
      <c r="D100" s="52">
        <f>+D76</f>
        <v>9298913</v>
      </c>
      <c r="E100" s="52">
        <f>+E76</f>
        <v>8971611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19918557</v>
      </c>
      <c r="D101" s="51">
        <f>+D99+D100</f>
        <v>11927597</v>
      </c>
      <c r="E101" s="51">
        <f>+E99+E100</f>
        <v>8976445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33538122</v>
      </c>
      <c r="D102" s="180">
        <f>+D69</f>
        <v>35454240</v>
      </c>
      <c r="E102" s="180">
        <f>+E69</f>
        <v>39466724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1245595</v>
      </c>
      <c r="D103" s="194">
        <v>415198</v>
      </c>
      <c r="E103" s="194">
        <v>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34783717</v>
      </c>
      <c r="D104" s="180">
        <f>+D102+D103</f>
        <v>35869438</v>
      </c>
      <c r="E104" s="180">
        <f>+E102+E103</f>
        <v>39466724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1.8687621131145422</v>
      </c>
      <c r="D106" s="197">
        <f>IF(D109=0,0,(D107/D109)*100)</f>
        <v>0.60655555310127274</v>
      </c>
      <c r="E106" s="197">
        <f>IF(E109=0,0,(E107/E109)*100)</f>
        <v>0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1245595</v>
      </c>
      <c r="D107" s="180">
        <f>+D103</f>
        <v>415198</v>
      </c>
      <c r="E107" s="180">
        <f>+E103</f>
        <v>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65407886</v>
      </c>
      <c r="D108" s="180">
        <f>+D32</f>
        <v>68036570</v>
      </c>
      <c r="E108" s="180">
        <f>+E32</f>
        <v>68041405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66653481</v>
      </c>
      <c r="D109" s="180">
        <f>+D107+D108</f>
        <v>68451768</v>
      </c>
      <c r="E109" s="180">
        <f>+E107+E108</f>
        <v>68041405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6.537674862813021</v>
      </c>
      <c r="D111" s="197">
        <f>IF((+D113+D115)=0,0,((+D112+D113+D114)/(+D113+D115)))</f>
        <v>5.4600848485177282</v>
      </c>
      <c r="E111" s="197">
        <f>IF((+E113+E115)=0,0,((+E112+E113+E114)/(+E113+E115)))</f>
        <v>5.989742672390947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9347526</v>
      </c>
      <c r="D112" s="180">
        <f>+D17</f>
        <v>2628684</v>
      </c>
      <c r="E112" s="180">
        <f>+E17</f>
        <v>4834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275340</v>
      </c>
      <c r="D113" s="180">
        <v>149794</v>
      </c>
      <c r="E113" s="180">
        <v>64233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10571031</v>
      </c>
      <c r="D114" s="180">
        <v>9298913</v>
      </c>
      <c r="E114" s="180">
        <v>8971611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2813510</v>
      </c>
      <c r="D115" s="180">
        <v>2062148</v>
      </c>
      <c r="E115" s="180">
        <v>1445127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12.52115039677776</v>
      </c>
      <c r="D119" s="197">
        <f>IF(+D121=0,0,(+D120)/(+D121))</f>
        <v>14.870284946208228</v>
      </c>
      <c r="E119" s="197">
        <f>IF(+E121=0,0,(+E120)/(+E121))</f>
        <v>16.412782163649315</v>
      </c>
    </row>
    <row r="120" spans="1:8" ht="24" customHeight="1" x14ac:dyDescent="0.25">
      <c r="A120" s="17">
        <v>21</v>
      </c>
      <c r="B120" s="48" t="s">
        <v>381</v>
      </c>
      <c r="C120" s="180">
        <v>132361469</v>
      </c>
      <c r="D120" s="180">
        <v>138277486</v>
      </c>
      <c r="E120" s="180">
        <v>147249097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10571031</v>
      </c>
      <c r="D121" s="180">
        <v>9298913</v>
      </c>
      <c r="E121" s="180">
        <v>8971611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51230</v>
      </c>
      <c r="D124" s="198">
        <v>51614</v>
      </c>
      <c r="E124" s="198">
        <v>40295</v>
      </c>
    </row>
    <row r="125" spans="1:8" ht="24" customHeight="1" x14ac:dyDescent="0.2">
      <c r="A125" s="44">
        <v>2</v>
      </c>
      <c r="B125" s="48" t="s">
        <v>385</v>
      </c>
      <c r="C125" s="198">
        <v>9567</v>
      </c>
      <c r="D125" s="198">
        <v>9082</v>
      </c>
      <c r="E125" s="198">
        <v>8374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5.3548656841225046</v>
      </c>
      <c r="D126" s="199">
        <f>IF(D125=0,0,D124/D125)</f>
        <v>5.683109447258313</v>
      </c>
      <c r="E126" s="199">
        <f>IF(E125=0,0,E124/E125)</f>
        <v>4.8119178409362311</v>
      </c>
    </row>
    <row r="127" spans="1:8" ht="24" customHeight="1" x14ac:dyDescent="0.2">
      <c r="A127" s="44">
        <v>4</v>
      </c>
      <c r="B127" s="48" t="s">
        <v>387</v>
      </c>
      <c r="C127" s="198">
        <v>145</v>
      </c>
      <c r="D127" s="198">
        <v>150</v>
      </c>
      <c r="E127" s="198">
        <v>184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224</v>
      </c>
      <c r="E128" s="198">
        <v>234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224</v>
      </c>
      <c r="D129" s="198">
        <v>224</v>
      </c>
      <c r="E129" s="198">
        <v>234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0.96789999999999998</v>
      </c>
      <c r="D130" s="171">
        <v>0.94269999999999998</v>
      </c>
      <c r="E130" s="171">
        <v>0.59989999999999999</v>
      </c>
    </row>
    <row r="131" spans="1:8" ht="24" customHeight="1" x14ac:dyDescent="0.2">
      <c r="A131" s="44">
        <v>7</v>
      </c>
      <c r="B131" s="48" t="s">
        <v>391</v>
      </c>
      <c r="C131" s="171">
        <v>0.62649999999999995</v>
      </c>
      <c r="D131" s="171">
        <v>0.63119999999999998</v>
      </c>
      <c r="E131" s="171">
        <v>0.47170000000000001</v>
      </c>
    </row>
    <row r="132" spans="1:8" ht="24" customHeight="1" x14ac:dyDescent="0.2">
      <c r="A132" s="44">
        <v>8</v>
      </c>
      <c r="B132" s="48" t="s">
        <v>392</v>
      </c>
      <c r="C132" s="199">
        <v>1195</v>
      </c>
      <c r="D132" s="199">
        <v>1285.3</v>
      </c>
      <c r="E132" s="199">
        <v>1544.9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0.42080391924132565</v>
      </c>
      <c r="D135" s="203">
        <f>IF(D149=0,0,D143/D149)</f>
        <v>0.40058065386388142</v>
      </c>
      <c r="E135" s="203">
        <f>IF(E149=0,0,E143/E149)</f>
        <v>0.3774509473515944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0.39003347976370595</v>
      </c>
      <c r="D136" s="203">
        <f>IF(D149=0,0,D144/D149)</f>
        <v>0.38655438533042863</v>
      </c>
      <c r="E136" s="203">
        <f>IF(E149=0,0,E144/E149)</f>
        <v>0.42028174008315494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0.15984266667601926</v>
      </c>
      <c r="D137" s="203">
        <f>IF(D149=0,0,D145/D149)</f>
        <v>0.19765091539015059</v>
      </c>
      <c r="E137" s="203">
        <f>IF(E149=0,0,E145/E149)</f>
        <v>0.19072299903634252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1.4888810005612856E-2</v>
      </c>
      <c r="D138" s="203">
        <f>IF(D149=0,0,D146/D149)</f>
        <v>7.8174988757373216E-4</v>
      </c>
      <c r="E138" s="203">
        <f>IF(E149=0,0,E146/E149)</f>
        <v>4.0900405702312795E-4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7.9656040225551221E-3</v>
      </c>
      <c r="D139" s="203">
        <f>IF(D149=0,0,D147/D149)</f>
        <v>6.8074752030516253E-3</v>
      </c>
      <c r="E139" s="203">
        <f>IF(E149=0,0,E147/E149)</f>
        <v>6.3617579526753518E-3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6.4655202907812036E-3</v>
      </c>
      <c r="D140" s="203">
        <f>IF(D149=0,0,D148/D149)</f>
        <v>7.6248203249140029E-3</v>
      </c>
      <c r="E140" s="203">
        <f>IF(E149=0,0,E148/E149)</f>
        <v>4.7735515192096215E-3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0.99999999999999989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216807678</v>
      </c>
      <c r="D143" s="205">
        <f>+D46-D147</f>
        <v>213799162</v>
      </c>
      <c r="E143" s="205">
        <f>+E46-E147</f>
        <v>201989625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200954053</v>
      </c>
      <c r="D144" s="205">
        <f>+D51</f>
        <v>206313018</v>
      </c>
      <c r="E144" s="205">
        <f>+E51</f>
        <v>224910155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82354550</v>
      </c>
      <c r="D145" s="205">
        <f>+D55</f>
        <v>105490866</v>
      </c>
      <c r="E145" s="205">
        <f>+E55</f>
        <v>102063771</v>
      </c>
    </row>
    <row r="146" spans="1:7" ht="20.100000000000001" customHeight="1" x14ac:dyDescent="0.2">
      <c r="A146" s="202">
        <v>11</v>
      </c>
      <c r="B146" s="201" t="s">
        <v>404</v>
      </c>
      <c r="C146" s="204">
        <v>7671051</v>
      </c>
      <c r="D146" s="205">
        <v>417238</v>
      </c>
      <c r="E146" s="205">
        <v>218875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4104059</v>
      </c>
      <c r="D147" s="205">
        <f>+D47</f>
        <v>3633307</v>
      </c>
      <c r="E147" s="205">
        <f>+E47</f>
        <v>3404440</v>
      </c>
    </row>
    <row r="148" spans="1:7" ht="20.100000000000001" customHeight="1" x14ac:dyDescent="0.2">
      <c r="A148" s="202">
        <v>13</v>
      </c>
      <c r="B148" s="201" t="s">
        <v>406</v>
      </c>
      <c r="C148" s="206">
        <v>3331182</v>
      </c>
      <c r="D148" s="205">
        <v>4069543</v>
      </c>
      <c r="E148" s="205">
        <v>2554525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515222573</v>
      </c>
      <c r="D149" s="205">
        <f>SUM(D143:D148)</f>
        <v>533723134</v>
      </c>
      <c r="E149" s="205">
        <f>SUM(E143:E148)</f>
        <v>535141391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0.46275685800645422</v>
      </c>
      <c r="D152" s="203">
        <f>IF(D166=0,0,D160/D166)</f>
        <v>0.45430200760518663</v>
      </c>
      <c r="E152" s="203">
        <f>IF(E166=0,0,E160/E166)</f>
        <v>0.47192734172701661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0.4012056141679976</v>
      </c>
      <c r="D153" s="203">
        <f>IF(D166=0,0,D161/D166)</f>
        <v>0.38890896186697238</v>
      </c>
      <c r="E153" s="203">
        <f>IF(E166=0,0,E161/E166)</f>
        <v>0.38057438392347215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0.12386960395711417</v>
      </c>
      <c r="D154" s="203">
        <f>IF(D166=0,0,D162/D166)</f>
        <v>0.14913280666437576</v>
      </c>
      <c r="E154" s="203">
        <f>IF(E166=0,0,E162/E166)</f>
        <v>0.14112921063175327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5.4101978189884685E-3</v>
      </c>
      <c r="D155" s="203">
        <f>IF(D166=0,0,D163/D166)</f>
        <v>2.2131619321133562E-4</v>
      </c>
      <c r="E155" s="203">
        <f>IF(E166=0,0,E163/E166)</f>
        <v>4.7299590670010094E-4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1.9641127552871116E-3</v>
      </c>
      <c r="D156" s="203">
        <f>IF(D166=0,0,D164/D166)</f>
        <v>2.1994527247579257E-3</v>
      </c>
      <c r="E156" s="203">
        <f>IF(E166=0,0,E164/E166)</f>
        <v>2.2729563970450444E-3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4.7936132941584393E-3</v>
      </c>
      <c r="D157" s="203">
        <f>IF(D166=0,0,D165/D166)</f>
        <v>5.2354549454959988E-3</v>
      </c>
      <c r="E157" s="203">
        <f>IF(E166=0,0,E165/E166)</f>
        <v>3.6231114140128557E-3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112412361</v>
      </c>
      <c r="D160" s="208">
        <f>+D44-D164</f>
        <v>118370576</v>
      </c>
      <c r="E160" s="208">
        <f>+E44-E164</f>
        <v>125234437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97460404</v>
      </c>
      <c r="D161" s="208">
        <f>+D50</f>
        <v>101332103</v>
      </c>
      <c r="E161" s="208">
        <f>+E50</f>
        <v>100992281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30090261</v>
      </c>
      <c r="D162" s="208">
        <f>+D54</f>
        <v>38857271</v>
      </c>
      <c r="E162" s="208">
        <f>+E54</f>
        <v>37451183</v>
      </c>
    </row>
    <row r="163" spans="1:6" ht="20.100000000000001" customHeight="1" x14ac:dyDescent="0.2">
      <c r="A163" s="202">
        <v>11</v>
      </c>
      <c r="B163" s="201" t="s">
        <v>420</v>
      </c>
      <c r="C163" s="207">
        <v>1314239</v>
      </c>
      <c r="D163" s="208">
        <v>57665</v>
      </c>
      <c r="E163" s="208">
        <v>125518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477120</v>
      </c>
      <c r="D164" s="208">
        <f>+D45</f>
        <v>573078</v>
      </c>
      <c r="E164" s="208">
        <f>+E45</f>
        <v>603170</v>
      </c>
    </row>
    <row r="165" spans="1:6" ht="20.100000000000001" customHeight="1" x14ac:dyDescent="0.2">
      <c r="A165" s="202">
        <v>13</v>
      </c>
      <c r="B165" s="201" t="s">
        <v>422</v>
      </c>
      <c r="C165" s="209">
        <v>1164459</v>
      </c>
      <c r="D165" s="208">
        <v>1364123</v>
      </c>
      <c r="E165" s="208">
        <v>961458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242918844</v>
      </c>
      <c r="D166" s="208">
        <f>SUM(D160:D165)</f>
        <v>260554816</v>
      </c>
      <c r="E166" s="208">
        <f>SUM(E160:E165)</f>
        <v>265368047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3604</v>
      </c>
      <c r="D169" s="198">
        <v>3328</v>
      </c>
      <c r="E169" s="198">
        <v>2580</v>
      </c>
    </row>
    <row r="170" spans="1:6" ht="20.100000000000001" customHeight="1" x14ac:dyDescent="0.2">
      <c r="A170" s="202">
        <v>2</v>
      </c>
      <c r="B170" s="201" t="s">
        <v>426</v>
      </c>
      <c r="C170" s="198">
        <v>3950</v>
      </c>
      <c r="D170" s="198">
        <v>3811</v>
      </c>
      <c r="E170" s="198">
        <v>3700</v>
      </c>
    </row>
    <row r="171" spans="1:6" ht="20.100000000000001" customHeight="1" x14ac:dyDescent="0.2">
      <c r="A171" s="202">
        <v>3</v>
      </c>
      <c r="B171" s="201" t="s">
        <v>427</v>
      </c>
      <c r="C171" s="198">
        <v>1929</v>
      </c>
      <c r="D171" s="198">
        <v>1881</v>
      </c>
      <c r="E171" s="198">
        <v>2053</v>
      </c>
    </row>
    <row r="172" spans="1:6" ht="20.100000000000001" customHeight="1" x14ac:dyDescent="0.2">
      <c r="A172" s="202">
        <v>4</v>
      </c>
      <c r="B172" s="201" t="s">
        <v>428</v>
      </c>
      <c r="C172" s="198">
        <v>1757</v>
      </c>
      <c r="D172" s="198">
        <v>1872</v>
      </c>
      <c r="E172" s="198">
        <v>2050</v>
      </c>
    </row>
    <row r="173" spans="1:6" ht="20.100000000000001" customHeight="1" x14ac:dyDescent="0.2">
      <c r="A173" s="202">
        <v>5</v>
      </c>
      <c r="B173" s="201" t="s">
        <v>429</v>
      </c>
      <c r="C173" s="198">
        <v>172</v>
      </c>
      <c r="D173" s="198">
        <v>9</v>
      </c>
      <c r="E173" s="198">
        <v>3</v>
      </c>
    </row>
    <row r="174" spans="1:6" ht="20.100000000000001" customHeight="1" x14ac:dyDescent="0.2">
      <c r="A174" s="202">
        <v>6</v>
      </c>
      <c r="B174" s="201" t="s">
        <v>430</v>
      </c>
      <c r="C174" s="198">
        <v>84</v>
      </c>
      <c r="D174" s="198">
        <v>62</v>
      </c>
      <c r="E174" s="198">
        <v>41</v>
      </c>
    </row>
    <row r="175" spans="1:6" ht="20.100000000000001" customHeight="1" x14ac:dyDescent="0.2">
      <c r="A175" s="202">
        <v>7</v>
      </c>
      <c r="B175" s="201" t="s">
        <v>431</v>
      </c>
      <c r="C175" s="198">
        <v>81</v>
      </c>
      <c r="D175" s="198">
        <v>50</v>
      </c>
      <c r="E175" s="198">
        <v>39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9567</v>
      </c>
      <c r="D176" s="198">
        <f>+D169+D170+D171+D174</f>
        <v>9082</v>
      </c>
      <c r="E176" s="198">
        <f>+E169+E170+E171+E174</f>
        <v>8374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1.4117999999999999</v>
      </c>
      <c r="D179" s="210">
        <v>1.4120999999999999</v>
      </c>
      <c r="E179" s="210">
        <v>1.3021</v>
      </c>
    </row>
    <row r="180" spans="1:6" ht="20.100000000000001" customHeight="1" x14ac:dyDescent="0.2">
      <c r="A180" s="202">
        <v>2</v>
      </c>
      <c r="B180" s="201" t="s">
        <v>426</v>
      </c>
      <c r="C180" s="210">
        <v>1.6328</v>
      </c>
      <c r="D180" s="210">
        <v>1.5492999999999999</v>
      </c>
      <c r="E180" s="210">
        <v>1.5752999999999999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1.354149</v>
      </c>
      <c r="D181" s="210">
        <v>1.3355220000000001</v>
      </c>
      <c r="E181" s="210">
        <v>1.2922640000000001</v>
      </c>
    </row>
    <row r="182" spans="1:6" ht="20.100000000000001" customHeight="1" x14ac:dyDescent="0.2">
      <c r="A182" s="202">
        <v>4</v>
      </c>
      <c r="B182" s="201" t="s">
        <v>428</v>
      </c>
      <c r="C182" s="210">
        <v>1.3660000000000001</v>
      </c>
      <c r="D182" s="210">
        <v>1.3310999999999999</v>
      </c>
      <c r="E182" s="210">
        <v>1.2915000000000001</v>
      </c>
    </row>
    <row r="183" spans="1:6" ht="20.100000000000001" customHeight="1" x14ac:dyDescent="0.2">
      <c r="A183" s="202">
        <v>5</v>
      </c>
      <c r="B183" s="201" t="s">
        <v>429</v>
      </c>
      <c r="C183" s="210">
        <v>1.2331000000000001</v>
      </c>
      <c r="D183" s="210">
        <v>2.2553999999999998</v>
      </c>
      <c r="E183" s="210">
        <v>1.8149</v>
      </c>
    </row>
    <row r="184" spans="1:6" ht="20.100000000000001" customHeight="1" x14ac:dyDescent="0.2">
      <c r="A184" s="202">
        <v>6</v>
      </c>
      <c r="B184" s="201" t="s">
        <v>430</v>
      </c>
      <c r="C184" s="210">
        <v>1.4528000000000001</v>
      </c>
      <c r="D184" s="210">
        <v>1.5218</v>
      </c>
      <c r="E184" s="210">
        <v>1.226</v>
      </c>
    </row>
    <row r="185" spans="1:6" ht="20.100000000000001" customHeight="1" x14ac:dyDescent="0.2">
      <c r="A185" s="202">
        <v>7</v>
      </c>
      <c r="B185" s="201" t="s">
        <v>431</v>
      </c>
      <c r="C185" s="210">
        <v>1.0525</v>
      </c>
      <c r="D185" s="210">
        <v>1.3480000000000001</v>
      </c>
      <c r="E185" s="210">
        <v>0.99029999999999996</v>
      </c>
    </row>
    <row r="186" spans="1:6" ht="20.100000000000001" customHeight="1" x14ac:dyDescent="0.2">
      <c r="A186" s="202">
        <v>8</v>
      </c>
      <c r="B186" s="201" t="s">
        <v>435</v>
      </c>
      <c r="C186" s="210">
        <v>1.491781</v>
      </c>
      <c r="D186" s="210">
        <v>1.4545600000000001</v>
      </c>
      <c r="E186" s="210">
        <v>1.4200269999999999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4713</v>
      </c>
      <c r="D189" s="198">
        <v>4893</v>
      </c>
      <c r="E189" s="198">
        <v>4877</v>
      </c>
    </row>
    <row r="190" spans="1:6" ht="20.100000000000001" customHeight="1" x14ac:dyDescent="0.2">
      <c r="A190" s="202">
        <v>2</v>
      </c>
      <c r="B190" s="201" t="s">
        <v>439</v>
      </c>
      <c r="C190" s="198">
        <v>24798</v>
      </c>
      <c r="D190" s="198">
        <v>25371</v>
      </c>
      <c r="E190" s="198">
        <v>24430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29511</v>
      </c>
      <c r="D191" s="198">
        <f>+D190+D189</f>
        <v>30264</v>
      </c>
      <c r="E191" s="198">
        <f>+E190+E189</f>
        <v>29307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FILING&amp;RJOHN DEMPSEY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1082003</v>
      </c>
      <c r="D14" s="237">
        <v>2456590</v>
      </c>
      <c r="E14" s="237">
        <f t="shared" ref="E14:E24" si="0">D14-C14</f>
        <v>1374587</v>
      </c>
      <c r="F14" s="238">
        <f t="shared" ref="F14:F24" si="1">IF(C14=0,0,E14/C14)</f>
        <v>1.2704096014521216</v>
      </c>
    </row>
    <row r="15" spans="1:7" ht="20.25" customHeight="1" x14ac:dyDescent="0.3">
      <c r="A15" s="235">
        <v>2</v>
      </c>
      <c r="B15" s="236" t="s">
        <v>447</v>
      </c>
      <c r="C15" s="237">
        <v>438889</v>
      </c>
      <c r="D15" s="237">
        <v>1013607</v>
      </c>
      <c r="E15" s="237">
        <f t="shared" si="0"/>
        <v>574718</v>
      </c>
      <c r="F15" s="238">
        <f t="shared" si="1"/>
        <v>1.3094837191180457</v>
      </c>
    </row>
    <row r="16" spans="1:7" ht="20.25" customHeight="1" x14ac:dyDescent="0.3">
      <c r="A16" s="235">
        <v>3</v>
      </c>
      <c r="B16" s="236" t="s">
        <v>448</v>
      </c>
      <c r="C16" s="237">
        <v>561751</v>
      </c>
      <c r="D16" s="237">
        <v>1393683</v>
      </c>
      <c r="E16" s="237">
        <f t="shared" si="0"/>
        <v>831932</v>
      </c>
      <c r="F16" s="238">
        <f t="shared" si="1"/>
        <v>1.4809622056747562</v>
      </c>
    </row>
    <row r="17" spans="1:6" ht="20.25" customHeight="1" x14ac:dyDescent="0.3">
      <c r="A17" s="235">
        <v>4</v>
      </c>
      <c r="B17" s="236" t="s">
        <v>449</v>
      </c>
      <c r="C17" s="237">
        <v>281944</v>
      </c>
      <c r="D17" s="237">
        <v>673136</v>
      </c>
      <c r="E17" s="237">
        <f t="shared" si="0"/>
        <v>391192</v>
      </c>
      <c r="F17" s="238">
        <f t="shared" si="1"/>
        <v>1.3874812019408109</v>
      </c>
    </row>
    <row r="18" spans="1:6" ht="20.25" customHeight="1" x14ac:dyDescent="0.3">
      <c r="A18" s="235">
        <v>5</v>
      </c>
      <c r="B18" s="236" t="s">
        <v>385</v>
      </c>
      <c r="C18" s="239">
        <v>24</v>
      </c>
      <c r="D18" s="239">
        <v>55</v>
      </c>
      <c r="E18" s="239">
        <f t="shared" si="0"/>
        <v>31</v>
      </c>
      <c r="F18" s="238">
        <f t="shared" si="1"/>
        <v>1.2916666666666667</v>
      </c>
    </row>
    <row r="19" spans="1:6" ht="20.25" customHeight="1" x14ac:dyDescent="0.3">
      <c r="A19" s="235">
        <v>6</v>
      </c>
      <c r="B19" s="236" t="s">
        <v>384</v>
      </c>
      <c r="C19" s="239">
        <v>111</v>
      </c>
      <c r="D19" s="239">
        <v>372</v>
      </c>
      <c r="E19" s="239">
        <f t="shared" si="0"/>
        <v>261</v>
      </c>
      <c r="F19" s="238">
        <f t="shared" si="1"/>
        <v>2.3513513513513513</v>
      </c>
    </row>
    <row r="20" spans="1:6" ht="20.25" customHeight="1" x14ac:dyDescent="0.3">
      <c r="A20" s="235">
        <v>7</v>
      </c>
      <c r="B20" s="236" t="s">
        <v>450</v>
      </c>
      <c r="C20" s="239">
        <v>655</v>
      </c>
      <c r="D20" s="239">
        <v>1917</v>
      </c>
      <c r="E20" s="239">
        <f t="shared" si="0"/>
        <v>1262</v>
      </c>
      <c r="F20" s="238">
        <f t="shared" si="1"/>
        <v>1.9267175572519084</v>
      </c>
    </row>
    <row r="21" spans="1:6" ht="20.25" customHeight="1" x14ac:dyDescent="0.3">
      <c r="A21" s="235">
        <v>8</v>
      </c>
      <c r="B21" s="236" t="s">
        <v>451</v>
      </c>
      <c r="C21" s="239">
        <v>44</v>
      </c>
      <c r="D21" s="239">
        <v>96</v>
      </c>
      <c r="E21" s="239">
        <f t="shared" si="0"/>
        <v>52</v>
      </c>
      <c r="F21" s="238">
        <f t="shared" si="1"/>
        <v>1.1818181818181819</v>
      </c>
    </row>
    <row r="22" spans="1:6" ht="20.25" customHeight="1" x14ac:dyDescent="0.3">
      <c r="A22" s="235">
        <v>9</v>
      </c>
      <c r="B22" s="236" t="s">
        <v>452</v>
      </c>
      <c r="C22" s="239">
        <v>12</v>
      </c>
      <c r="D22" s="239">
        <v>34</v>
      </c>
      <c r="E22" s="239">
        <f t="shared" si="0"/>
        <v>22</v>
      </c>
      <c r="F22" s="238">
        <f t="shared" si="1"/>
        <v>1.8333333333333333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1643754</v>
      </c>
      <c r="D23" s="243">
        <f>+D14+D16</f>
        <v>3850273</v>
      </c>
      <c r="E23" s="243">
        <f t="shared" si="0"/>
        <v>2206519</v>
      </c>
      <c r="F23" s="244">
        <f t="shared" si="1"/>
        <v>1.3423657067906756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720833</v>
      </c>
      <c r="D24" s="243">
        <f>+D15+D17</f>
        <v>1686743</v>
      </c>
      <c r="E24" s="243">
        <f t="shared" si="0"/>
        <v>965910</v>
      </c>
      <c r="F24" s="244">
        <f t="shared" si="1"/>
        <v>1.3399913710942757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21976</v>
      </c>
      <c r="D27" s="237">
        <v>0</v>
      </c>
      <c r="E27" s="237">
        <f t="shared" ref="E27:E37" si="2">D27-C27</f>
        <v>-21976</v>
      </c>
      <c r="F27" s="238">
        <f t="shared" ref="F27:F37" si="3">IF(C27=0,0,E27/C27)</f>
        <v>-1</v>
      </c>
    </row>
    <row r="28" spans="1:6" ht="20.25" customHeight="1" x14ac:dyDescent="0.3">
      <c r="A28" s="235">
        <v>2</v>
      </c>
      <c r="B28" s="236" t="s">
        <v>447</v>
      </c>
      <c r="C28" s="237">
        <v>12687</v>
      </c>
      <c r="D28" s="237">
        <v>0</v>
      </c>
      <c r="E28" s="237">
        <f t="shared" si="2"/>
        <v>-12687</v>
      </c>
      <c r="F28" s="238">
        <f t="shared" si="3"/>
        <v>-1</v>
      </c>
    </row>
    <row r="29" spans="1:6" ht="20.25" customHeight="1" x14ac:dyDescent="0.3">
      <c r="A29" s="235">
        <v>3</v>
      </c>
      <c r="B29" s="236" t="s">
        <v>448</v>
      </c>
      <c r="C29" s="237">
        <v>44724</v>
      </c>
      <c r="D29" s="237">
        <v>0</v>
      </c>
      <c r="E29" s="237">
        <f t="shared" si="2"/>
        <v>-44724</v>
      </c>
      <c r="F29" s="238">
        <f t="shared" si="3"/>
        <v>-1</v>
      </c>
    </row>
    <row r="30" spans="1:6" ht="20.25" customHeight="1" x14ac:dyDescent="0.3">
      <c r="A30" s="235">
        <v>4</v>
      </c>
      <c r="B30" s="236" t="s">
        <v>449</v>
      </c>
      <c r="C30" s="237">
        <v>15486</v>
      </c>
      <c r="D30" s="237">
        <v>0</v>
      </c>
      <c r="E30" s="237">
        <f t="shared" si="2"/>
        <v>-15486</v>
      </c>
      <c r="F30" s="238">
        <f t="shared" si="3"/>
        <v>-1</v>
      </c>
    </row>
    <row r="31" spans="1:6" ht="20.25" customHeight="1" x14ac:dyDescent="0.3">
      <c r="A31" s="235">
        <v>5</v>
      </c>
      <c r="B31" s="236" t="s">
        <v>385</v>
      </c>
      <c r="C31" s="239">
        <v>1</v>
      </c>
      <c r="D31" s="239">
        <v>0</v>
      </c>
      <c r="E31" s="239">
        <f t="shared" si="2"/>
        <v>-1</v>
      </c>
      <c r="F31" s="238">
        <f t="shared" si="3"/>
        <v>-1</v>
      </c>
    </row>
    <row r="32" spans="1:6" ht="20.25" customHeight="1" x14ac:dyDescent="0.3">
      <c r="A32" s="235">
        <v>6</v>
      </c>
      <c r="B32" s="236" t="s">
        <v>384</v>
      </c>
      <c r="C32" s="239">
        <v>4</v>
      </c>
      <c r="D32" s="239">
        <v>0</v>
      </c>
      <c r="E32" s="239">
        <f t="shared" si="2"/>
        <v>-4</v>
      </c>
      <c r="F32" s="238">
        <f t="shared" si="3"/>
        <v>-1</v>
      </c>
    </row>
    <row r="33" spans="1:6" ht="20.25" customHeight="1" x14ac:dyDescent="0.3">
      <c r="A33" s="235">
        <v>7</v>
      </c>
      <c r="B33" s="236" t="s">
        <v>450</v>
      </c>
      <c r="C33" s="239">
        <v>43</v>
      </c>
      <c r="D33" s="239">
        <v>0</v>
      </c>
      <c r="E33" s="239">
        <f t="shared" si="2"/>
        <v>-43</v>
      </c>
      <c r="F33" s="238">
        <f t="shared" si="3"/>
        <v>-1</v>
      </c>
    </row>
    <row r="34" spans="1:6" ht="20.25" customHeight="1" x14ac:dyDescent="0.3">
      <c r="A34" s="235">
        <v>8</v>
      </c>
      <c r="B34" s="236" t="s">
        <v>451</v>
      </c>
      <c r="C34" s="239">
        <v>4</v>
      </c>
      <c r="D34" s="239">
        <v>0</v>
      </c>
      <c r="E34" s="239">
        <f t="shared" si="2"/>
        <v>-4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66700</v>
      </c>
      <c r="D36" s="243">
        <f>+D27+D29</f>
        <v>0</v>
      </c>
      <c r="E36" s="243">
        <f t="shared" si="2"/>
        <v>-66700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28173</v>
      </c>
      <c r="D37" s="243">
        <f>+D28+D30</f>
        <v>0</v>
      </c>
      <c r="E37" s="243">
        <f t="shared" si="2"/>
        <v>-28173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3513965</v>
      </c>
      <c r="D40" s="237">
        <v>6717364</v>
      </c>
      <c r="E40" s="237">
        <f t="shared" ref="E40:E50" si="4">D40-C40</f>
        <v>3203399</v>
      </c>
      <c r="F40" s="238">
        <f t="shared" ref="F40:F50" si="5">IF(C40=0,0,E40/C40)</f>
        <v>0.9116194953563852</v>
      </c>
    </row>
    <row r="41" spans="1:6" ht="20.25" customHeight="1" x14ac:dyDescent="0.3">
      <c r="A41" s="235">
        <v>2</v>
      </c>
      <c r="B41" s="236" t="s">
        <v>447</v>
      </c>
      <c r="C41" s="237">
        <v>2025928</v>
      </c>
      <c r="D41" s="237">
        <v>3516001</v>
      </c>
      <c r="E41" s="237">
        <f t="shared" si="4"/>
        <v>1490073</v>
      </c>
      <c r="F41" s="238">
        <f t="shared" si="5"/>
        <v>0.73550145908442943</v>
      </c>
    </row>
    <row r="42" spans="1:6" ht="20.25" customHeight="1" x14ac:dyDescent="0.3">
      <c r="A42" s="235">
        <v>3</v>
      </c>
      <c r="B42" s="236" t="s">
        <v>448</v>
      </c>
      <c r="C42" s="237">
        <v>4939366</v>
      </c>
      <c r="D42" s="237">
        <v>7394653</v>
      </c>
      <c r="E42" s="237">
        <f t="shared" si="4"/>
        <v>2455287</v>
      </c>
      <c r="F42" s="238">
        <f t="shared" si="5"/>
        <v>0.49708545590668923</v>
      </c>
    </row>
    <row r="43" spans="1:6" ht="20.25" customHeight="1" x14ac:dyDescent="0.3">
      <c r="A43" s="235">
        <v>4</v>
      </c>
      <c r="B43" s="236" t="s">
        <v>449</v>
      </c>
      <c r="C43" s="237">
        <v>1599020</v>
      </c>
      <c r="D43" s="237">
        <v>2513202</v>
      </c>
      <c r="E43" s="237">
        <f t="shared" si="4"/>
        <v>914182</v>
      </c>
      <c r="F43" s="238">
        <f t="shared" si="5"/>
        <v>0.57171392477892713</v>
      </c>
    </row>
    <row r="44" spans="1:6" ht="20.25" customHeight="1" x14ac:dyDescent="0.3">
      <c r="A44" s="235">
        <v>5</v>
      </c>
      <c r="B44" s="236" t="s">
        <v>385</v>
      </c>
      <c r="C44" s="239">
        <v>119</v>
      </c>
      <c r="D44" s="239">
        <v>182</v>
      </c>
      <c r="E44" s="239">
        <f t="shared" si="4"/>
        <v>63</v>
      </c>
      <c r="F44" s="238">
        <f t="shared" si="5"/>
        <v>0.52941176470588236</v>
      </c>
    </row>
    <row r="45" spans="1:6" ht="20.25" customHeight="1" x14ac:dyDescent="0.3">
      <c r="A45" s="235">
        <v>6</v>
      </c>
      <c r="B45" s="236" t="s">
        <v>384</v>
      </c>
      <c r="C45" s="239">
        <v>460</v>
      </c>
      <c r="D45" s="239">
        <v>948</v>
      </c>
      <c r="E45" s="239">
        <f t="shared" si="4"/>
        <v>488</v>
      </c>
      <c r="F45" s="238">
        <f t="shared" si="5"/>
        <v>1.0608695652173914</v>
      </c>
    </row>
    <row r="46" spans="1:6" ht="20.25" customHeight="1" x14ac:dyDescent="0.3">
      <c r="A46" s="235">
        <v>7</v>
      </c>
      <c r="B46" s="236" t="s">
        <v>450</v>
      </c>
      <c r="C46" s="239">
        <v>4216</v>
      </c>
      <c r="D46" s="239">
        <v>6517</v>
      </c>
      <c r="E46" s="239">
        <f t="shared" si="4"/>
        <v>2301</v>
      </c>
      <c r="F46" s="238">
        <f t="shared" si="5"/>
        <v>0.54577798861480076</v>
      </c>
    </row>
    <row r="47" spans="1:6" ht="20.25" customHeight="1" x14ac:dyDescent="0.3">
      <c r="A47" s="235">
        <v>8</v>
      </c>
      <c r="B47" s="236" t="s">
        <v>451</v>
      </c>
      <c r="C47" s="239">
        <v>221</v>
      </c>
      <c r="D47" s="239">
        <v>264</v>
      </c>
      <c r="E47" s="239">
        <f t="shared" si="4"/>
        <v>43</v>
      </c>
      <c r="F47" s="238">
        <f t="shared" si="5"/>
        <v>0.19457013574660634</v>
      </c>
    </row>
    <row r="48" spans="1:6" ht="20.25" customHeight="1" x14ac:dyDescent="0.3">
      <c r="A48" s="235">
        <v>9</v>
      </c>
      <c r="B48" s="236" t="s">
        <v>452</v>
      </c>
      <c r="C48" s="239">
        <v>61</v>
      </c>
      <c r="D48" s="239">
        <v>107</v>
      </c>
      <c r="E48" s="239">
        <f t="shared" si="4"/>
        <v>46</v>
      </c>
      <c r="F48" s="238">
        <f t="shared" si="5"/>
        <v>0.75409836065573765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8453331</v>
      </c>
      <c r="D49" s="243">
        <f>+D40+D42</f>
        <v>14112017</v>
      </c>
      <c r="E49" s="243">
        <f t="shared" si="4"/>
        <v>5658686</v>
      </c>
      <c r="F49" s="244">
        <f t="shared" si="5"/>
        <v>0.66940310275322235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3624948</v>
      </c>
      <c r="D50" s="243">
        <f>+D41+D43</f>
        <v>6029203</v>
      </c>
      <c r="E50" s="243">
        <f t="shared" si="4"/>
        <v>2404255</v>
      </c>
      <c r="F50" s="244">
        <f t="shared" si="5"/>
        <v>0.66325227286018995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2100773</v>
      </c>
      <c r="D53" s="237">
        <v>0</v>
      </c>
      <c r="E53" s="237">
        <f t="shared" ref="E53:E63" si="6">D53-C53</f>
        <v>-2100773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1171930</v>
      </c>
      <c r="D54" s="237">
        <v>0</v>
      </c>
      <c r="E54" s="237">
        <f t="shared" si="6"/>
        <v>-1171930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1816808</v>
      </c>
      <c r="D55" s="237">
        <v>0</v>
      </c>
      <c r="E55" s="237">
        <f t="shared" si="6"/>
        <v>-1816808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551160</v>
      </c>
      <c r="D56" s="237">
        <v>0</v>
      </c>
      <c r="E56" s="237">
        <f t="shared" si="6"/>
        <v>-551160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62</v>
      </c>
      <c r="D57" s="239">
        <v>0</v>
      </c>
      <c r="E57" s="239">
        <f t="shared" si="6"/>
        <v>-62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297</v>
      </c>
      <c r="D58" s="239">
        <v>0</v>
      </c>
      <c r="E58" s="239">
        <f t="shared" si="6"/>
        <v>-297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1525</v>
      </c>
      <c r="D59" s="239">
        <v>0</v>
      </c>
      <c r="E59" s="239">
        <f t="shared" si="6"/>
        <v>-1525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63</v>
      </c>
      <c r="D60" s="239">
        <v>0</v>
      </c>
      <c r="E60" s="239">
        <f t="shared" si="6"/>
        <v>-63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2</v>
      </c>
      <c r="D61" s="239">
        <v>0</v>
      </c>
      <c r="E61" s="239">
        <f t="shared" si="6"/>
        <v>-2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3917581</v>
      </c>
      <c r="D62" s="243">
        <f>+D53+D55</f>
        <v>0</v>
      </c>
      <c r="E62" s="243">
        <f t="shared" si="6"/>
        <v>-3917581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1723090</v>
      </c>
      <c r="D63" s="243">
        <f>+D54+D56</f>
        <v>0</v>
      </c>
      <c r="E63" s="243">
        <f t="shared" si="6"/>
        <v>-1723090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2145154</v>
      </c>
      <c r="D66" s="237">
        <v>2449807</v>
      </c>
      <c r="E66" s="237">
        <f t="shared" ref="E66:E76" si="8">D66-C66</f>
        <v>304653</v>
      </c>
      <c r="F66" s="238">
        <f t="shared" ref="F66:F76" si="9">IF(C66=0,0,E66/C66)</f>
        <v>0.14201917438095354</v>
      </c>
    </row>
    <row r="67" spans="1:6" ht="20.25" customHeight="1" x14ac:dyDescent="0.3">
      <c r="A67" s="235">
        <v>2</v>
      </c>
      <c r="B67" s="236" t="s">
        <v>447</v>
      </c>
      <c r="C67" s="237">
        <v>1245396</v>
      </c>
      <c r="D67" s="237">
        <v>1120354</v>
      </c>
      <c r="E67" s="237">
        <f t="shared" si="8"/>
        <v>-125042</v>
      </c>
      <c r="F67" s="238">
        <f t="shared" si="9"/>
        <v>-0.10040340582433219</v>
      </c>
    </row>
    <row r="68" spans="1:6" ht="20.25" customHeight="1" x14ac:dyDescent="0.3">
      <c r="A68" s="235">
        <v>3</v>
      </c>
      <c r="B68" s="236" t="s">
        <v>448</v>
      </c>
      <c r="C68" s="237">
        <v>1760191</v>
      </c>
      <c r="D68" s="237">
        <v>1922823</v>
      </c>
      <c r="E68" s="237">
        <f t="shared" si="8"/>
        <v>162632</v>
      </c>
      <c r="F68" s="238">
        <f t="shared" si="9"/>
        <v>9.2394518549407417E-2</v>
      </c>
    </row>
    <row r="69" spans="1:6" ht="20.25" customHeight="1" x14ac:dyDescent="0.3">
      <c r="A69" s="235">
        <v>4</v>
      </c>
      <c r="B69" s="236" t="s">
        <v>449</v>
      </c>
      <c r="C69" s="237">
        <v>510133</v>
      </c>
      <c r="D69" s="237">
        <v>549362</v>
      </c>
      <c r="E69" s="237">
        <f t="shared" si="8"/>
        <v>39229</v>
      </c>
      <c r="F69" s="238">
        <f t="shared" si="9"/>
        <v>7.6899553645813939E-2</v>
      </c>
    </row>
    <row r="70" spans="1:6" ht="20.25" customHeight="1" x14ac:dyDescent="0.3">
      <c r="A70" s="235">
        <v>5</v>
      </c>
      <c r="B70" s="236" t="s">
        <v>385</v>
      </c>
      <c r="C70" s="239">
        <v>63</v>
      </c>
      <c r="D70" s="239">
        <v>68</v>
      </c>
      <c r="E70" s="239">
        <f t="shared" si="8"/>
        <v>5</v>
      </c>
      <c r="F70" s="238">
        <f t="shared" si="9"/>
        <v>7.9365079365079361E-2</v>
      </c>
    </row>
    <row r="71" spans="1:6" ht="20.25" customHeight="1" x14ac:dyDescent="0.3">
      <c r="A71" s="235">
        <v>6</v>
      </c>
      <c r="B71" s="236" t="s">
        <v>384</v>
      </c>
      <c r="C71" s="239">
        <v>311</v>
      </c>
      <c r="D71" s="239">
        <v>415</v>
      </c>
      <c r="E71" s="239">
        <f t="shared" si="8"/>
        <v>104</v>
      </c>
      <c r="F71" s="238">
        <f t="shared" si="9"/>
        <v>0.33440514469453375</v>
      </c>
    </row>
    <row r="72" spans="1:6" ht="20.25" customHeight="1" x14ac:dyDescent="0.3">
      <c r="A72" s="235">
        <v>7</v>
      </c>
      <c r="B72" s="236" t="s">
        <v>450</v>
      </c>
      <c r="C72" s="239">
        <v>1555</v>
      </c>
      <c r="D72" s="239">
        <v>1268</v>
      </c>
      <c r="E72" s="239">
        <f t="shared" si="8"/>
        <v>-287</v>
      </c>
      <c r="F72" s="238">
        <f t="shared" si="9"/>
        <v>-0.18456591639871384</v>
      </c>
    </row>
    <row r="73" spans="1:6" ht="20.25" customHeight="1" x14ac:dyDescent="0.3">
      <c r="A73" s="235">
        <v>8</v>
      </c>
      <c r="B73" s="236" t="s">
        <v>451</v>
      </c>
      <c r="C73" s="239">
        <v>118</v>
      </c>
      <c r="D73" s="239">
        <v>121</v>
      </c>
      <c r="E73" s="239">
        <f t="shared" si="8"/>
        <v>3</v>
      </c>
      <c r="F73" s="238">
        <f t="shared" si="9"/>
        <v>2.5423728813559324E-2</v>
      </c>
    </row>
    <row r="74" spans="1:6" ht="20.25" customHeight="1" x14ac:dyDescent="0.3">
      <c r="A74" s="235">
        <v>9</v>
      </c>
      <c r="B74" s="236" t="s">
        <v>452</v>
      </c>
      <c r="C74" s="239">
        <v>25</v>
      </c>
      <c r="D74" s="239">
        <v>51</v>
      </c>
      <c r="E74" s="239">
        <f t="shared" si="8"/>
        <v>26</v>
      </c>
      <c r="F74" s="238">
        <f t="shared" si="9"/>
        <v>1.04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3905345</v>
      </c>
      <c r="D75" s="243">
        <f>+D66+D68</f>
        <v>4372630</v>
      </c>
      <c r="E75" s="243">
        <f t="shared" si="8"/>
        <v>467285</v>
      </c>
      <c r="F75" s="244">
        <f t="shared" si="9"/>
        <v>0.11965268113316493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1755529</v>
      </c>
      <c r="D76" s="243">
        <f>+D67+D69</f>
        <v>1669716</v>
      </c>
      <c r="E76" s="243">
        <f t="shared" si="8"/>
        <v>-85813</v>
      </c>
      <c r="F76" s="244">
        <f t="shared" si="9"/>
        <v>-4.8881562195782581E-2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13478</v>
      </c>
      <c r="D79" s="237">
        <v>0</v>
      </c>
      <c r="E79" s="237">
        <f t="shared" ref="E79:E89" si="10">D79-C79</f>
        <v>-13478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447</v>
      </c>
      <c r="C80" s="237">
        <v>13303</v>
      </c>
      <c r="D80" s="237">
        <v>0</v>
      </c>
      <c r="E80" s="237">
        <f t="shared" si="10"/>
        <v>-13303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448</v>
      </c>
      <c r="C81" s="237">
        <v>11908</v>
      </c>
      <c r="D81" s="237">
        <v>1692</v>
      </c>
      <c r="E81" s="237">
        <f t="shared" si="10"/>
        <v>-10216</v>
      </c>
      <c r="F81" s="238">
        <f t="shared" si="11"/>
        <v>-0.85791064830366137</v>
      </c>
    </row>
    <row r="82" spans="1:6" ht="20.25" customHeight="1" x14ac:dyDescent="0.3">
      <c r="A82" s="235">
        <v>4</v>
      </c>
      <c r="B82" s="236" t="s">
        <v>449</v>
      </c>
      <c r="C82" s="237">
        <v>2627</v>
      </c>
      <c r="D82" s="237">
        <v>1029</v>
      </c>
      <c r="E82" s="237">
        <f t="shared" si="10"/>
        <v>-1598</v>
      </c>
      <c r="F82" s="238">
        <f t="shared" si="11"/>
        <v>-0.60829843928435479</v>
      </c>
    </row>
    <row r="83" spans="1:6" ht="20.25" customHeight="1" x14ac:dyDescent="0.3">
      <c r="A83" s="235">
        <v>5</v>
      </c>
      <c r="B83" s="236" t="s">
        <v>385</v>
      </c>
      <c r="C83" s="239">
        <v>1</v>
      </c>
      <c r="D83" s="239">
        <v>0</v>
      </c>
      <c r="E83" s="239">
        <f t="shared" si="10"/>
        <v>-1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384</v>
      </c>
      <c r="C84" s="239">
        <v>1</v>
      </c>
      <c r="D84" s="239">
        <v>0</v>
      </c>
      <c r="E84" s="239">
        <f t="shared" si="10"/>
        <v>-1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450</v>
      </c>
      <c r="C85" s="239">
        <v>9</v>
      </c>
      <c r="D85" s="239">
        <v>4</v>
      </c>
      <c r="E85" s="239">
        <f t="shared" si="10"/>
        <v>-5</v>
      </c>
      <c r="F85" s="238">
        <f t="shared" si="11"/>
        <v>-0.55555555555555558</v>
      </c>
    </row>
    <row r="86" spans="1:6" ht="20.25" customHeight="1" x14ac:dyDescent="0.3">
      <c r="A86" s="235">
        <v>8</v>
      </c>
      <c r="B86" s="236" t="s">
        <v>451</v>
      </c>
      <c r="C86" s="239">
        <v>3</v>
      </c>
      <c r="D86" s="239">
        <v>0</v>
      </c>
      <c r="E86" s="239">
        <f t="shared" si="10"/>
        <v>-3</v>
      </c>
      <c r="F86" s="238">
        <f t="shared" si="11"/>
        <v>-1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25386</v>
      </c>
      <c r="D88" s="243">
        <f>+D79+D81</f>
        <v>1692</v>
      </c>
      <c r="E88" s="243">
        <f t="shared" si="10"/>
        <v>-23694</v>
      </c>
      <c r="F88" s="244">
        <f t="shared" si="11"/>
        <v>-0.93334909004963362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15930</v>
      </c>
      <c r="D89" s="243">
        <f>+D80+D82</f>
        <v>1029</v>
      </c>
      <c r="E89" s="243">
        <f t="shared" si="10"/>
        <v>-14901</v>
      </c>
      <c r="F89" s="244">
        <f t="shared" si="11"/>
        <v>-0.93540489642184554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5300547</v>
      </c>
      <c r="D92" s="237">
        <v>5477174</v>
      </c>
      <c r="E92" s="237">
        <f t="shared" ref="E92:E102" si="12">D92-C92</f>
        <v>176627</v>
      </c>
      <c r="F92" s="238">
        <f t="shared" ref="F92:F102" si="13">IF(C92=0,0,E92/C92)</f>
        <v>3.3322409932408863E-2</v>
      </c>
    </row>
    <row r="93" spans="1:6" ht="20.25" customHeight="1" x14ac:dyDescent="0.3">
      <c r="A93" s="235">
        <v>2</v>
      </c>
      <c r="B93" s="236" t="s">
        <v>447</v>
      </c>
      <c r="C93" s="237">
        <v>2605813</v>
      </c>
      <c r="D93" s="237">
        <v>2724697</v>
      </c>
      <c r="E93" s="237">
        <f t="shared" si="12"/>
        <v>118884</v>
      </c>
      <c r="F93" s="238">
        <f t="shared" si="13"/>
        <v>4.5622613748569067E-2</v>
      </c>
    </row>
    <row r="94" spans="1:6" ht="20.25" customHeight="1" x14ac:dyDescent="0.3">
      <c r="A94" s="235">
        <v>3</v>
      </c>
      <c r="B94" s="236" t="s">
        <v>448</v>
      </c>
      <c r="C94" s="237">
        <v>4550671</v>
      </c>
      <c r="D94" s="237">
        <v>7053570</v>
      </c>
      <c r="E94" s="237">
        <f t="shared" si="12"/>
        <v>2502899</v>
      </c>
      <c r="F94" s="238">
        <f t="shared" si="13"/>
        <v>0.55000658144699976</v>
      </c>
    </row>
    <row r="95" spans="1:6" ht="20.25" customHeight="1" x14ac:dyDescent="0.3">
      <c r="A95" s="235">
        <v>4</v>
      </c>
      <c r="B95" s="236" t="s">
        <v>449</v>
      </c>
      <c r="C95" s="237">
        <v>1304989</v>
      </c>
      <c r="D95" s="237">
        <v>2176488</v>
      </c>
      <c r="E95" s="237">
        <f t="shared" si="12"/>
        <v>871499</v>
      </c>
      <c r="F95" s="238">
        <f t="shared" si="13"/>
        <v>0.66782095481264592</v>
      </c>
    </row>
    <row r="96" spans="1:6" ht="20.25" customHeight="1" x14ac:dyDescent="0.3">
      <c r="A96" s="235">
        <v>5</v>
      </c>
      <c r="B96" s="236" t="s">
        <v>385</v>
      </c>
      <c r="C96" s="239">
        <v>157</v>
      </c>
      <c r="D96" s="239">
        <v>180</v>
      </c>
      <c r="E96" s="239">
        <f t="shared" si="12"/>
        <v>23</v>
      </c>
      <c r="F96" s="238">
        <f t="shared" si="13"/>
        <v>0.1464968152866242</v>
      </c>
    </row>
    <row r="97" spans="1:6" ht="20.25" customHeight="1" x14ac:dyDescent="0.3">
      <c r="A97" s="235">
        <v>6</v>
      </c>
      <c r="B97" s="236" t="s">
        <v>384</v>
      </c>
      <c r="C97" s="239">
        <v>667</v>
      </c>
      <c r="D97" s="239">
        <v>700</v>
      </c>
      <c r="E97" s="239">
        <f t="shared" si="12"/>
        <v>33</v>
      </c>
      <c r="F97" s="238">
        <f t="shared" si="13"/>
        <v>4.9475262368815595E-2</v>
      </c>
    </row>
    <row r="98" spans="1:6" ht="20.25" customHeight="1" x14ac:dyDescent="0.3">
      <c r="A98" s="235">
        <v>7</v>
      </c>
      <c r="B98" s="236" t="s">
        <v>450</v>
      </c>
      <c r="C98" s="239">
        <v>4093</v>
      </c>
      <c r="D98" s="239">
        <v>6176</v>
      </c>
      <c r="E98" s="239">
        <f t="shared" si="12"/>
        <v>2083</v>
      </c>
      <c r="F98" s="238">
        <f t="shared" si="13"/>
        <v>0.50891766430491081</v>
      </c>
    </row>
    <row r="99" spans="1:6" ht="20.25" customHeight="1" x14ac:dyDescent="0.3">
      <c r="A99" s="235">
        <v>8</v>
      </c>
      <c r="B99" s="236" t="s">
        <v>451</v>
      </c>
      <c r="C99" s="239">
        <v>228</v>
      </c>
      <c r="D99" s="239">
        <v>344</v>
      </c>
      <c r="E99" s="239">
        <f t="shared" si="12"/>
        <v>116</v>
      </c>
      <c r="F99" s="238">
        <f t="shared" si="13"/>
        <v>0.50877192982456143</v>
      </c>
    </row>
    <row r="100" spans="1:6" ht="20.25" customHeight="1" x14ac:dyDescent="0.3">
      <c r="A100" s="235">
        <v>9</v>
      </c>
      <c r="B100" s="236" t="s">
        <v>452</v>
      </c>
      <c r="C100" s="239">
        <v>103</v>
      </c>
      <c r="D100" s="239">
        <v>110</v>
      </c>
      <c r="E100" s="239">
        <f t="shared" si="12"/>
        <v>7</v>
      </c>
      <c r="F100" s="238">
        <f t="shared" si="13"/>
        <v>6.7961165048543687E-2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9851218</v>
      </c>
      <c r="D101" s="243">
        <f>+D92+D94</f>
        <v>12530744</v>
      </c>
      <c r="E101" s="243">
        <f t="shared" si="12"/>
        <v>2679526</v>
      </c>
      <c r="F101" s="244">
        <f t="shared" si="13"/>
        <v>0.27199946240150202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3910802</v>
      </c>
      <c r="D102" s="243">
        <f>+D93+D95</f>
        <v>4901185</v>
      </c>
      <c r="E102" s="243">
        <f t="shared" si="12"/>
        <v>990383</v>
      </c>
      <c r="F102" s="244">
        <f t="shared" si="13"/>
        <v>0.25324294096198169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79924</v>
      </c>
      <c r="D105" s="237">
        <v>192078</v>
      </c>
      <c r="E105" s="237">
        <f t="shared" ref="E105:E115" si="14">D105-C105</f>
        <v>112154</v>
      </c>
      <c r="F105" s="238">
        <f t="shared" ref="F105:F115" si="15">IF(C105=0,0,E105/C105)</f>
        <v>1.403258095190431</v>
      </c>
    </row>
    <row r="106" spans="1:6" ht="20.25" customHeight="1" x14ac:dyDescent="0.3">
      <c r="A106" s="235">
        <v>2</v>
      </c>
      <c r="B106" s="236" t="s">
        <v>447</v>
      </c>
      <c r="C106" s="237">
        <v>34245</v>
      </c>
      <c r="D106" s="237">
        <v>113489</v>
      </c>
      <c r="E106" s="237">
        <f t="shared" si="14"/>
        <v>79244</v>
      </c>
      <c r="F106" s="238">
        <f t="shared" si="15"/>
        <v>2.31403124543729</v>
      </c>
    </row>
    <row r="107" spans="1:6" ht="20.25" customHeight="1" x14ac:dyDescent="0.3">
      <c r="A107" s="235">
        <v>3</v>
      </c>
      <c r="B107" s="236" t="s">
        <v>448</v>
      </c>
      <c r="C107" s="237">
        <v>16793</v>
      </c>
      <c r="D107" s="237">
        <v>69344</v>
      </c>
      <c r="E107" s="237">
        <f t="shared" si="14"/>
        <v>52551</v>
      </c>
      <c r="F107" s="238">
        <f t="shared" si="15"/>
        <v>3.1293396057881262</v>
      </c>
    </row>
    <row r="108" spans="1:6" ht="20.25" customHeight="1" x14ac:dyDescent="0.3">
      <c r="A108" s="235">
        <v>4</v>
      </c>
      <c r="B108" s="236" t="s">
        <v>449</v>
      </c>
      <c r="C108" s="237">
        <v>4763</v>
      </c>
      <c r="D108" s="237">
        <v>16171</v>
      </c>
      <c r="E108" s="237">
        <f t="shared" si="14"/>
        <v>11408</v>
      </c>
      <c r="F108" s="238">
        <f t="shared" si="15"/>
        <v>2.3951291203023306</v>
      </c>
    </row>
    <row r="109" spans="1:6" ht="20.25" customHeight="1" x14ac:dyDescent="0.3">
      <c r="A109" s="235">
        <v>5</v>
      </c>
      <c r="B109" s="236" t="s">
        <v>385</v>
      </c>
      <c r="C109" s="239">
        <v>5</v>
      </c>
      <c r="D109" s="239">
        <v>6</v>
      </c>
      <c r="E109" s="239">
        <f t="shared" si="14"/>
        <v>1</v>
      </c>
      <c r="F109" s="238">
        <f t="shared" si="15"/>
        <v>0.2</v>
      </c>
    </row>
    <row r="110" spans="1:6" ht="20.25" customHeight="1" x14ac:dyDescent="0.3">
      <c r="A110" s="235">
        <v>6</v>
      </c>
      <c r="B110" s="236" t="s">
        <v>384</v>
      </c>
      <c r="C110" s="239">
        <v>22</v>
      </c>
      <c r="D110" s="239">
        <v>18</v>
      </c>
      <c r="E110" s="239">
        <f t="shared" si="14"/>
        <v>-4</v>
      </c>
      <c r="F110" s="238">
        <f t="shared" si="15"/>
        <v>-0.18181818181818182</v>
      </c>
    </row>
    <row r="111" spans="1:6" ht="20.25" customHeight="1" x14ac:dyDescent="0.3">
      <c r="A111" s="235">
        <v>7</v>
      </c>
      <c r="B111" s="236" t="s">
        <v>450</v>
      </c>
      <c r="C111" s="239">
        <v>21</v>
      </c>
      <c r="D111" s="239">
        <v>50</v>
      </c>
      <c r="E111" s="239">
        <f t="shared" si="14"/>
        <v>29</v>
      </c>
      <c r="F111" s="238">
        <f t="shared" si="15"/>
        <v>1.3809523809523809</v>
      </c>
    </row>
    <row r="112" spans="1:6" ht="20.25" customHeight="1" x14ac:dyDescent="0.3">
      <c r="A112" s="235">
        <v>8</v>
      </c>
      <c r="B112" s="236" t="s">
        <v>451</v>
      </c>
      <c r="C112" s="239">
        <v>6</v>
      </c>
      <c r="D112" s="239">
        <v>37</v>
      </c>
      <c r="E112" s="239">
        <f t="shared" si="14"/>
        <v>31</v>
      </c>
      <c r="F112" s="238">
        <f t="shared" si="15"/>
        <v>5.166666666666667</v>
      </c>
    </row>
    <row r="113" spans="1:6" ht="20.25" customHeight="1" x14ac:dyDescent="0.3">
      <c r="A113" s="235">
        <v>9</v>
      </c>
      <c r="B113" s="236" t="s">
        <v>452</v>
      </c>
      <c r="C113" s="239">
        <v>5</v>
      </c>
      <c r="D113" s="239">
        <v>3</v>
      </c>
      <c r="E113" s="239">
        <f t="shared" si="14"/>
        <v>-2</v>
      </c>
      <c r="F113" s="238">
        <f t="shared" si="15"/>
        <v>-0.4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96717</v>
      </c>
      <c r="D114" s="243">
        <f>+D105+D107</f>
        <v>261422</v>
      </c>
      <c r="E114" s="243">
        <f t="shared" si="14"/>
        <v>164705</v>
      </c>
      <c r="F114" s="244">
        <f t="shared" si="15"/>
        <v>1.7029581149125801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39008</v>
      </c>
      <c r="D115" s="243">
        <f>+D106+D108</f>
        <v>129660</v>
      </c>
      <c r="E115" s="243">
        <f t="shared" si="14"/>
        <v>90652</v>
      </c>
      <c r="F115" s="244">
        <f t="shared" si="15"/>
        <v>2.3239335520918787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1923070</v>
      </c>
      <c r="D118" s="237">
        <v>2481411</v>
      </c>
      <c r="E118" s="237">
        <f t="shared" ref="E118:E128" si="16">D118-C118</f>
        <v>558341</v>
      </c>
      <c r="F118" s="238">
        <f t="shared" ref="F118:F128" si="17">IF(C118=0,0,E118/C118)</f>
        <v>0.29033836521811479</v>
      </c>
    </row>
    <row r="119" spans="1:6" ht="20.25" customHeight="1" x14ac:dyDescent="0.3">
      <c r="A119" s="235">
        <v>2</v>
      </c>
      <c r="B119" s="236" t="s">
        <v>447</v>
      </c>
      <c r="C119" s="237">
        <v>1153979</v>
      </c>
      <c r="D119" s="237">
        <v>1159036</v>
      </c>
      <c r="E119" s="237">
        <f t="shared" si="16"/>
        <v>5057</v>
      </c>
      <c r="F119" s="238">
        <f t="shared" si="17"/>
        <v>4.3822287927249978E-3</v>
      </c>
    </row>
    <row r="120" spans="1:6" ht="20.25" customHeight="1" x14ac:dyDescent="0.3">
      <c r="A120" s="235">
        <v>3</v>
      </c>
      <c r="B120" s="236" t="s">
        <v>448</v>
      </c>
      <c r="C120" s="237">
        <v>1961280</v>
      </c>
      <c r="D120" s="237">
        <v>3185640</v>
      </c>
      <c r="E120" s="237">
        <f t="shared" si="16"/>
        <v>1224360</v>
      </c>
      <c r="F120" s="238">
        <f t="shared" si="17"/>
        <v>0.62426578560939794</v>
      </c>
    </row>
    <row r="121" spans="1:6" ht="20.25" customHeight="1" x14ac:dyDescent="0.3">
      <c r="A121" s="235">
        <v>4</v>
      </c>
      <c r="B121" s="236" t="s">
        <v>449</v>
      </c>
      <c r="C121" s="237">
        <v>651996</v>
      </c>
      <c r="D121" s="237">
        <v>985020</v>
      </c>
      <c r="E121" s="237">
        <f t="shared" si="16"/>
        <v>333024</v>
      </c>
      <c r="F121" s="238">
        <f t="shared" si="17"/>
        <v>0.51077613973091862</v>
      </c>
    </row>
    <row r="122" spans="1:6" ht="20.25" customHeight="1" x14ac:dyDescent="0.3">
      <c r="A122" s="235">
        <v>5</v>
      </c>
      <c r="B122" s="236" t="s">
        <v>385</v>
      </c>
      <c r="C122" s="239">
        <v>74</v>
      </c>
      <c r="D122" s="239">
        <v>80</v>
      </c>
      <c r="E122" s="239">
        <f t="shared" si="16"/>
        <v>6</v>
      </c>
      <c r="F122" s="238">
        <f t="shared" si="17"/>
        <v>8.1081081081081086E-2</v>
      </c>
    </row>
    <row r="123" spans="1:6" ht="20.25" customHeight="1" x14ac:dyDescent="0.3">
      <c r="A123" s="235">
        <v>6</v>
      </c>
      <c r="B123" s="236" t="s">
        <v>384</v>
      </c>
      <c r="C123" s="239">
        <v>361</v>
      </c>
      <c r="D123" s="239">
        <v>413</v>
      </c>
      <c r="E123" s="239">
        <f t="shared" si="16"/>
        <v>52</v>
      </c>
      <c r="F123" s="238">
        <f t="shared" si="17"/>
        <v>0.1440443213296399</v>
      </c>
    </row>
    <row r="124" spans="1:6" ht="20.25" customHeight="1" x14ac:dyDescent="0.3">
      <c r="A124" s="235">
        <v>7</v>
      </c>
      <c r="B124" s="236" t="s">
        <v>450</v>
      </c>
      <c r="C124" s="239">
        <v>2316</v>
      </c>
      <c r="D124" s="239">
        <v>2793</v>
      </c>
      <c r="E124" s="239">
        <f t="shared" si="16"/>
        <v>477</v>
      </c>
      <c r="F124" s="238">
        <f t="shared" si="17"/>
        <v>0.20595854922279794</v>
      </c>
    </row>
    <row r="125" spans="1:6" ht="20.25" customHeight="1" x14ac:dyDescent="0.3">
      <c r="A125" s="235">
        <v>8</v>
      </c>
      <c r="B125" s="236" t="s">
        <v>451</v>
      </c>
      <c r="C125" s="239">
        <v>115</v>
      </c>
      <c r="D125" s="239">
        <v>121</v>
      </c>
      <c r="E125" s="239">
        <f t="shared" si="16"/>
        <v>6</v>
      </c>
      <c r="F125" s="238">
        <f t="shared" si="17"/>
        <v>5.2173913043478258E-2</v>
      </c>
    </row>
    <row r="126" spans="1:6" ht="20.25" customHeight="1" x14ac:dyDescent="0.3">
      <c r="A126" s="235">
        <v>9</v>
      </c>
      <c r="B126" s="236" t="s">
        <v>452</v>
      </c>
      <c r="C126" s="239">
        <v>34</v>
      </c>
      <c r="D126" s="239">
        <v>64</v>
      </c>
      <c r="E126" s="239">
        <f t="shared" si="16"/>
        <v>30</v>
      </c>
      <c r="F126" s="238">
        <f t="shared" si="17"/>
        <v>0.88235294117647056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3884350</v>
      </c>
      <c r="D127" s="243">
        <f>+D118+D120</f>
        <v>5667051</v>
      </c>
      <c r="E127" s="243">
        <f t="shared" si="16"/>
        <v>1782701</v>
      </c>
      <c r="F127" s="244">
        <f t="shared" si="17"/>
        <v>0.45894448234582363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1805975</v>
      </c>
      <c r="D128" s="243">
        <f>+D119+D121</f>
        <v>2144056</v>
      </c>
      <c r="E128" s="243">
        <f t="shared" si="16"/>
        <v>338081</v>
      </c>
      <c r="F128" s="244">
        <f t="shared" si="17"/>
        <v>0.1872013732194521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18643</v>
      </c>
      <c r="D131" s="237">
        <v>47217</v>
      </c>
      <c r="E131" s="237">
        <f t="shared" ref="E131:E141" si="18">D131-C131</f>
        <v>28574</v>
      </c>
      <c r="F131" s="238">
        <f t="shared" ref="F131:F141" si="19">IF(C131=0,0,E131/C131)</f>
        <v>1.5326932360671566</v>
      </c>
    </row>
    <row r="132" spans="1:6" ht="20.25" customHeight="1" x14ac:dyDescent="0.3">
      <c r="A132" s="235">
        <v>2</v>
      </c>
      <c r="B132" s="236" t="s">
        <v>447</v>
      </c>
      <c r="C132" s="237">
        <v>18642</v>
      </c>
      <c r="D132" s="237">
        <v>24041</v>
      </c>
      <c r="E132" s="237">
        <f t="shared" si="18"/>
        <v>5399</v>
      </c>
      <c r="F132" s="238">
        <f t="shared" si="19"/>
        <v>0.28961484819225403</v>
      </c>
    </row>
    <row r="133" spans="1:6" ht="20.25" customHeight="1" x14ac:dyDescent="0.3">
      <c r="A133" s="235">
        <v>3</v>
      </c>
      <c r="B133" s="236" t="s">
        <v>448</v>
      </c>
      <c r="C133" s="237">
        <v>28067</v>
      </c>
      <c r="D133" s="237">
        <v>124172</v>
      </c>
      <c r="E133" s="237">
        <f t="shared" si="18"/>
        <v>96105</v>
      </c>
      <c r="F133" s="238">
        <f t="shared" si="19"/>
        <v>3.4241279794776784</v>
      </c>
    </row>
    <row r="134" spans="1:6" ht="20.25" customHeight="1" x14ac:dyDescent="0.3">
      <c r="A134" s="235">
        <v>4</v>
      </c>
      <c r="B134" s="236" t="s">
        <v>449</v>
      </c>
      <c r="C134" s="237">
        <v>8473</v>
      </c>
      <c r="D134" s="237">
        <v>49084</v>
      </c>
      <c r="E134" s="237">
        <f t="shared" si="18"/>
        <v>40611</v>
      </c>
      <c r="F134" s="238">
        <f t="shared" si="19"/>
        <v>4.7929894960462649</v>
      </c>
    </row>
    <row r="135" spans="1:6" ht="20.25" customHeight="1" x14ac:dyDescent="0.3">
      <c r="A135" s="235">
        <v>5</v>
      </c>
      <c r="B135" s="236" t="s">
        <v>385</v>
      </c>
      <c r="C135" s="239">
        <v>2</v>
      </c>
      <c r="D135" s="239">
        <v>2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6</v>
      </c>
      <c r="D136" s="239">
        <v>7</v>
      </c>
      <c r="E136" s="239">
        <f t="shared" si="18"/>
        <v>1</v>
      </c>
      <c r="F136" s="238">
        <f t="shared" si="19"/>
        <v>0.16666666666666666</v>
      </c>
    </row>
    <row r="137" spans="1:6" ht="20.25" customHeight="1" x14ac:dyDescent="0.3">
      <c r="A137" s="235">
        <v>7</v>
      </c>
      <c r="B137" s="236" t="s">
        <v>450</v>
      </c>
      <c r="C137" s="239">
        <v>77</v>
      </c>
      <c r="D137" s="239">
        <v>128</v>
      </c>
      <c r="E137" s="239">
        <f t="shared" si="18"/>
        <v>51</v>
      </c>
      <c r="F137" s="238">
        <f t="shared" si="19"/>
        <v>0.66233766233766234</v>
      </c>
    </row>
    <row r="138" spans="1:6" ht="20.25" customHeight="1" x14ac:dyDescent="0.3">
      <c r="A138" s="235">
        <v>8</v>
      </c>
      <c r="B138" s="236" t="s">
        <v>451</v>
      </c>
      <c r="C138" s="239">
        <v>5</v>
      </c>
      <c r="D138" s="239">
        <v>3</v>
      </c>
      <c r="E138" s="239">
        <f t="shared" si="18"/>
        <v>-2</v>
      </c>
      <c r="F138" s="238">
        <f t="shared" si="19"/>
        <v>-0.4</v>
      </c>
    </row>
    <row r="139" spans="1:6" ht="20.25" customHeight="1" x14ac:dyDescent="0.3">
      <c r="A139" s="235">
        <v>9</v>
      </c>
      <c r="B139" s="236" t="s">
        <v>452</v>
      </c>
      <c r="C139" s="239">
        <v>1</v>
      </c>
      <c r="D139" s="239">
        <v>0</v>
      </c>
      <c r="E139" s="239">
        <f t="shared" si="18"/>
        <v>-1</v>
      </c>
      <c r="F139" s="238">
        <f t="shared" si="19"/>
        <v>-1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46710</v>
      </c>
      <c r="D140" s="243">
        <f>+D131+D133</f>
        <v>171389</v>
      </c>
      <c r="E140" s="243">
        <f t="shared" si="18"/>
        <v>124679</v>
      </c>
      <c r="F140" s="244">
        <f t="shared" si="19"/>
        <v>2.6692143010062086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27115</v>
      </c>
      <c r="D141" s="243">
        <f>+D132+D134</f>
        <v>73125</v>
      </c>
      <c r="E141" s="243">
        <f t="shared" si="18"/>
        <v>46010</v>
      </c>
      <c r="F141" s="244">
        <f t="shared" si="19"/>
        <v>1.6968467637838835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1300892</v>
      </c>
      <c r="D183" s="237">
        <v>593254</v>
      </c>
      <c r="E183" s="237">
        <f t="shared" ref="E183:E193" si="26">D183-C183</f>
        <v>-707638</v>
      </c>
      <c r="F183" s="238">
        <f t="shared" ref="F183:F193" si="27">IF(C183=0,0,E183/C183)</f>
        <v>-0.54396368030551345</v>
      </c>
    </row>
    <row r="184" spans="1:6" ht="20.25" customHeight="1" x14ac:dyDescent="0.3">
      <c r="A184" s="235">
        <v>2</v>
      </c>
      <c r="B184" s="236" t="s">
        <v>447</v>
      </c>
      <c r="C184" s="237">
        <v>676025</v>
      </c>
      <c r="D184" s="237">
        <v>410789</v>
      </c>
      <c r="E184" s="237">
        <f t="shared" si="26"/>
        <v>-265236</v>
      </c>
      <c r="F184" s="238">
        <f t="shared" si="27"/>
        <v>-0.39234643689212678</v>
      </c>
    </row>
    <row r="185" spans="1:6" ht="20.25" customHeight="1" x14ac:dyDescent="0.3">
      <c r="A185" s="235">
        <v>3</v>
      </c>
      <c r="B185" s="236" t="s">
        <v>448</v>
      </c>
      <c r="C185" s="237">
        <v>1004779</v>
      </c>
      <c r="D185" s="237">
        <v>628566</v>
      </c>
      <c r="E185" s="237">
        <f t="shared" si="26"/>
        <v>-376213</v>
      </c>
      <c r="F185" s="238">
        <f t="shared" si="27"/>
        <v>-0.37442362947474023</v>
      </c>
    </row>
    <row r="186" spans="1:6" ht="20.25" customHeight="1" x14ac:dyDescent="0.3">
      <c r="A186" s="235">
        <v>4</v>
      </c>
      <c r="B186" s="236" t="s">
        <v>449</v>
      </c>
      <c r="C186" s="237">
        <v>299171</v>
      </c>
      <c r="D186" s="237">
        <v>185208</v>
      </c>
      <c r="E186" s="237">
        <f t="shared" si="26"/>
        <v>-113963</v>
      </c>
      <c r="F186" s="238">
        <f t="shared" si="27"/>
        <v>-0.3809293013025995</v>
      </c>
    </row>
    <row r="187" spans="1:6" ht="20.25" customHeight="1" x14ac:dyDescent="0.3">
      <c r="A187" s="235">
        <v>5</v>
      </c>
      <c r="B187" s="236" t="s">
        <v>385</v>
      </c>
      <c r="C187" s="239">
        <v>35</v>
      </c>
      <c r="D187" s="239">
        <v>26</v>
      </c>
      <c r="E187" s="239">
        <f t="shared" si="26"/>
        <v>-9</v>
      </c>
      <c r="F187" s="238">
        <f t="shared" si="27"/>
        <v>-0.25714285714285712</v>
      </c>
    </row>
    <row r="188" spans="1:6" ht="20.25" customHeight="1" x14ac:dyDescent="0.3">
      <c r="A188" s="235">
        <v>6</v>
      </c>
      <c r="B188" s="236" t="s">
        <v>384</v>
      </c>
      <c r="C188" s="239">
        <v>214</v>
      </c>
      <c r="D188" s="239">
        <v>110</v>
      </c>
      <c r="E188" s="239">
        <f t="shared" si="26"/>
        <v>-104</v>
      </c>
      <c r="F188" s="238">
        <f t="shared" si="27"/>
        <v>-0.48598130841121495</v>
      </c>
    </row>
    <row r="189" spans="1:6" ht="20.25" customHeight="1" x14ac:dyDescent="0.3">
      <c r="A189" s="235">
        <v>7</v>
      </c>
      <c r="B189" s="236" t="s">
        <v>450</v>
      </c>
      <c r="C189" s="239">
        <v>780</v>
      </c>
      <c r="D189" s="239">
        <v>513</v>
      </c>
      <c r="E189" s="239">
        <f t="shared" si="26"/>
        <v>-267</v>
      </c>
      <c r="F189" s="238">
        <f t="shared" si="27"/>
        <v>-0.34230769230769231</v>
      </c>
    </row>
    <row r="190" spans="1:6" ht="20.25" customHeight="1" x14ac:dyDescent="0.3">
      <c r="A190" s="235">
        <v>8</v>
      </c>
      <c r="B190" s="236" t="s">
        <v>451</v>
      </c>
      <c r="C190" s="239">
        <v>89</v>
      </c>
      <c r="D190" s="239">
        <v>91</v>
      </c>
      <c r="E190" s="239">
        <f t="shared" si="26"/>
        <v>2</v>
      </c>
      <c r="F190" s="238">
        <f t="shared" si="27"/>
        <v>2.247191011235955E-2</v>
      </c>
    </row>
    <row r="191" spans="1:6" ht="20.25" customHeight="1" x14ac:dyDescent="0.3">
      <c r="A191" s="235">
        <v>9</v>
      </c>
      <c r="B191" s="236" t="s">
        <v>452</v>
      </c>
      <c r="C191" s="239">
        <v>15</v>
      </c>
      <c r="D191" s="239">
        <v>22</v>
      </c>
      <c r="E191" s="239">
        <f t="shared" si="26"/>
        <v>7</v>
      </c>
      <c r="F191" s="238">
        <f t="shared" si="27"/>
        <v>0.46666666666666667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2305671</v>
      </c>
      <c r="D192" s="243">
        <f>+D183+D185</f>
        <v>1221820</v>
      </c>
      <c r="E192" s="243">
        <f t="shared" si="26"/>
        <v>-1083851</v>
      </c>
      <c r="F192" s="244">
        <f t="shared" si="27"/>
        <v>-0.4700805101855382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975196</v>
      </c>
      <c r="D193" s="243">
        <f>+D184+D186</f>
        <v>595997</v>
      </c>
      <c r="E193" s="243">
        <f t="shared" si="26"/>
        <v>-379199</v>
      </c>
      <c r="F193" s="244">
        <f t="shared" si="27"/>
        <v>-0.38884388369107337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17500425</v>
      </c>
      <c r="D198" s="243">
        <f t="shared" si="28"/>
        <v>20414895</v>
      </c>
      <c r="E198" s="243">
        <f t="shared" ref="E198:E208" si="29">D198-C198</f>
        <v>2914470</v>
      </c>
      <c r="F198" s="251">
        <f t="shared" ref="F198:F208" si="30">IF(C198=0,0,E198/C198)</f>
        <v>0.1665370983847535</v>
      </c>
    </row>
    <row r="199" spans="1:9" ht="20.25" customHeight="1" x14ac:dyDescent="0.3">
      <c r="A199" s="249"/>
      <c r="B199" s="250" t="s">
        <v>473</v>
      </c>
      <c r="C199" s="243">
        <f t="shared" si="28"/>
        <v>9396837</v>
      </c>
      <c r="D199" s="243">
        <f t="shared" si="28"/>
        <v>10082014</v>
      </c>
      <c r="E199" s="243">
        <f t="shared" si="29"/>
        <v>685177</v>
      </c>
      <c r="F199" s="251">
        <f t="shared" si="30"/>
        <v>7.2915705571991937E-2</v>
      </c>
    </row>
    <row r="200" spans="1:9" ht="20.25" customHeight="1" x14ac:dyDescent="0.3">
      <c r="A200" s="249"/>
      <c r="B200" s="250" t="s">
        <v>474</v>
      </c>
      <c r="C200" s="243">
        <f t="shared" si="28"/>
        <v>16696338</v>
      </c>
      <c r="D200" s="243">
        <f t="shared" si="28"/>
        <v>21774143</v>
      </c>
      <c r="E200" s="243">
        <f t="shared" si="29"/>
        <v>5077805</v>
      </c>
      <c r="F200" s="251">
        <f t="shared" si="30"/>
        <v>0.30412686901762531</v>
      </c>
    </row>
    <row r="201" spans="1:9" ht="20.25" customHeight="1" x14ac:dyDescent="0.3">
      <c r="A201" s="249"/>
      <c r="B201" s="250" t="s">
        <v>475</v>
      </c>
      <c r="C201" s="243">
        <f t="shared" si="28"/>
        <v>5229762</v>
      </c>
      <c r="D201" s="243">
        <f t="shared" si="28"/>
        <v>7148700</v>
      </c>
      <c r="E201" s="243">
        <f t="shared" si="29"/>
        <v>1918938</v>
      </c>
      <c r="F201" s="251">
        <f t="shared" si="30"/>
        <v>0.36692644904299659</v>
      </c>
    </row>
    <row r="202" spans="1:9" ht="20.25" customHeight="1" x14ac:dyDescent="0.3">
      <c r="A202" s="249"/>
      <c r="B202" s="250" t="s">
        <v>476</v>
      </c>
      <c r="C202" s="252">
        <f t="shared" si="28"/>
        <v>543</v>
      </c>
      <c r="D202" s="252">
        <f t="shared" si="28"/>
        <v>599</v>
      </c>
      <c r="E202" s="252">
        <f t="shared" si="29"/>
        <v>56</v>
      </c>
      <c r="F202" s="251">
        <f t="shared" si="30"/>
        <v>0.10313075506445672</v>
      </c>
    </row>
    <row r="203" spans="1:9" ht="20.25" customHeight="1" x14ac:dyDescent="0.3">
      <c r="A203" s="249"/>
      <c r="B203" s="250" t="s">
        <v>477</v>
      </c>
      <c r="C203" s="252">
        <f t="shared" si="28"/>
        <v>2454</v>
      </c>
      <c r="D203" s="252">
        <f t="shared" si="28"/>
        <v>2983</v>
      </c>
      <c r="E203" s="252">
        <f t="shared" si="29"/>
        <v>529</v>
      </c>
      <c r="F203" s="251">
        <f t="shared" si="30"/>
        <v>0.21556642216788915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15290</v>
      </c>
      <c r="D204" s="252">
        <f t="shared" si="28"/>
        <v>19366</v>
      </c>
      <c r="E204" s="252">
        <f t="shared" si="29"/>
        <v>4076</v>
      </c>
      <c r="F204" s="251">
        <f t="shared" si="30"/>
        <v>0.26657946370176588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896</v>
      </c>
      <c r="D205" s="252">
        <f t="shared" si="28"/>
        <v>1077</v>
      </c>
      <c r="E205" s="252">
        <f t="shared" si="29"/>
        <v>181</v>
      </c>
      <c r="F205" s="251">
        <f t="shared" si="30"/>
        <v>0.20200892857142858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258</v>
      </c>
      <c r="D206" s="252">
        <f t="shared" si="28"/>
        <v>391</v>
      </c>
      <c r="E206" s="252">
        <f t="shared" si="29"/>
        <v>133</v>
      </c>
      <c r="F206" s="251">
        <f t="shared" si="30"/>
        <v>0.51550387596899228</v>
      </c>
    </row>
    <row r="207" spans="1:9" ht="20.25" customHeight="1" x14ac:dyDescent="0.3">
      <c r="A207" s="249"/>
      <c r="B207" s="242" t="s">
        <v>481</v>
      </c>
      <c r="C207" s="243">
        <f>+C198+C200</f>
        <v>34196763</v>
      </c>
      <c r="D207" s="243">
        <f>+D198+D200</f>
        <v>42189038</v>
      </c>
      <c r="E207" s="243">
        <f t="shared" si="29"/>
        <v>7992275</v>
      </c>
      <c r="F207" s="251">
        <f t="shared" si="30"/>
        <v>0.23371437232231601</v>
      </c>
    </row>
    <row r="208" spans="1:9" ht="20.25" customHeight="1" x14ac:dyDescent="0.3">
      <c r="A208" s="249"/>
      <c r="B208" s="242" t="s">
        <v>482</v>
      </c>
      <c r="C208" s="243">
        <f>+C199+C201</f>
        <v>14626599</v>
      </c>
      <c r="D208" s="243">
        <f>+D199+D201</f>
        <v>17230714</v>
      </c>
      <c r="E208" s="243">
        <f t="shared" si="29"/>
        <v>2604115</v>
      </c>
      <c r="F208" s="251">
        <f t="shared" si="30"/>
        <v>0.17803967962750603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FILING&amp;RJOHN DEMPSEY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16606388</v>
      </c>
      <c r="D26" s="237">
        <v>1556645</v>
      </c>
      <c r="E26" s="237">
        <f t="shared" ref="E26:E36" si="2">D26-C26</f>
        <v>-15049743</v>
      </c>
      <c r="F26" s="238">
        <f t="shared" ref="F26:F36" si="3">IF(C26=0,0,E26/C26)</f>
        <v>-0.90626227690211747</v>
      </c>
    </row>
    <row r="27" spans="1:6" ht="20.25" customHeight="1" x14ac:dyDescent="0.3">
      <c r="A27" s="235">
        <v>2</v>
      </c>
      <c r="B27" s="236" t="s">
        <v>447</v>
      </c>
      <c r="C27" s="237">
        <v>5874105</v>
      </c>
      <c r="D27" s="237">
        <v>384413</v>
      </c>
      <c r="E27" s="237">
        <f t="shared" si="2"/>
        <v>-5489692</v>
      </c>
      <c r="F27" s="238">
        <f t="shared" si="3"/>
        <v>-0.93455803054252518</v>
      </c>
    </row>
    <row r="28" spans="1:6" ht="20.25" customHeight="1" x14ac:dyDescent="0.3">
      <c r="A28" s="235">
        <v>3</v>
      </c>
      <c r="B28" s="236" t="s">
        <v>448</v>
      </c>
      <c r="C28" s="237">
        <v>10121340</v>
      </c>
      <c r="D28" s="237">
        <v>2612185</v>
      </c>
      <c r="E28" s="237">
        <f t="shared" si="2"/>
        <v>-7509155</v>
      </c>
      <c r="F28" s="238">
        <f t="shared" si="3"/>
        <v>-0.7419131261275681</v>
      </c>
    </row>
    <row r="29" spans="1:6" ht="20.25" customHeight="1" x14ac:dyDescent="0.3">
      <c r="A29" s="235">
        <v>4</v>
      </c>
      <c r="B29" s="236" t="s">
        <v>449</v>
      </c>
      <c r="C29" s="237">
        <v>4597944</v>
      </c>
      <c r="D29" s="237">
        <v>1194747</v>
      </c>
      <c r="E29" s="237">
        <f t="shared" si="2"/>
        <v>-3403197</v>
      </c>
      <c r="F29" s="238">
        <f t="shared" si="3"/>
        <v>-0.74015625244674577</v>
      </c>
    </row>
    <row r="30" spans="1:6" ht="20.25" customHeight="1" x14ac:dyDescent="0.3">
      <c r="A30" s="235">
        <v>5</v>
      </c>
      <c r="B30" s="236" t="s">
        <v>385</v>
      </c>
      <c r="C30" s="239">
        <v>459</v>
      </c>
      <c r="D30" s="239">
        <v>78</v>
      </c>
      <c r="E30" s="239">
        <f t="shared" si="2"/>
        <v>-381</v>
      </c>
      <c r="F30" s="238">
        <f t="shared" si="3"/>
        <v>-0.83006535947712423</v>
      </c>
    </row>
    <row r="31" spans="1:6" ht="20.25" customHeight="1" x14ac:dyDescent="0.3">
      <c r="A31" s="235">
        <v>6</v>
      </c>
      <c r="B31" s="236" t="s">
        <v>384</v>
      </c>
      <c r="C31" s="239">
        <v>4185</v>
      </c>
      <c r="D31" s="239">
        <v>276</v>
      </c>
      <c r="E31" s="239">
        <f t="shared" si="2"/>
        <v>-3909</v>
      </c>
      <c r="F31" s="238">
        <f t="shared" si="3"/>
        <v>-0.93405017921146949</v>
      </c>
    </row>
    <row r="32" spans="1:6" ht="20.25" customHeight="1" x14ac:dyDescent="0.3">
      <c r="A32" s="235">
        <v>7</v>
      </c>
      <c r="B32" s="236" t="s">
        <v>450</v>
      </c>
      <c r="C32" s="239">
        <v>13337</v>
      </c>
      <c r="D32" s="239">
        <v>3836</v>
      </c>
      <c r="E32" s="239">
        <f t="shared" si="2"/>
        <v>-9501</v>
      </c>
      <c r="F32" s="238">
        <f t="shared" si="3"/>
        <v>-0.71237909574866909</v>
      </c>
    </row>
    <row r="33" spans="1:6" ht="20.25" customHeight="1" x14ac:dyDescent="0.3">
      <c r="A33" s="235">
        <v>8</v>
      </c>
      <c r="B33" s="236" t="s">
        <v>451</v>
      </c>
      <c r="C33" s="239">
        <v>1716</v>
      </c>
      <c r="D33" s="239">
        <v>384</v>
      </c>
      <c r="E33" s="239">
        <f t="shared" si="2"/>
        <v>-1332</v>
      </c>
      <c r="F33" s="238">
        <f t="shared" si="3"/>
        <v>-0.77622377622377625</v>
      </c>
    </row>
    <row r="34" spans="1:6" ht="20.25" customHeight="1" x14ac:dyDescent="0.3">
      <c r="A34" s="235">
        <v>9</v>
      </c>
      <c r="B34" s="236" t="s">
        <v>452</v>
      </c>
      <c r="C34" s="239">
        <v>52</v>
      </c>
      <c r="D34" s="239">
        <v>21</v>
      </c>
      <c r="E34" s="239">
        <f t="shared" si="2"/>
        <v>-31</v>
      </c>
      <c r="F34" s="238">
        <f t="shared" si="3"/>
        <v>-0.59615384615384615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26727728</v>
      </c>
      <c r="D35" s="243">
        <f>+D26+D28</f>
        <v>4168830</v>
      </c>
      <c r="E35" s="243">
        <f t="shared" si="2"/>
        <v>-22558898</v>
      </c>
      <c r="F35" s="244">
        <f t="shared" si="3"/>
        <v>-0.84402602420976447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10472049</v>
      </c>
      <c r="D36" s="243">
        <f>+D27+D29</f>
        <v>1579160</v>
      </c>
      <c r="E36" s="243">
        <f t="shared" si="2"/>
        <v>-8892889</v>
      </c>
      <c r="F36" s="244">
        <f t="shared" si="3"/>
        <v>-0.84920238627607647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449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3476729</v>
      </c>
      <c r="D86" s="237">
        <v>182594</v>
      </c>
      <c r="E86" s="237">
        <f t="shared" ref="E86:E96" si="12">D86-C86</f>
        <v>-3294135</v>
      </c>
      <c r="F86" s="238">
        <f t="shared" ref="F86:F96" si="13">IF(C86=0,0,E86/C86)</f>
        <v>-0.94748109501775946</v>
      </c>
    </row>
    <row r="87" spans="1:6" ht="20.25" customHeight="1" x14ac:dyDescent="0.3">
      <c r="A87" s="235">
        <v>2</v>
      </c>
      <c r="B87" s="236" t="s">
        <v>447</v>
      </c>
      <c r="C87" s="237">
        <v>1261118</v>
      </c>
      <c r="D87" s="237">
        <v>49025</v>
      </c>
      <c r="E87" s="237">
        <f t="shared" si="12"/>
        <v>-1212093</v>
      </c>
      <c r="F87" s="238">
        <f t="shared" si="13"/>
        <v>-0.96112576301345309</v>
      </c>
    </row>
    <row r="88" spans="1:6" ht="20.25" customHeight="1" x14ac:dyDescent="0.3">
      <c r="A88" s="235">
        <v>3</v>
      </c>
      <c r="B88" s="236" t="s">
        <v>448</v>
      </c>
      <c r="C88" s="237">
        <v>2208968</v>
      </c>
      <c r="D88" s="237">
        <v>379491</v>
      </c>
      <c r="E88" s="237">
        <f t="shared" si="12"/>
        <v>-1829477</v>
      </c>
      <c r="F88" s="238">
        <f t="shared" si="13"/>
        <v>-0.8282043922772987</v>
      </c>
    </row>
    <row r="89" spans="1:6" ht="20.25" customHeight="1" x14ac:dyDescent="0.3">
      <c r="A89" s="235">
        <v>4</v>
      </c>
      <c r="B89" s="236" t="s">
        <v>449</v>
      </c>
      <c r="C89" s="237">
        <v>828452</v>
      </c>
      <c r="D89" s="237">
        <v>153367</v>
      </c>
      <c r="E89" s="237">
        <f t="shared" si="12"/>
        <v>-675085</v>
      </c>
      <c r="F89" s="238">
        <f t="shared" si="13"/>
        <v>-0.81487521304794963</v>
      </c>
    </row>
    <row r="90" spans="1:6" ht="20.25" customHeight="1" x14ac:dyDescent="0.3">
      <c r="A90" s="235">
        <v>5</v>
      </c>
      <c r="B90" s="236" t="s">
        <v>385</v>
      </c>
      <c r="C90" s="239">
        <v>103</v>
      </c>
      <c r="D90" s="239">
        <v>9</v>
      </c>
      <c r="E90" s="239">
        <f t="shared" si="12"/>
        <v>-94</v>
      </c>
      <c r="F90" s="238">
        <f t="shared" si="13"/>
        <v>-0.91262135922330101</v>
      </c>
    </row>
    <row r="91" spans="1:6" ht="20.25" customHeight="1" x14ac:dyDescent="0.3">
      <c r="A91" s="235">
        <v>6</v>
      </c>
      <c r="B91" s="236" t="s">
        <v>384</v>
      </c>
      <c r="C91" s="239">
        <v>916</v>
      </c>
      <c r="D91" s="239">
        <v>39</v>
      </c>
      <c r="E91" s="239">
        <f t="shared" si="12"/>
        <v>-877</v>
      </c>
      <c r="F91" s="238">
        <f t="shared" si="13"/>
        <v>-0.95742358078602618</v>
      </c>
    </row>
    <row r="92" spans="1:6" ht="20.25" customHeight="1" x14ac:dyDescent="0.3">
      <c r="A92" s="235">
        <v>7</v>
      </c>
      <c r="B92" s="236" t="s">
        <v>450</v>
      </c>
      <c r="C92" s="239">
        <v>2264</v>
      </c>
      <c r="D92" s="239">
        <v>680</v>
      </c>
      <c r="E92" s="239">
        <f t="shared" si="12"/>
        <v>-1584</v>
      </c>
      <c r="F92" s="238">
        <f t="shared" si="13"/>
        <v>-0.69964664310954061</v>
      </c>
    </row>
    <row r="93" spans="1:6" ht="20.25" customHeight="1" x14ac:dyDescent="0.3">
      <c r="A93" s="235">
        <v>8</v>
      </c>
      <c r="B93" s="236" t="s">
        <v>451</v>
      </c>
      <c r="C93" s="239">
        <v>274</v>
      </c>
      <c r="D93" s="239">
        <v>51</v>
      </c>
      <c r="E93" s="239">
        <f t="shared" si="12"/>
        <v>-223</v>
      </c>
      <c r="F93" s="238">
        <f t="shared" si="13"/>
        <v>-0.81386861313868608</v>
      </c>
    </row>
    <row r="94" spans="1:6" ht="20.25" customHeight="1" x14ac:dyDescent="0.3">
      <c r="A94" s="235">
        <v>9</v>
      </c>
      <c r="B94" s="236" t="s">
        <v>452</v>
      </c>
      <c r="C94" s="239">
        <v>12</v>
      </c>
      <c r="D94" s="239">
        <v>2</v>
      </c>
      <c r="E94" s="239">
        <f t="shared" si="12"/>
        <v>-10</v>
      </c>
      <c r="F94" s="238">
        <f t="shared" si="13"/>
        <v>-0.83333333333333337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5685697</v>
      </c>
      <c r="D95" s="243">
        <f>+D86+D88</f>
        <v>562085</v>
      </c>
      <c r="E95" s="243">
        <f t="shared" si="12"/>
        <v>-5123612</v>
      </c>
      <c r="F95" s="244">
        <f t="shared" si="13"/>
        <v>-0.90114052859306426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2089570</v>
      </c>
      <c r="D96" s="243">
        <f>+D87+D89</f>
        <v>202392</v>
      </c>
      <c r="E96" s="243">
        <f t="shared" si="12"/>
        <v>-1887178</v>
      </c>
      <c r="F96" s="244">
        <f t="shared" si="13"/>
        <v>-0.90314179472331624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5973008</v>
      </c>
      <c r="D98" s="237">
        <v>299752</v>
      </c>
      <c r="E98" s="237">
        <f t="shared" ref="E98:E108" si="14">D98-C98</f>
        <v>-5673256</v>
      </c>
      <c r="F98" s="238">
        <f t="shared" ref="F98:F108" si="15">IF(C98=0,0,E98/C98)</f>
        <v>-0.94981557031231167</v>
      </c>
    </row>
    <row r="99" spans="1:7" ht="20.25" customHeight="1" x14ac:dyDescent="0.3">
      <c r="A99" s="235">
        <v>2</v>
      </c>
      <c r="B99" s="236" t="s">
        <v>447</v>
      </c>
      <c r="C99" s="237">
        <v>2256474</v>
      </c>
      <c r="D99" s="237">
        <v>82373</v>
      </c>
      <c r="E99" s="237">
        <f t="shared" si="14"/>
        <v>-2174101</v>
      </c>
      <c r="F99" s="238">
        <f t="shared" si="15"/>
        <v>-0.96349481536237513</v>
      </c>
    </row>
    <row r="100" spans="1:7" ht="20.25" customHeight="1" x14ac:dyDescent="0.3">
      <c r="A100" s="235">
        <v>3</v>
      </c>
      <c r="B100" s="236" t="s">
        <v>448</v>
      </c>
      <c r="C100" s="237">
        <v>3988014</v>
      </c>
      <c r="D100" s="237">
        <v>1082933</v>
      </c>
      <c r="E100" s="237">
        <f t="shared" si="14"/>
        <v>-2905081</v>
      </c>
      <c r="F100" s="238">
        <f t="shared" si="15"/>
        <v>-0.72845305959307061</v>
      </c>
    </row>
    <row r="101" spans="1:7" ht="20.25" customHeight="1" x14ac:dyDescent="0.3">
      <c r="A101" s="235">
        <v>4</v>
      </c>
      <c r="B101" s="236" t="s">
        <v>449</v>
      </c>
      <c r="C101" s="237">
        <v>1942272</v>
      </c>
      <c r="D101" s="237">
        <v>495545</v>
      </c>
      <c r="E101" s="237">
        <f t="shared" si="14"/>
        <v>-1446727</v>
      </c>
      <c r="F101" s="238">
        <f t="shared" si="15"/>
        <v>-0.74486323233821006</v>
      </c>
    </row>
    <row r="102" spans="1:7" ht="20.25" customHeight="1" x14ac:dyDescent="0.3">
      <c r="A102" s="235">
        <v>5</v>
      </c>
      <c r="B102" s="236" t="s">
        <v>385</v>
      </c>
      <c r="C102" s="239">
        <v>194</v>
      </c>
      <c r="D102" s="239">
        <v>24</v>
      </c>
      <c r="E102" s="239">
        <f t="shared" si="14"/>
        <v>-170</v>
      </c>
      <c r="F102" s="238">
        <f t="shared" si="15"/>
        <v>-0.87628865979381443</v>
      </c>
    </row>
    <row r="103" spans="1:7" ht="20.25" customHeight="1" x14ac:dyDescent="0.3">
      <c r="A103" s="235">
        <v>6</v>
      </c>
      <c r="B103" s="236" t="s">
        <v>384</v>
      </c>
      <c r="C103" s="239">
        <v>1576</v>
      </c>
      <c r="D103" s="239">
        <v>58</v>
      </c>
      <c r="E103" s="239">
        <f t="shared" si="14"/>
        <v>-1518</v>
      </c>
      <c r="F103" s="238">
        <f t="shared" si="15"/>
        <v>-0.96319796954314718</v>
      </c>
    </row>
    <row r="104" spans="1:7" ht="20.25" customHeight="1" x14ac:dyDescent="0.3">
      <c r="A104" s="235">
        <v>7</v>
      </c>
      <c r="B104" s="236" t="s">
        <v>450</v>
      </c>
      <c r="C104" s="239">
        <v>5621</v>
      </c>
      <c r="D104" s="239">
        <v>1380</v>
      </c>
      <c r="E104" s="239">
        <f t="shared" si="14"/>
        <v>-4241</v>
      </c>
      <c r="F104" s="238">
        <f t="shared" si="15"/>
        <v>-0.75449208325920658</v>
      </c>
    </row>
    <row r="105" spans="1:7" ht="20.25" customHeight="1" x14ac:dyDescent="0.3">
      <c r="A105" s="235">
        <v>8</v>
      </c>
      <c r="B105" s="236" t="s">
        <v>451</v>
      </c>
      <c r="C105" s="239">
        <v>660</v>
      </c>
      <c r="D105" s="239">
        <v>182</v>
      </c>
      <c r="E105" s="239">
        <f t="shared" si="14"/>
        <v>-478</v>
      </c>
      <c r="F105" s="238">
        <f t="shared" si="15"/>
        <v>-0.72424242424242424</v>
      </c>
    </row>
    <row r="106" spans="1:7" ht="20.25" customHeight="1" x14ac:dyDescent="0.3">
      <c r="A106" s="235">
        <v>9</v>
      </c>
      <c r="B106" s="236" t="s">
        <v>452</v>
      </c>
      <c r="C106" s="239">
        <v>22</v>
      </c>
      <c r="D106" s="239">
        <v>4</v>
      </c>
      <c r="E106" s="239">
        <f t="shared" si="14"/>
        <v>-18</v>
      </c>
      <c r="F106" s="238">
        <f t="shared" si="15"/>
        <v>-0.81818181818181823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9961022</v>
      </c>
      <c r="D107" s="243">
        <f>+D98+D100</f>
        <v>1382685</v>
      </c>
      <c r="E107" s="243">
        <f t="shared" si="14"/>
        <v>-8578337</v>
      </c>
      <c r="F107" s="244">
        <f t="shared" si="15"/>
        <v>-0.86119044812871615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4198746</v>
      </c>
      <c r="D108" s="243">
        <f>+D99+D101</f>
        <v>577918</v>
      </c>
      <c r="E108" s="243">
        <f t="shared" si="14"/>
        <v>-3620828</v>
      </c>
      <c r="F108" s="244">
        <f t="shared" si="15"/>
        <v>-0.86235938063412265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26056125</v>
      </c>
      <c r="D112" s="243">
        <f t="shared" si="16"/>
        <v>2038991</v>
      </c>
      <c r="E112" s="243">
        <f t="shared" ref="E112:E122" si="17">D112-C112</f>
        <v>-24017134</v>
      </c>
      <c r="F112" s="244">
        <f t="shared" ref="F112:F122" si="18">IF(C112=0,0,E112/C112)</f>
        <v>-0.92174619211413822</v>
      </c>
    </row>
    <row r="113" spans="1:6" ht="20.25" customHeight="1" x14ac:dyDescent="0.3">
      <c r="A113" s="249"/>
      <c r="B113" s="250" t="s">
        <v>473</v>
      </c>
      <c r="C113" s="243">
        <f t="shared" si="16"/>
        <v>9391697</v>
      </c>
      <c r="D113" s="243">
        <f t="shared" si="16"/>
        <v>515811</v>
      </c>
      <c r="E113" s="243">
        <f t="shared" si="17"/>
        <v>-8875886</v>
      </c>
      <c r="F113" s="244">
        <f t="shared" si="18"/>
        <v>-0.94507797685551398</v>
      </c>
    </row>
    <row r="114" spans="1:6" ht="20.25" customHeight="1" x14ac:dyDescent="0.3">
      <c r="A114" s="249"/>
      <c r="B114" s="250" t="s">
        <v>474</v>
      </c>
      <c r="C114" s="243">
        <f t="shared" si="16"/>
        <v>16318322</v>
      </c>
      <c r="D114" s="243">
        <f t="shared" si="16"/>
        <v>4074609</v>
      </c>
      <c r="E114" s="243">
        <f t="shared" si="17"/>
        <v>-12243713</v>
      </c>
      <c r="F114" s="244">
        <f t="shared" si="18"/>
        <v>-0.75030465754996134</v>
      </c>
    </row>
    <row r="115" spans="1:6" ht="20.25" customHeight="1" x14ac:dyDescent="0.3">
      <c r="A115" s="249"/>
      <c r="B115" s="250" t="s">
        <v>475</v>
      </c>
      <c r="C115" s="243">
        <f t="shared" si="16"/>
        <v>7368668</v>
      </c>
      <c r="D115" s="243">
        <f t="shared" si="16"/>
        <v>1843659</v>
      </c>
      <c r="E115" s="243">
        <f t="shared" si="17"/>
        <v>-5525009</v>
      </c>
      <c r="F115" s="244">
        <f t="shared" si="18"/>
        <v>-0.74979752107165099</v>
      </c>
    </row>
    <row r="116" spans="1:6" ht="20.25" customHeight="1" x14ac:dyDescent="0.3">
      <c r="A116" s="249"/>
      <c r="B116" s="250" t="s">
        <v>476</v>
      </c>
      <c r="C116" s="252">
        <f t="shared" si="16"/>
        <v>756</v>
      </c>
      <c r="D116" s="252">
        <f t="shared" si="16"/>
        <v>111</v>
      </c>
      <c r="E116" s="252">
        <f t="shared" si="17"/>
        <v>-645</v>
      </c>
      <c r="F116" s="244">
        <f t="shared" si="18"/>
        <v>-0.85317460317460314</v>
      </c>
    </row>
    <row r="117" spans="1:6" ht="20.25" customHeight="1" x14ac:dyDescent="0.3">
      <c r="A117" s="249"/>
      <c r="B117" s="250" t="s">
        <v>477</v>
      </c>
      <c r="C117" s="252">
        <f t="shared" si="16"/>
        <v>6677</v>
      </c>
      <c r="D117" s="252">
        <f t="shared" si="16"/>
        <v>373</v>
      </c>
      <c r="E117" s="252">
        <f t="shared" si="17"/>
        <v>-6304</v>
      </c>
      <c r="F117" s="244">
        <f t="shared" si="18"/>
        <v>-0.94413658828815339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21222</v>
      </c>
      <c r="D118" s="252">
        <f t="shared" si="16"/>
        <v>5896</v>
      </c>
      <c r="E118" s="252">
        <f t="shared" si="17"/>
        <v>-15326</v>
      </c>
      <c r="F118" s="244">
        <f t="shared" si="18"/>
        <v>-0.72217510130996132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2650</v>
      </c>
      <c r="D119" s="252">
        <f t="shared" si="16"/>
        <v>617</v>
      </c>
      <c r="E119" s="252">
        <f t="shared" si="17"/>
        <v>-2033</v>
      </c>
      <c r="F119" s="244">
        <f t="shared" si="18"/>
        <v>-0.76716981132075468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86</v>
      </c>
      <c r="D120" s="252">
        <f t="shared" si="16"/>
        <v>27</v>
      </c>
      <c r="E120" s="252">
        <f t="shared" si="17"/>
        <v>-59</v>
      </c>
      <c r="F120" s="244">
        <f t="shared" si="18"/>
        <v>-0.68604651162790697</v>
      </c>
    </row>
    <row r="121" spans="1:6" ht="39.950000000000003" customHeight="1" x14ac:dyDescent="0.3">
      <c r="A121" s="249"/>
      <c r="B121" s="242" t="s">
        <v>453</v>
      </c>
      <c r="C121" s="243">
        <f>+C112+C114</f>
        <v>42374447</v>
      </c>
      <c r="D121" s="243">
        <f>+D112+D114</f>
        <v>6113600</v>
      </c>
      <c r="E121" s="243">
        <f t="shared" si="17"/>
        <v>-36260847</v>
      </c>
      <c r="F121" s="244">
        <f t="shared" si="18"/>
        <v>-0.85572437086907593</v>
      </c>
    </row>
    <row r="122" spans="1:6" ht="39.950000000000003" customHeight="1" x14ac:dyDescent="0.3">
      <c r="A122" s="249"/>
      <c r="B122" s="242" t="s">
        <v>482</v>
      </c>
      <c r="C122" s="243">
        <f>+C113+C115</f>
        <v>16760365</v>
      </c>
      <c r="D122" s="243">
        <f>+D113+D115</f>
        <v>2359470</v>
      </c>
      <c r="E122" s="243">
        <f t="shared" si="17"/>
        <v>-14400895</v>
      </c>
      <c r="F122" s="244">
        <f t="shared" si="18"/>
        <v>-0.8592232329069206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FILING&amp;RJOHN DEMPSEY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96175000</v>
      </c>
      <c r="D13" s="23">
        <v>84404000</v>
      </c>
      <c r="E13" s="23">
        <f t="shared" ref="E13:E22" si="0">D13-C13</f>
        <v>-11771000</v>
      </c>
      <c r="F13" s="24">
        <f t="shared" ref="F13:F22" si="1">IF(C13=0,0,E13/C13)</f>
        <v>-0.12239147387574734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42659000</v>
      </c>
      <c r="D15" s="23">
        <v>41110000</v>
      </c>
      <c r="E15" s="23">
        <f t="shared" si="0"/>
        <v>-1549000</v>
      </c>
      <c r="F15" s="24">
        <f t="shared" si="1"/>
        <v>-3.6311212170936968E-2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6823000</v>
      </c>
      <c r="D17" s="23">
        <v>48300000</v>
      </c>
      <c r="E17" s="23">
        <f t="shared" si="0"/>
        <v>41477000</v>
      </c>
      <c r="F17" s="24">
        <f t="shared" si="1"/>
        <v>6.0789975084273777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10050000</v>
      </c>
      <c r="D19" s="23">
        <v>10040000</v>
      </c>
      <c r="E19" s="23">
        <f t="shared" si="0"/>
        <v>-10000</v>
      </c>
      <c r="F19" s="24">
        <f t="shared" si="1"/>
        <v>-9.9502487562189048E-4</v>
      </c>
    </row>
    <row r="20" spans="1:11" ht="24" customHeight="1" x14ac:dyDescent="0.2">
      <c r="A20" s="21">
        <v>8</v>
      </c>
      <c r="B20" s="22" t="s">
        <v>23</v>
      </c>
      <c r="C20" s="23">
        <v>8682000</v>
      </c>
      <c r="D20" s="23">
        <v>4754000</v>
      </c>
      <c r="E20" s="23">
        <f t="shared" si="0"/>
        <v>-3928000</v>
      </c>
      <c r="F20" s="24">
        <f t="shared" si="1"/>
        <v>-0.45243031559548491</v>
      </c>
    </row>
    <row r="21" spans="1:11" ht="24" customHeight="1" x14ac:dyDescent="0.2">
      <c r="A21" s="21">
        <v>9</v>
      </c>
      <c r="B21" s="22" t="s">
        <v>24</v>
      </c>
      <c r="C21" s="23">
        <v>43232000</v>
      </c>
      <c r="D21" s="23">
        <v>48461000</v>
      </c>
      <c r="E21" s="23">
        <f t="shared" si="0"/>
        <v>5229000</v>
      </c>
      <c r="F21" s="24">
        <f t="shared" si="1"/>
        <v>0.1209520725388601</v>
      </c>
    </row>
    <row r="22" spans="1:11" ht="24" customHeight="1" x14ac:dyDescent="0.25">
      <c r="A22" s="25"/>
      <c r="B22" s="26" t="s">
        <v>25</v>
      </c>
      <c r="C22" s="27">
        <f>SUM(C13:C21)</f>
        <v>207621000</v>
      </c>
      <c r="D22" s="27">
        <f>SUM(D13:D21)</f>
        <v>237069000</v>
      </c>
      <c r="E22" s="27">
        <f t="shared" si="0"/>
        <v>29448000</v>
      </c>
      <c r="F22" s="28">
        <f t="shared" si="1"/>
        <v>0.141835363474793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4370000</v>
      </c>
      <c r="D28" s="23">
        <v>3643000</v>
      </c>
      <c r="E28" s="23">
        <f>D28-C28</f>
        <v>-727000</v>
      </c>
      <c r="F28" s="24">
        <f>IF(C28=0,0,E28/C28)</f>
        <v>-0.16636155606407321</v>
      </c>
    </row>
    <row r="29" spans="1:11" ht="35.1" customHeight="1" x14ac:dyDescent="0.25">
      <c r="A29" s="25"/>
      <c r="B29" s="26" t="s">
        <v>32</v>
      </c>
      <c r="C29" s="27">
        <f>SUM(C25:C28)</f>
        <v>4370000</v>
      </c>
      <c r="D29" s="27">
        <f>SUM(D25:D28)</f>
        <v>3643000</v>
      </c>
      <c r="E29" s="27">
        <f>D29-C29</f>
        <v>-727000</v>
      </c>
      <c r="F29" s="28">
        <f>IF(C29=0,0,E29/C29)</f>
        <v>-0.16636155606407321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4340000</v>
      </c>
      <c r="D33" s="23">
        <v>1157000</v>
      </c>
      <c r="E33" s="23">
        <f>D33-C33</f>
        <v>-3183000</v>
      </c>
      <c r="F33" s="24">
        <f>IF(C33=0,0,E33/C33)</f>
        <v>-0.73341013824884793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670458000</v>
      </c>
      <c r="D36" s="23">
        <v>694598915</v>
      </c>
      <c r="E36" s="23">
        <f>D36-C36</f>
        <v>24140915</v>
      </c>
      <c r="F36" s="24">
        <f>IF(C36=0,0,E36/C36)</f>
        <v>3.6006602949028875E-2</v>
      </c>
    </row>
    <row r="37" spans="1:8" ht="24" customHeight="1" x14ac:dyDescent="0.2">
      <c r="A37" s="21">
        <v>2</v>
      </c>
      <c r="B37" s="22" t="s">
        <v>39</v>
      </c>
      <c r="C37" s="23">
        <v>421284000</v>
      </c>
      <c r="D37" s="23">
        <v>451989058</v>
      </c>
      <c r="E37" s="23">
        <f>D37-C37</f>
        <v>30705058</v>
      </c>
      <c r="F37" s="23">
        <f>IF(C37=0,0,E37/C37)</f>
        <v>7.2884462737725614E-2</v>
      </c>
    </row>
    <row r="38" spans="1:8" ht="24" customHeight="1" x14ac:dyDescent="0.25">
      <c r="A38" s="25"/>
      <c r="B38" s="26" t="s">
        <v>40</v>
      </c>
      <c r="C38" s="27">
        <f>C36-C37</f>
        <v>249174000</v>
      </c>
      <c r="D38" s="27">
        <f>D36-D37</f>
        <v>242609857</v>
      </c>
      <c r="E38" s="27">
        <f>D38-C38</f>
        <v>-6564143</v>
      </c>
      <c r="F38" s="28">
        <f>IF(C38=0,0,E38/C38)</f>
        <v>-2.6343611291707803E-2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49120000</v>
      </c>
      <c r="D40" s="23">
        <v>77527324</v>
      </c>
      <c r="E40" s="23">
        <f>D40-C40</f>
        <v>28407324</v>
      </c>
      <c r="F40" s="24">
        <f>IF(C40=0,0,E40/C40)</f>
        <v>0.57832499999999998</v>
      </c>
    </row>
    <row r="41" spans="1:8" ht="24" customHeight="1" x14ac:dyDescent="0.25">
      <c r="A41" s="25"/>
      <c r="B41" s="26" t="s">
        <v>42</v>
      </c>
      <c r="C41" s="27">
        <f>+C38+C40</f>
        <v>298294000</v>
      </c>
      <c r="D41" s="27">
        <f>+D38+D40</f>
        <v>320137181</v>
      </c>
      <c r="E41" s="27">
        <f>D41-C41</f>
        <v>21843181</v>
      </c>
      <c r="F41" s="28">
        <f>IF(C41=0,0,E41/C41)</f>
        <v>7.3227020992711889E-2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514625000</v>
      </c>
      <c r="D43" s="27">
        <f>D22+D29+D31+D32+D33+D41</f>
        <v>562006181</v>
      </c>
      <c r="E43" s="27">
        <f>D43-C43</f>
        <v>47381181</v>
      </c>
      <c r="F43" s="28">
        <f>IF(C43=0,0,E43/C43)</f>
        <v>9.2069333981054172E-2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30557000</v>
      </c>
      <c r="D49" s="23">
        <v>36054000</v>
      </c>
      <c r="E49" s="23">
        <f t="shared" ref="E49:E56" si="2">D49-C49</f>
        <v>5497000</v>
      </c>
      <c r="F49" s="24">
        <f t="shared" ref="F49:F56" si="3">IF(C49=0,0,E49/C49)</f>
        <v>0.17989331413424092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32828000</v>
      </c>
      <c r="D50" s="23">
        <v>17945000</v>
      </c>
      <c r="E50" s="23">
        <f t="shared" si="2"/>
        <v>-14883000</v>
      </c>
      <c r="F50" s="24">
        <f t="shared" si="3"/>
        <v>-0.45336298281954429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9416000</v>
      </c>
      <c r="D51" s="23">
        <v>6741000</v>
      </c>
      <c r="E51" s="23">
        <f t="shared" si="2"/>
        <v>-2675000</v>
      </c>
      <c r="F51" s="24">
        <f t="shared" si="3"/>
        <v>-0.28409090909090912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2261000</v>
      </c>
      <c r="D53" s="23">
        <v>1833000</v>
      </c>
      <c r="E53" s="23">
        <f t="shared" si="2"/>
        <v>-428000</v>
      </c>
      <c r="F53" s="24">
        <f t="shared" si="3"/>
        <v>-0.18929677134011499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38451000</v>
      </c>
      <c r="D55" s="23">
        <v>36570000</v>
      </c>
      <c r="E55" s="23">
        <f t="shared" si="2"/>
        <v>-1881000</v>
      </c>
      <c r="F55" s="24">
        <f t="shared" si="3"/>
        <v>-4.8919403916673168E-2</v>
      </c>
    </row>
    <row r="56" spans="1:6" ht="24" customHeight="1" x14ac:dyDescent="0.25">
      <c r="A56" s="25"/>
      <c r="B56" s="26" t="s">
        <v>54</v>
      </c>
      <c r="C56" s="27">
        <f>SUM(C49:C55)</f>
        <v>113513000</v>
      </c>
      <c r="D56" s="27">
        <f>SUM(D49:D55)</f>
        <v>99143000</v>
      </c>
      <c r="E56" s="27">
        <f t="shared" si="2"/>
        <v>-14370000</v>
      </c>
      <c r="F56" s="28">
        <f t="shared" si="3"/>
        <v>-0.12659342982742064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18168000</v>
      </c>
      <c r="D60" s="23">
        <v>16335000</v>
      </c>
      <c r="E60" s="23">
        <f>D60-C60</f>
        <v>-1833000</v>
      </c>
      <c r="F60" s="24">
        <f>IF(C60=0,0,E60/C60)</f>
        <v>-0.10089167767503303</v>
      </c>
    </row>
    <row r="61" spans="1:6" ht="24" customHeight="1" x14ac:dyDescent="0.25">
      <c r="A61" s="25"/>
      <c r="B61" s="26" t="s">
        <v>58</v>
      </c>
      <c r="C61" s="27">
        <f>SUM(C59:C60)</f>
        <v>18168000</v>
      </c>
      <c r="D61" s="27">
        <f>SUM(D59:D60)</f>
        <v>16335000</v>
      </c>
      <c r="E61" s="27">
        <f>D61-C61</f>
        <v>-1833000</v>
      </c>
      <c r="F61" s="28">
        <f>IF(C61=0,0,E61/C61)</f>
        <v>-0.10089167767503303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43334000</v>
      </c>
      <c r="D64" s="23">
        <v>43406000</v>
      </c>
      <c r="E64" s="23">
        <f>D64-C64</f>
        <v>72000</v>
      </c>
      <c r="F64" s="24">
        <f>IF(C64=0,0,E64/C64)</f>
        <v>1.6615128998015414E-3</v>
      </c>
    </row>
    <row r="65" spans="1:6" ht="24" customHeight="1" x14ac:dyDescent="0.25">
      <c r="A65" s="25"/>
      <c r="B65" s="26" t="s">
        <v>61</v>
      </c>
      <c r="C65" s="27">
        <f>SUM(C61:C64)</f>
        <v>61502000</v>
      </c>
      <c r="D65" s="27">
        <f>SUM(D61:D64)</f>
        <v>59741000</v>
      </c>
      <c r="E65" s="27">
        <f>D65-C65</f>
        <v>-1761000</v>
      </c>
      <c r="F65" s="28">
        <f>IF(C65=0,0,E65/C65)</f>
        <v>-2.8633215179994148E-2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277864000</v>
      </c>
      <c r="D67" s="23">
        <v>301969000</v>
      </c>
      <c r="E67" s="23">
        <f>D67-C67</f>
        <v>24105000</v>
      </c>
      <c r="F67" s="46">
        <f>IF(C67=0,0,E67/C67)</f>
        <v>8.6751072467106213E-2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51005000</v>
      </c>
      <c r="D70" s="23">
        <v>45288000</v>
      </c>
      <c r="E70" s="23">
        <f>D70-C70</f>
        <v>-5717000</v>
      </c>
      <c r="F70" s="24">
        <f>IF(C70=0,0,E70/C70)</f>
        <v>-0.11208705028918733</v>
      </c>
    </row>
    <row r="71" spans="1:6" ht="24" customHeight="1" x14ac:dyDescent="0.2">
      <c r="A71" s="21">
        <v>2</v>
      </c>
      <c r="B71" s="22" t="s">
        <v>65</v>
      </c>
      <c r="C71" s="23">
        <v>10680000</v>
      </c>
      <c r="D71" s="23">
        <v>55804181</v>
      </c>
      <c r="E71" s="23">
        <f>D71-C71</f>
        <v>45124181</v>
      </c>
      <c r="F71" s="24">
        <f>IF(C71=0,0,E71/C71)</f>
        <v>4.225110580524345</v>
      </c>
    </row>
    <row r="72" spans="1:6" ht="24" customHeight="1" x14ac:dyDescent="0.2">
      <c r="A72" s="21">
        <v>3</v>
      </c>
      <c r="B72" s="22" t="s">
        <v>66</v>
      </c>
      <c r="C72" s="23">
        <v>61000</v>
      </c>
      <c r="D72" s="23">
        <v>61000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61746000</v>
      </c>
      <c r="D73" s="27">
        <f>SUM(D70:D72)</f>
        <v>101153181</v>
      </c>
      <c r="E73" s="27">
        <f>D73-C73</f>
        <v>39407181</v>
      </c>
      <c r="F73" s="28">
        <f>IF(C73=0,0,E73/C73)</f>
        <v>0.63821431347779611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514625000</v>
      </c>
      <c r="D75" s="27">
        <f>D56+D65+D67+D73</f>
        <v>562006181</v>
      </c>
      <c r="E75" s="27">
        <f>D75-C75</f>
        <v>47381181</v>
      </c>
      <c r="F75" s="28">
        <f>IF(C75=0,0,E75/C75)</f>
        <v>9.2069333981054172E-2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FILING&amp;RUNIVERSITY OF CONNECTICUT HEALTH CENTER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831698113</v>
      </c>
      <c r="D12" s="51">
        <v>830468411</v>
      </c>
      <c r="E12" s="51">
        <f t="shared" ref="E12:E19" si="0">D12-C12</f>
        <v>-1229702</v>
      </c>
      <c r="F12" s="70">
        <f t="shared" ref="F12:F19" si="1">IF(C12=0,0,E12/C12)</f>
        <v>-1.4785436936539016E-3</v>
      </c>
    </row>
    <row r="13" spans="1:8" ht="23.1" customHeight="1" x14ac:dyDescent="0.2">
      <c r="A13" s="25">
        <v>2</v>
      </c>
      <c r="B13" s="48" t="s">
        <v>72</v>
      </c>
      <c r="C13" s="51">
        <v>391977027</v>
      </c>
      <c r="D13" s="51">
        <v>383738479</v>
      </c>
      <c r="E13" s="51">
        <f t="shared" si="0"/>
        <v>-8238548</v>
      </c>
      <c r="F13" s="70">
        <f t="shared" si="1"/>
        <v>-2.1017935829183172E-2</v>
      </c>
    </row>
    <row r="14" spans="1:8" ht="23.1" customHeight="1" x14ac:dyDescent="0.2">
      <c r="A14" s="25">
        <v>3</v>
      </c>
      <c r="B14" s="48" t="s">
        <v>73</v>
      </c>
      <c r="C14" s="51">
        <v>912282</v>
      </c>
      <c r="D14" s="51">
        <v>543109</v>
      </c>
      <c r="E14" s="51">
        <f t="shared" si="0"/>
        <v>-369173</v>
      </c>
      <c r="F14" s="70">
        <f t="shared" si="1"/>
        <v>-0.40466982796986017</v>
      </c>
    </row>
    <row r="15" spans="1:8" ht="23.1" customHeight="1" x14ac:dyDescent="0.2">
      <c r="A15" s="25">
        <v>4</v>
      </c>
      <c r="B15" s="48" t="s">
        <v>74</v>
      </c>
      <c r="C15" s="51">
        <v>11497670</v>
      </c>
      <c r="D15" s="51">
        <v>9749569</v>
      </c>
      <c r="E15" s="51">
        <f t="shared" si="0"/>
        <v>-1748101</v>
      </c>
      <c r="F15" s="70">
        <f t="shared" si="1"/>
        <v>-0.15203958715113583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427311134</v>
      </c>
      <c r="D16" s="27">
        <f>D12-D13-D14-D15</f>
        <v>436437254</v>
      </c>
      <c r="E16" s="27">
        <f t="shared" si="0"/>
        <v>9126120</v>
      </c>
      <c r="F16" s="28">
        <f t="shared" si="1"/>
        <v>2.1357084507889281E-2</v>
      </c>
    </row>
    <row r="17" spans="1:7" ht="23.1" customHeight="1" x14ac:dyDescent="0.2">
      <c r="A17" s="25">
        <v>5</v>
      </c>
      <c r="B17" s="48" t="s">
        <v>76</v>
      </c>
      <c r="C17" s="51">
        <v>170801000</v>
      </c>
      <c r="D17" s="51">
        <v>192070000</v>
      </c>
      <c r="E17" s="51">
        <f t="shared" si="0"/>
        <v>21269000</v>
      </c>
      <c r="F17" s="70">
        <f t="shared" si="1"/>
        <v>0.12452503205484745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598112134</v>
      </c>
      <c r="D19" s="27">
        <f>SUM(D16:D18)</f>
        <v>628507254</v>
      </c>
      <c r="E19" s="27">
        <f t="shared" si="0"/>
        <v>30395120</v>
      </c>
      <c r="F19" s="28">
        <f t="shared" si="1"/>
        <v>5.0818430645648796E-2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335608086</v>
      </c>
      <c r="D22" s="51">
        <v>349249507</v>
      </c>
      <c r="E22" s="51">
        <f t="shared" ref="E22:E31" si="2">D22-C22</f>
        <v>13641421</v>
      </c>
      <c r="F22" s="70">
        <f t="shared" ref="F22:F31" si="3">IF(C22=0,0,E22/C22)</f>
        <v>4.0646878216158353E-2</v>
      </c>
    </row>
    <row r="23" spans="1:7" ht="23.1" customHeight="1" x14ac:dyDescent="0.2">
      <c r="A23" s="25">
        <v>2</v>
      </c>
      <c r="B23" s="48" t="s">
        <v>81</v>
      </c>
      <c r="C23" s="51">
        <v>155951437</v>
      </c>
      <c r="D23" s="51">
        <v>120179401</v>
      </c>
      <c r="E23" s="51">
        <f t="shared" si="2"/>
        <v>-35772036</v>
      </c>
      <c r="F23" s="70">
        <f t="shared" si="3"/>
        <v>-0.22937932915616546</v>
      </c>
    </row>
    <row r="24" spans="1:7" ht="23.1" customHeight="1" x14ac:dyDescent="0.2">
      <c r="A24" s="25">
        <v>3</v>
      </c>
      <c r="B24" s="48" t="s">
        <v>82</v>
      </c>
      <c r="C24" s="51">
        <v>49345498</v>
      </c>
      <c r="D24" s="51">
        <v>51074379</v>
      </c>
      <c r="E24" s="51">
        <f t="shared" si="2"/>
        <v>1728881</v>
      </c>
      <c r="F24" s="70">
        <f t="shared" si="3"/>
        <v>3.5036245859754012E-2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76075655</v>
      </c>
      <c r="D25" s="51">
        <v>76923160</v>
      </c>
      <c r="E25" s="51">
        <f t="shared" si="2"/>
        <v>847505</v>
      </c>
      <c r="F25" s="70">
        <f t="shared" si="3"/>
        <v>1.1140291858150943E-2</v>
      </c>
    </row>
    <row r="26" spans="1:7" ht="23.1" customHeight="1" x14ac:dyDescent="0.2">
      <c r="A26" s="25">
        <v>5</v>
      </c>
      <c r="B26" s="48" t="s">
        <v>84</v>
      </c>
      <c r="C26" s="51">
        <v>29804473</v>
      </c>
      <c r="D26" s="51">
        <v>30128445</v>
      </c>
      <c r="E26" s="51">
        <f t="shared" si="2"/>
        <v>323972</v>
      </c>
      <c r="F26" s="70">
        <f t="shared" si="3"/>
        <v>1.0869912043068166E-2</v>
      </c>
    </row>
    <row r="27" spans="1:7" ht="23.1" customHeight="1" x14ac:dyDescent="0.2">
      <c r="A27" s="25">
        <v>6</v>
      </c>
      <c r="B27" s="48" t="s">
        <v>85</v>
      </c>
      <c r="C27" s="51">
        <v>5217537</v>
      </c>
      <c r="D27" s="51">
        <v>6890902</v>
      </c>
      <c r="E27" s="51">
        <f t="shared" si="2"/>
        <v>1673365</v>
      </c>
      <c r="F27" s="70">
        <f t="shared" si="3"/>
        <v>0.32071933557922061</v>
      </c>
    </row>
    <row r="28" spans="1:7" ht="23.1" customHeight="1" x14ac:dyDescent="0.2">
      <c r="A28" s="25">
        <v>7</v>
      </c>
      <c r="B28" s="48" t="s">
        <v>86</v>
      </c>
      <c r="C28" s="51">
        <v>0</v>
      </c>
      <c r="D28" s="51">
        <v>0</v>
      </c>
      <c r="E28" s="51">
        <f t="shared" si="2"/>
        <v>0</v>
      </c>
      <c r="F28" s="70">
        <f t="shared" si="3"/>
        <v>0</v>
      </c>
    </row>
    <row r="29" spans="1:7" ht="23.1" customHeight="1" x14ac:dyDescent="0.2">
      <c r="A29" s="25">
        <v>8</v>
      </c>
      <c r="B29" s="48" t="s">
        <v>87</v>
      </c>
      <c r="C29" s="51">
        <v>4145244</v>
      </c>
      <c r="D29" s="51">
        <v>3413844</v>
      </c>
      <c r="E29" s="51">
        <f t="shared" si="2"/>
        <v>-731400</v>
      </c>
      <c r="F29" s="70">
        <f t="shared" si="3"/>
        <v>-0.17644317198215595</v>
      </c>
    </row>
    <row r="30" spans="1:7" ht="23.1" customHeight="1" x14ac:dyDescent="0.2">
      <c r="A30" s="25">
        <v>9</v>
      </c>
      <c r="B30" s="48" t="s">
        <v>88</v>
      </c>
      <c r="C30" s="51">
        <v>163944607</v>
      </c>
      <c r="D30" s="51">
        <v>200385616</v>
      </c>
      <c r="E30" s="51">
        <f t="shared" si="2"/>
        <v>36441009</v>
      </c>
      <c r="F30" s="70">
        <f t="shared" si="3"/>
        <v>0.22227635093846057</v>
      </c>
    </row>
    <row r="31" spans="1:7" ht="23.1" customHeight="1" x14ac:dyDescent="0.25">
      <c r="A31" s="29"/>
      <c r="B31" s="71" t="s">
        <v>89</v>
      </c>
      <c r="C31" s="27">
        <f>SUM(C22:C30)</f>
        <v>820092537</v>
      </c>
      <c r="D31" s="27">
        <f>SUM(D22:D30)</f>
        <v>838245254</v>
      </c>
      <c r="E31" s="27">
        <f t="shared" si="2"/>
        <v>18152717</v>
      </c>
      <c r="F31" s="28">
        <f t="shared" si="3"/>
        <v>2.2134961825655535E-2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-221980403</v>
      </c>
      <c r="D33" s="27">
        <f>+D19-D31</f>
        <v>-209738000</v>
      </c>
      <c r="E33" s="27">
        <f>D33-C33</f>
        <v>12242403</v>
      </c>
      <c r="F33" s="28">
        <f>IF(C33=0,0,E33/C33)</f>
        <v>-5.5150827886369769E-2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134000</v>
      </c>
      <c r="D36" s="51">
        <v>101000</v>
      </c>
      <c r="E36" s="51">
        <f>D36-C36</f>
        <v>-33000</v>
      </c>
      <c r="F36" s="70">
        <f>IF(C36=0,0,E36/C36)</f>
        <v>-0.2462686567164179</v>
      </c>
    </row>
    <row r="37" spans="1:6" ht="23.1" customHeight="1" x14ac:dyDescent="0.2">
      <c r="A37" s="44">
        <v>2</v>
      </c>
      <c r="B37" s="48" t="s">
        <v>93</v>
      </c>
      <c r="C37" s="51">
        <v>2554000</v>
      </c>
      <c r="D37" s="51">
        <v>7435000</v>
      </c>
      <c r="E37" s="51">
        <f>D37-C37</f>
        <v>4881000</v>
      </c>
      <c r="F37" s="70">
        <f>IF(C37=0,0,E37/C37)</f>
        <v>1.9111198120595145</v>
      </c>
    </row>
    <row r="38" spans="1:6" ht="23.1" customHeight="1" x14ac:dyDescent="0.2">
      <c r="A38" s="44">
        <v>3</v>
      </c>
      <c r="B38" s="48" t="s">
        <v>94</v>
      </c>
      <c r="C38" s="51">
        <v>213061000</v>
      </c>
      <c r="D38" s="51">
        <v>265714000</v>
      </c>
      <c r="E38" s="51">
        <f>D38-C38</f>
        <v>52653000</v>
      </c>
      <c r="F38" s="70">
        <f>IF(C38=0,0,E38/C38)</f>
        <v>0.2471264098075199</v>
      </c>
    </row>
    <row r="39" spans="1:6" ht="23.1" customHeight="1" x14ac:dyDescent="0.25">
      <c r="A39" s="20"/>
      <c r="B39" s="71" t="s">
        <v>95</v>
      </c>
      <c r="C39" s="27">
        <f>SUM(C36:C38)</f>
        <v>215749000</v>
      </c>
      <c r="D39" s="27">
        <f>SUM(D36:D38)</f>
        <v>273250000</v>
      </c>
      <c r="E39" s="27">
        <f>D39-C39</f>
        <v>57501000</v>
      </c>
      <c r="F39" s="28">
        <f>IF(C39=0,0,E39/C39)</f>
        <v>0.26651803716355582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-6231403</v>
      </c>
      <c r="D41" s="27">
        <f>D33+D39</f>
        <v>63512000</v>
      </c>
      <c r="E41" s="27">
        <f>D41-C41</f>
        <v>69743403</v>
      </c>
      <c r="F41" s="28">
        <f>IF(C41=0,0,E41/C41)</f>
        <v>-11.192247235494158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-6231403</v>
      </c>
      <c r="D48" s="27">
        <f>D41+D46</f>
        <v>63512000</v>
      </c>
      <c r="E48" s="27">
        <f>D48-C48</f>
        <v>69743403</v>
      </c>
      <c r="F48" s="28">
        <f>IF(C48=0,0,E48/C48)</f>
        <v>-11.192247235494158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FILING&amp;R&amp;8UNIVERSITY OF CONNECTICUT HEALTH CENTER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2013-09-11T11:44:57Z</cp:lastPrinted>
  <dcterms:created xsi:type="dcterms:W3CDTF">2006-08-03T13:49:12Z</dcterms:created>
  <dcterms:modified xsi:type="dcterms:W3CDTF">2013-09-12T14:56:03Z</dcterms:modified>
</cp:coreProperties>
</file>