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Report485!$A$11:$F$28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 s="1"/>
  <c r="D96" i="22"/>
  <c r="D98" i="22"/>
  <c r="C96" i="22"/>
  <c r="C98" i="22"/>
  <c r="E92" i="22"/>
  <c r="D92" i="22"/>
  <c r="C92" i="22"/>
  <c r="E91" i="22"/>
  <c r="E93" i="22"/>
  <c r="D91" i="22"/>
  <c r="D93" i="22" s="1"/>
  <c r="C91" i="22"/>
  <c r="C93" i="22" s="1"/>
  <c r="E87" i="22"/>
  <c r="D87" i="22"/>
  <c r="C87" i="22"/>
  <c r="E86" i="22"/>
  <c r="E88" i="22"/>
  <c r="D86" i="22"/>
  <c r="D88" i="22"/>
  <c r="C86" i="22"/>
  <c r="C88" i="22" s="1"/>
  <c r="E83" i="22"/>
  <c r="E102" i="22" s="1"/>
  <c r="D83" i="22"/>
  <c r="D102" i="22" s="1"/>
  <c r="C83" i="22"/>
  <c r="E76" i="22"/>
  <c r="D76" i="22"/>
  <c r="C76" i="22"/>
  <c r="E75" i="22"/>
  <c r="D75" i="22"/>
  <c r="D77" i="22" s="1"/>
  <c r="C75" i="22"/>
  <c r="C77" i="22" s="1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E28" i="22"/>
  <c r="D28" i="22"/>
  <c r="C28" i="22"/>
  <c r="E27" i="22"/>
  <c r="D27" i="22"/>
  <c r="C27" i="22"/>
  <c r="D22" i="22"/>
  <c r="E21" i="22"/>
  <c r="D21" i="22"/>
  <c r="C21" i="22"/>
  <c r="E12" i="22"/>
  <c r="E34" i="22" s="1"/>
  <c r="D12" i="22"/>
  <c r="D33" i="22" s="1"/>
  <c r="C12" i="22"/>
  <c r="C34" i="22" s="1"/>
  <c r="C33" i="22"/>
  <c r="D21" i="21"/>
  <c r="E21" i="21" s="1"/>
  <c r="F21" i="21" s="1"/>
  <c r="C21" i="21"/>
  <c r="D19" i="21"/>
  <c r="E19" i="21" s="1"/>
  <c r="C19" i="21"/>
  <c r="E17" i="21"/>
  <c r="F17" i="21" s="1"/>
  <c r="F15" i="21"/>
  <c r="E15" i="21"/>
  <c r="D45" i="20"/>
  <c r="E45" i="20" s="1"/>
  <c r="C45" i="20"/>
  <c r="D44" i="20"/>
  <c r="C44" i="20"/>
  <c r="E44" i="20" s="1"/>
  <c r="D43" i="20"/>
  <c r="D46" i="20"/>
  <c r="C43" i="20"/>
  <c r="D36" i="20"/>
  <c r="D40" i="20" s="1"/>
  <c r="C36" i="20"/>
  <c r="E35" i="20"/>
  <c r="F35" i="20" s="1"/>
  <c r="F34" i="20"/>
  <c r="E34" i="20"/>
  <c r="F33" i="20"/>
  <c r="E33" i="20"/>
  <c r="E36" i="20" s="1"/>
  <c r="F36" i="20" s="1"/>
  <c r="E30" i="20"/>
  <c r="F30" i="20" s="1"/>
  <c r="E29" i="20"/>
  <c r="F29" i="20" s="1"/>
  <c r="F28" i="20"/>
  <c r="E28" i="20"/>
  <c r="F27" i="20"/>
  <c r="E27" i="20"/>
  <c r="D25" i="20"/>
  <c r="D39" i="20"/>
  <c r="C25" i="20"/>
  <c r="E24" i="20"/>
  <c r="F24" i="20" s="1"/>
  <c r="F23" i="20"/>
  <c r="E23" i="20"/>
  <c r="E22" i="20"/>
  <c r="F22" i="20" s="1"/>
  <c r="D19" i="20"/>
  <c r="D20" i="20" s="1"/>
  <c r="C19" i="20"/>
  <c r="E18" i="20"/>
  <c r="F18" i="20" s="1"/>
  <c r="D16" i="20"/>
  <c r="C16" i="20"/>
  <c r="E15" i="20"/>
  <c r="F15" i="20"/>
  <c r="E13" i="20"/>
  <c r="F13" i="20" s="1"/>
  <c r="E12" i="20"/>
  <c r="F12" i="20" s="1"/>
  <c r="C115" i="19"/>
  <c r="C105" i="19"/>
  <c r="C137" i="19" s="1"/>
  <c r="C139" i="19" s="1"/>
  <c r="C143" i="19" s="1"/>
  <c r="C96" i="19"/>
  <c r="C95" i="19"/>
  <c r="C89" i="19"/>
  <c r="C88" i="19"/>
  <c r="C83" i="19"/>
  <c r="C77" i="19"/>
  <c r="C78" i="19"/>
  <c r="C63" i="19"/>
  <c r="C65" i="19" s="1"/>
  <c r="C114" i="19" s="1"/>
  <c r="C116" i="19" s="1"/>
  <c r="C119" i="19" s="1"/>
  <c r="C123" i="19" s="1"/>
  <c r="C60" i="19"/>
  <c r="C59" i="19"/>
  <c r="C64" i="19" s="1"/>
  <c r="C49" i="19"/>
  <c r="C48" i="19"/>
  <c r="C36" i="19"/>
  <c r="C32" i="19"/>
  <c r="C33" i="19" s="1"/>
  <c r="C21" i="19"/>
  <c r="C37" i="19"/>
  <c r="C38" i="19" s="1"/>
  <c r="C127" i="19" s="1"/>
  <c r="C129" i="19" s="1"/>
  <c r="E328" i="18"/>
  <c r="E325" i="18"/>
  <c r="D324" i="18"/>
  <c r="D326" i="18" s="1"/>
  <c r="C324" i="18"/>
  <c r="C326" i="18" s="1"/>
  <c r="C330" i="18" s="1"/>
  <c r="E318" i="18"/>
  <c r="E315" i="18"/>
  <c r="D314" i="18"/>
  <c r="D316" i="18" s="1"/>
  <c r="C314" i="18"/>
  <c r="C316" i="18" s="1"/>
  <c r="C320" i="18" s="1"/>
  <c r="E308" i="18"/>
  <c r="E305" i="18"/>
  <c r="D301" i="18"/>
  <c r="C301" i="18"/>
  <c r="D293" i="18"/>
  <c r="E293" i="18" s="1"/>
  <c r="C293" i="18"/>
  <c r="D292" i="18"/>
  <c r="C292" i="18"/>
  <c r="E292" i="18" s="1"/>
  <c r="D291" i="18"/>
  <c r="E291" i="18" s="1"/>
  <c r="C291" i="18"/>
  <c r="D290" i="18"/>
  <c r="C290" i="18"/>
  <c r="E290" i="18"/>
  <c r="D288" i="18"/>
  <c r="E288" i="18" s="1"/>
  <c r="C288" i="18"/>
  <c r="D287" i="18"/>
  <c r="E287" i="18" s="1"/>
  <c r="C287" i="18"/>
  <c r="D282" i="18"/>
  <c r="C282" i="18"/>
  <c r="E282" i="18"/>
  <c r="D281" i="18"/>
  <c r="E281" i="18" s="1"/>
  <c r="C281" i="18"/>
  <c r="D280" i="18"/>
  <c r="E280" i="18" s="1"/>
  <c r="C280" i="18"/>
  <c r="D279" i="18"/>
  <c r="E279" i="18"/>
  <c r="C279" i="18"/>
  <c r="D278" i="18"/>
  <c r="E278" i="18" s="1"/>
  <c r="C278" i="18"/>
  <c r="D277" i="18"/>
  <c r="E277" i="18" s="1"/>
  <c r="C277" i="18"/>
  <c r="D276" i="18"/>
  <c r="C276" i="18"/>
  <c r="E276" i="18"/>
  <c r="E270" i="18"/>
  <c r="D265" i="18"/>
  <c r="D302" i="18" s="1"/>
  <c r="E302" i="18" s="1"/>
  <c r="C265" i="18"/>
  <c r="C302" i="18"/>
  <c r="D262" i="18"/>
  <c r="E262" i="18" s="1"/>
  <c r="C262" i="18"/>
  <c r="D251" i="18"/>
  <c r="C251" i="18"/>
  <c r="D233" i="18"/>
  <c r="C233" i="18"/>
  <c r="D232" i="18"/>
  <c r="E232" i="18"/>
  <c r="C232" i="18"/>
  <c r="D231" i="18"/>
  <c r="E231" i="18" s="1"/>
  <c r="C231" i="18"/>
  <c r="D230" i="18"/>
  <c r="E230" i="18" s="1"/>
  <c r="C230" i="18"/>
  <c r="D228" i="18"/>
  <c r="E228" i="18" s="1"/>
  <c r="C228" i="18"/>
  <c r="D227" i="18"/>
  <c r="E227" i="18" s="1"/>
  <c r="C227" i="18"/>
  <c r="D221" i="18"/>
  <c r="D245" i="18"/>
  <c r="C221" i="18"/>
  <c r="C245" i="18" s="1"/>
  <c r="D220" i="18"/>
  <c r="D244" i="18" s="1"/>
  <c r="C220" i="18"/>
  <c r="C244" i="18" s="1"/>
  <c r="E244" i="18" s="1"/>
  <c r="D219" i="18"/>
  <c r="D243" i="18"/>
  <c r="C219" i="18"/>
  <c r="C243" i="18" s="1"/>
  <c r="D218" i="18"/>
  <c r="C218" i="18"/>
  <c r="C242" i="18" s="1"/>
  <c r="D216" i="18"/>
  <c r="D240" i="18"/>
  <c r="E240" i="18" s="1"/>
  <c r="C216" i="18"/>
  <c r="C240" i="18" s="1"/>
  <c r="D215" i="18"/>
  <c r="D239" i="18" s="1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 s="1"/>
  <c r="C179" i="18"/>
  <c r="D178" i="18"/>
  <c r="C178" i="18"/>
  <c r="E178" i="18"/>
  <c r="D177" i="18"/>
  <c r="E177" i="18" s="1"/>
  <c r="C177" i="18"/>
  <c r="D176" i="18"/>
  <c r="E176" i="18" s="1"/>
  <c r="C176" i="18"/>
  <c r="D174" i="18"/>
  <c r="C174" i="18"/>
  <c r="E174" i="18" s="1"/>
  <c r="D173" i="18"/>
  <c r="E173" i="18" s="1"/>
  <c r="C173" i="18"/>
  <c r="D167" i="18"/>
  <c r="C167" i="18"/>
  <c r="E167" i="18"/>
  <c r="D166" i="18"/>
  <c r="E166" i="18"/>
  <c r="C166" i="18"/>
  <c r="D165" i="18"/>
  <c r="E165" i="18" s="1"/>
  <c r="C165" i="18"/>
  <c r="D164" i="18"/>
  <c r="C164" i="18"/>
  <c r="E164" i="18" s="1"/>
  <c r="D162" i="18"/>
  <c r="E162" i="18" s="1"/>
  <c r="C162" i="18"/>
  <c r="D161" i="18"/>
  <c r="E161" i="18" s="1"/>
  <c r="C161" i="18"/>
  <c r="C157" i="18"/>
  <c r="E155" i="18"/>
  <c r="E154" i="18"/>
  <c r="E153" i="18"/>
  <c r="E152" i="18"/>
  <c r="D151" i="18"/>
  <c r="D156" i="18" s="1"/>
  <c r="C151" i="18"/>
  <c r="C156" i="18" s="1"/>
  <c r="E150" i="18"/>
  <c r="E149" i="18"/>
  <c r="D144" i="18"/>
  <c r="E143" i="18"/>
  <c r="E142" i="18"/>
  <c r="E141" i="18"/>
  <c r="E140" i="18"/>
  <c r="D139" i="18"/>
  <c r="D175" i="18"/>
  <c r="E175" i="18" s="1"/>
  <c r="C139" i="18"/>
  <c r="C163" i="18" s="1"/>
  <c r="E138" i="18"/>
  <c r="E137" i="18"/>
  <c r="D75" i="18"/>
  <c r="C75" i="18"/>
  <c r="E75" i="18" s="1"/>
  <c r="D74" i="18"/>
  <c r="E74" i="18" s="1"/>
  <c r="C74" i="18"/>
  <c r="D73" i="18"/>
  <c r="E73" i="18" s="1"/>
  <c r="C73" i="18"/>
  <c r="D72" i="18"/>
  <c r="C72" i="18"/>
  <c r="E72" i="18" s="1"/>
  <c r="D71" i="18"/>
  <c r="D70" i="18"/>
  <c r="D76" i="18" s="1"/>
  <c r="C70" i="18"/>
  <c r="D69" i="18"/>
  <c r="C69" i="18"/>
  <c r="D65" i="18"/>
  <c r="E64" i="18"/>
  <c r="E63" i="18"/>
  <c r="E62" i="18"/>
  <c r="E61" i="18"/>
  <c r="D60" i="18"/>
  <c r="D289" i="18" s="1"/>
  <c r="C60" i="18"/>
  <c r="E59" i="18"/>
  <c r="E58" i="18"/>
  <c r="D55" i="18"/>
  <c r="D54" i="18"/>
  <c r="E54" i="18" s="1"/>
  <c r="C54" i="18"/>
  <c r="E53" i="18"/>
  <c r="E52" i="18"/>
  <c r="E51" i="18"/>
  <c r="E50" i="18"/>
  <c r="E49" i="18"/>
  <c r="E48" i="18"/>
  <c r="E47" i="18"/>
  <c r="D42" i="18"/>
  <c r="C42" i="18"/>
  <c r="E42" i="18"/>
  <c r="D41" i="18"/>
  <c r="E41" i="18" s="1"/>
  <c r="C41" i="18"/>
  <c r="D40" i="18"/>
  <c r="E40" i="18" s="1"/>
  <c r="C40" i="18"/>
  <c r="D39" i="18"/>
  <c r="C39" i="18"/>
  <c r="E39" i="18" s="1"/>
  <c r="D38" i="18"/>
  <c r="C38" i="18"/>
  <c r="C43" i="18" s="1"/>
  <c r="D37" i="18"/>
  <c r="C37" i="18"/>
  <c r="D36" i="18"/>
  <c r="C36" i="18"/>
  <c r="D33" i="18"/>
  <c r="D32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E283" i="18" s="1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E333" i="17"/>
  <c r="F333" i="17" s="1"/>
  <c r="F332" i="17"/>
  <c r="E332" i="17"/>
  <c r="F331" i="17"/>
  <c r="E331" i="17"/>
  <c r="F330" i="17"/>
  <c r="E330" i="17"/>
  <c r="E329" i="17"/>
  <c r="F329" i="17" s="1"/>
  <c r="F316" i="17"/>
  <c r="E316" i="17"/>
  <c r="F311" i="17"/>
  <c r="D311" i="17"/>
  <c r="E311" i="17" s="1"/>
  <c r="C311" i="17"/>
  <c r="E308" i="17"/>
  <c r="F308" i="17"/>
  <c r="D307" i="17"/>
  <c r="E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 s="1"/>
  <c r="C250" i="17"/>
  <c r="C306" i="17" s="1"/>
  <c r="E249" i="17"/>
  <c r="F249" i="17" s="1"/>
  <c r="E248" i="17"/>
  <c r="F248" i="17" s="1"/>
  <c r="F245" i="17"/>
  <c r="E245" i="17"/>
  <c r="F244" i="17"/>
  <c r="E244" i="17"/>
  <c r="E243" i="17"/>
  <c r="F243" i="17" s="1"/>
  <c r="D238" i="17"/>
  <c r="E238" i="17" s="1"/>
  <c r="F238" i="17" s="1"/>
  <c r="C238" i="17"/>
  <c r="D237" i="17"/>
  <c r="E237" i="17" s="1"/>
  <c r="C237" i="17"/>
  <c r="F237" i="17" s="1"/>
  <c r="C239" i="17"/>
  <c r="F234" i="17"/>
  <c r="E234" i="17"/>
  <c r="E233" i="17"/>
  <c r="F233" i="17" s="1"/>
  <c r="D230" i="17"/>
  <c r="E230" i="17" s="1"/>
  <c r="C230" i="17"/>
  <c r="D229" i="17"/>
  <c r="E229" i="17"/>
  <c r="C229" i="17"/>
  <c r="E228" i="17"/>
  <c r="F228" i="17" s="1"/>
  <c r="D226" i="17"/>
  <c r="E226" i="17"/>
  <c r="F226" i="17"/>
  <c r="C226" i="17"/>
  <c r="C227" i="17" s="1"/>
  <c r="E225" i="17"/>
  <c r="F225" i="17" s="1"/>
  <c r="E224" i="17"/>
  <c r="F224" i="17"/>
  <c r="D223" i="17"/>
  <c r="E223" i="17" s="1"/>
  <c r="F223" i="17" s="1"/>
  <c r="C223" i="17"/>
  <c r="E222" i="17"/>
  <c r="F222" i="17" s="1"/>
  <c r="E221" i="17"/>
  <c r="F221" i="17"/>
  <c r="D204" i="17"/>
  <c r="C204" i="17"/>
  <c r="D203" i="17"/>
  <c r="C203" i="17"/>
  <c r="C283" i="17" s="1"/>
  <c r="D198" i="17"/>
  <c r="C198" i="17"/>
  <c r="C290" i="17"/>
  <c r="D191" i="17"/>
  <c r="C191" i="17"/>
  <c r="D189" i="17"/>
  <c r="C189" i="17"/>
  <c r="D188" i="17"/>
  <c r="D206" i="17" s="1"/>
  <c r="C188" i="17"/>
  <c r="D180" i="17"/>
  <c r="C180" i="17"/>
  <c r="D179" i="17"/>
  <c r="C179" i="17"/>
  <c r="D171" i="17"/>
  <c r="D172" i="17"/>
  <c r="C171" i="17"/>
  <c r="C172" i="17" s="1"/>
  <c r="D170" i="17"/>
  <c r="C170" i="17"/>
  <c r="E169" i="17"/>
  <c r="F169" i="17" s="1"/>
  <c r="E168" i="17"/>
  <c r="F168" i="17"/>
  <c r="D165" i="17"/>
  <c r="C165" i="17"/>
  <c r="D164" i="17"/>
  <c r="C164" i="17"/>
  <c r="E163" i="17"/>
  <c r="F163" i="17" s="1"/>
  <c r="D158" i="17"/>
  <c r="D159" i="17"/>
  <c r="C158" i="17"/>
  <c r="C193" i="17" s="1"/>
  <c r="E157" i="17"/>
  <c r="F157" i="17" s="1"/>
  <c r="E156" i="17"/>
  <c r="F156" i="17" s="1"/>
  <c r="D155" i="17"/>
  <c r="C155" i="17"/>
  <c r="E154" i="17"/>
  <c r="F154" i="17"/>
  <c r="E153" i="17"/>
  <c r="F153" i="17" s="1"/>
  <c r="D145" i="17"/>
  <c r="C145" i="17"/>
  <c r="D144" i="17"/>
  <c r="D146" i="17"/>
  <c r="C144" i="17"/>
  <c r="C146" i="17" s="1"/>
  <c r="D136" i="17"/>
  <c r="D137" i="17" s="1"/>
  <c r="C136" i="17"/>
  <c r="C137" i="17" s="1"/>
  <c r="D135" i="17"/>
  <c r="C135" i="17"/>
  <c r="E134" i="17"/>
  <c r="F134" i="17"/>
  <c r="E133" i="17"/>
  <c r="F133" i="17" s="1"/>
  <c r="D130" i="17"/>
  <c r="C130" i="17"/>
  <c r="D129" i="17"/>
  <c r="C129" i="17"/>
  <c r="E128" i="17"/>
  <c r="F128" i="17" s="1"/>
  <c r="D123" i="17"/>
  <c r="C123" i="17"/>
  <c r="E122" i="17"/>
  <c r="F122" i="17"/>
  <c r="E121" i="17"/>
  <c r="F121" i="17" s="1"/>
  <c r="D120" i="17"/>
  <c r="E120" i="17" s="1"/>
  <c r="C120" i="17"/>
  <c r="E119" i="17"/>
  <c r="F119" i="17"/>
  <c r="E118" i="17"/>
  <c r="F118" i="17"/>
  <c r="D110" i="17"/>
  <c r="C110" i="17"/>
  <c r="D109" i="17"/>
  <c r="C109" i="17"/>
  <c r="D101" i="17"/>
  <c r="D102" i="17"/>
  <c r="C101" i="17"/>
  <c r="C102" i="17"/>
  <c r="D100" i="17"/>
  <c r="C100" i="17"/>
  <c r="E99" i="17"/>
  <c r="F99" i="17" s="1"/>
  <c r="E98" i="17"/>
  <c r="F98" i="17"/>
  <c r="D95" i="17"/>
  <c r="E95" i="17" s="1"/>
  <c r="F95" i="17" s="1"/>
  <c r="C95" i="17"/>
  <c r="D94" i="17"/>
  <c r="C94" i="17"/>
  <c r="E93" i="17"/>
  <c r="F93" i="17" s="1"/>
  <c r="D88" i="17"/>
  <c r="D89" i="17"/>
  <c r="C88" i="17"/>
  <c r="C89" i="17"/>
  <c r="E87" i="17"/>
  <c r="F87" i="17" s="1"/>
  <c r="E86" i="17"/>
  <c r="F86" i="17" s="1"/>
  <c r="D85" i="17"/>
  <c r="C85" i="17"/>
  <c r="E84" i="17"/>
  <c r="F84" i="17" s="1"/>
  <c r="E83" i="17"/>
  <c r="F83" i="17" s="1"/>
  <c r="D76" i="17"/>
  <c r="D77" i="17" s="1"/>
  <c r="C76" i="17"/>
  <c r="C77" i="17"/>
  <c r="E74" i="17"/>
  <c r="F74" i="17" s="1"/>
  <c r="F73" i="17"/>
  <c r="E73" i="17"/>
  <c r="D67" i="17"/>
  <c r="C67" i="17"/>
  <c r="D66" i="17"/>
  <c r="D68" i="17"/>
  <c r="C66" i="17"/>
  <c r="D59" i="17"/>
  <c r="C59" i="17"/>
  <c r="D58" i="17"/>
  <c r="E58" i="17" s="1"/>
  <c r="C58" i="17"/>
  <c r="F58" i="17" s="1"/>
  <c r="E57" i="17"/>
  <c r="F57" i="17"/>
  <c r="E56" i="17"/>
  <c r="F56" i="17" s="1"/>
  <c r="D53" i="17"/>
  <c r="E53" i="17" s="1"/>
  <c r="C53" i="17"/>
  <c r="D52" i="17"/>
  <c r="F52" i="17"/>
  <c r="C52" i="17"/>
  <c r="E52" i="17" s="1"/>
  <c r="E51" i="17"/>
  <c r="F51" i="17" s="1"/>
  <c r="D47" i="17"/>
  <c r="C47" i="17"/>
  <c r="E47" i="17" s="1"/>
  <c r="C48" i="17"/>
  <c r="E46" i="17"/>
  <c r="F46" i="17"/>
  <c r="E45" i="17"/>
  <c r="F45" i="17" s="1"/>
  <c r="D44" i="17"/>
  <c r="C44" i="17"/>
  <c r="E43" i="17"/>
  <c r="F43" i="17"/>
  <c r="E42" i="17"/>
  <c r="F42" i="17" s="1"/>
  <c r="D36" i="17"/>
  <c r="C36" i="17"/>
  <c r="D35" i="17"/>
  <c r="C35" i="17"/>
  <c r="D30" i="17"/>
  <c r="D31" i="17" s="1"/>
  <c r="C30" i="17"/>
  <c r="C31" i="17"/>
  <c r="D29" i="17"/>
  <c r="C29" i="17"/>
  <c r="E28" i="17"/>
  <c r="F28" i="17" s="1"/>
  <c r="E27" i="17"/>
  <c r="F27" i="17" s="1"/>
  <c r="D24" i="17"/>
  <c r="C24" i="17"/>
  <c r="D23" i="17"/>
  <c r="C23" i="17"/>
  <c r="E22" i="17"/>
  <c r="F22" i="17" s="1"/>
  <c r="D20" i="17"/>
  <c r="C20" i="17"/>
  <c r="E19" i="17"/>
  <c r="F19" i="17"/>
  <c r="E18" i="17"/>
  <c r="F18" i="17"/>
  <c r="D17" i="17"/>
  <c r="C17" i="17"/>
  <c r="E16" i="17"/>
  <c r="F16" i="17" s="1"/>
  <c r="E15" i="17"/>
  <c r="F15" i="17"/>
  <c r="D21" i="16"/>
  <c r="E21" i="16" s="1"/>
  <c r="F21" i="16" s="1"/>
  <c r="C21" i="16"/>
  <c r="F20" i="16"/>
  <c r="E20" i="16"/>
  <c r="D17" i="16"/>
  <c r="E17" i="16"/>
  <c r="C17" i="16"/>
  <c r="F16" i="16"/>
  <c r="E16" i="16"/>
  <c r="D13" i="16"/>
  <c r="E13" i="16" s="1"/>
  <c r="C13" i="16"/>
  <c r="E12" i="16"/>
  <c r="F12" i="16" s="1"/>
  <c r="D107" i="15"/>
  <c r="E107" i="15" s="1"/>
  <c r="C107" i="15"/>
  <c r="F107" i="15" s="1"/>
  <c r="E106" i="15"/>
  <c r="F106" i="15" s="1"/>
  <c r="E105" i="15"/>
  <c r="F105" i="15" s="1"/>
  <c r="F104" i="15"/>
  <c r="E104" i="15"/>
  <c r="D100" i="15"/>
  <c r="E100" i="15" s="1"/>
  <c r="C100" i="15"/>
  <c r="F99" i="15"/>
  <c r="E99" i="15"/>
  <c r="F98" i="15"/>
  <c r="E98" i="15"/>
  <c r="F97" i="15"/>
  <c r="E97" i="15"/>
  <c r="E96" i="15"/>
  <c r="F96" i="15" s="1"/>
  <c r="E95" i="15"/>
  <c r="F95" i="15" s="1"/>
  <c r="D92" i="15"/>
  <c r="E92" i="15" s="1"/>
  <c r="F92" i="15" s="1"/>
  <c r="C92" i="15"/>
  <c r="F91" i="15"/>
  <c r="E91" i="15"/>
  <c r="F90" i="15"/>
  <c r="E90" i="15"/>
  <c r="F89" i="15"/>
  <c r="E89" i="15"/>
  <c r="F88" i="15"/>
  <c r="E88" i="15"/>
  <c r="E87" i="15"/>
  <c r="F87" i="15" s="1"/>
  <c r="F86" i="15"/>
  <c r="E86" i="15"/>
  <c r="F85" i="15"/>
  <c r="E85" i="15"/>
  <c r="F84" i="15"/>
  <c r="E84" i="15"/>
  <c r="F83" i="15"/>
  <c r="E83" i="15"/>
  <c r="E82" i="15"/>
  <c r="F82" i="15" s="1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 s="1"/>
  <c r="C70" i="15"/>
  <c r="F69" i="15"/>
  <c r="E69" i="15"/>
  <c r="E68" i="15"/>
  <c r="F68" i="15" s="1"/>
  <c r="D65" i="15"/>
  <c r="E65" i="15"/>
  <c r="F65" i="15" s="1"/>
  <c r="C65" i="15"/>
  <c r="F64" i="15"/>
  <c r="E64" i="15"/>
  <c r="E63" i="15"/>
  <c r="F63" i="15" s="1"/>
  <c r="D60" i="15"/>
  <c r="C60" i="15"/>
  <c r="F60" i="15" s="1"/>
  <c r="F59" i="15"/>
  <c r="E59" i="15"/>
  <c r="F58" i="15"/>
  <c r="E58" i="15"/>
  <c r="E60" i="15"/>
  <c r="D55" i="15"/>
  <c r="E55" i="15" s="1"/>
  <c r="F55" i="15" s="1"/>
  <c r="C55" i="15"/>
  <c r="F54" i="15"/>
  <c r="E54" i="15"/>
  <c r="E53" i="15"/>
  <c r="F53" i="15" s="1"/>
  <c r="D50" i="15"/>
  <c r="E50" i="15" s="1"/>
  <c r="F50" i="15" s="1"/>
  <c r="C50" i="15"/>
  <c r="F49" i="15"/>
  <c r="E49" i="15"/>
  <c r="E48" i="15"/>
  <c r="F48" i="15" s="1"/>
  <c r="D45" i="15"/>
  <c r="E45" i="15"/>
  <c r="F45" i="15" s="1"/>
  <c r="C45" i="15"/>
  <c r="F44" i="15"/>
  <c r="E44" i="15"/>
  <c r="E43" i="15"/>
  <c r="F43" i="15" s="1"/>
  <c r="D37" i="15"/>
  <c r="E37" i="15"/>
  <c r="F37" i="15" s="1"/>
  <c r="C37" i="15"/>
  <c r="F36" i="15"/>
  <c r="E36" i="15"/>
  <c r="F35" i="15"/>
  <c r="E35" i="15"/>
  <c r="F34" i="15"/>
  <c r="E34" i="15"/>
  <c r="F33" i="15"/>
  <c r="E33" i="15"/>
  <c r="D30" i="15"/>
  <c r="C30" i="15"/>
  <c r="F29" i="15"/>
  <c r="E29" i="15"/>
  <c r="F28" i="15"/>
  <c r="E28" i="15"/>
  <c r="F27" i="15"/>
  <c r="E27" i="15"/>
  <c r="F26" i="15"/>
  <c r="E26" i="15"/>
  <c r="D23" i="15"/>
  <c r="E23" i="15"/>
  <c r="F23" i="15" s="1"/>
  <c r="C23" i="15"/>
  <c r="F22" i="15"/>
  <c r="E22" i="15"/>
  <c r="E21" i="15"/>
  <c r="F21" i="15" s="1"/>
  <c r="E20" i="15"/>
  <c r="F20" i="15" s="1"/>
  <c r="F19" i="15"/>
  <c r="E19" i="15"/>
  <c r="D16" i="15"/>
  <c r="E16" i="15" s="1"/>
  <c r="C16" i="15"/>
  <c r="F15" i="15"/>
  <c r="E15" i="15"/>
  <c r="F14" i="15"/>
  <c r="E14" i="15"/>
  <c r="F13" i="15"/>
  <c r="E13" i="15"/>
  <c r="E12" i="15"/>
  <c r="F12" i="15" s="1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 s="1"/>
  <c r="D17" i="14"/>
  <c r="D33" i="14" s="1"/>
  <c r="D36" i="14" s="1"/>
  <c r="D38" i="14"/>
  <c r="D40" i="14" s="1"/>
  <c r="C17" i="14"/>
  <c r="C31" i="14" s="1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 s="1"/>
  <c r="D77" i="13" s="1"/>
  <c r="C78" i="13"/>
  <c r="C80" i="13" s="1"/>
  <c r="C77" i="13" s="1"/>
  <c r="C75" i="13"/>
  <c r="E73" i="13"/>
  <c r="E75" i="13" s="1"/>
  <c r="D73" i="13"/>
  <c r="D75" i="13" s="1"/>
  <c r="C73" i="13"/>
  <c r="E71" i="13"/>
  <c r="D71" i="13"/>
  <c r="C71" i="13"/>
  <c r="E66" i="13"/>
  <c r="E65" i="13"/>
  <c r="D66" i="13"/>
  <c r="D65" i="13" s="1"/>
  <c r="C66" i="13"/>
  <c r="C65" i="13" s="1"/>
  <c r="E60" i="13"/>
  <c r="D60" i="13"/>
  <c r="C60" i="13"/>
  <c r="E58" i="13"/>
  <c r="D58" i="13"/>
  <c r="C58" i="13"/>
  <c r="E55" i="13"/>
  <c r="D55" i="13"/>
  <c r="C55" i="13"/>
  <c r="E54" i="13"/>
  <c r="E50" i="13" s="1"/>
  <c r="D54" i="13"/>
  <c r="D50" i="13" s="1"/>
  <c r="C54" i="13"/>
  <c r="E46" i="13"/>
  <c r="E59" i="13"/>
  <c r="E61" i="13"/>
  <c r="E57" i="13" s="1"/>
  <c r="D46" i="13"/>
  <c r="D59" i="13" s="1"/>
  <c r="C46" i="13"/>
  <c r="C59" i="13"/>
  <c r="C61" i="13"/>
  <c r="C57" i="13" s="1"/>
  <c r="E45" i="13"/>
  <c r="D45" i="13"/>
  <c r="C45" i="13"/>
  <c r="E38" i="13"/>
  <c r="D38" i="13"/>
  <c r="C38" i="13"/>
  <c r="E33" i="13"/>
  <c r="E34" i="13" s="1"/>
  <c r="D33" i="13"/>
  <c r="D34" i="13" s="1"/>
  <c r="E26" i="13"/>
  <c r="D26" i="13"/>
  <c r="C26" i="13"/>
  <c r="E13" i="13"/>
  <c r="E25" i="13"/>
  <c r="E27" i="13"/>
  <c r="D13" i="13"/>
  <c r="D25" i="13" s="1"/>
  <c r="D27" i="13" s="1"/>
  <c r="C13" i="13"/>
  <c r="C25" i="13" s="1"/>
  <c r="C27" i="13" s="1"/>
  <c r="F47" i="12"/>
  <c r="D47" i="12"/>
  <c r="E47" i="12"/>
  <c r="C47" i="12"/>
  <c r="F46" i="12"/>
  <c r="E46" i="12"/>
  <c r="F45" i="12"/>
  <c r="E45" i="12"/>
  <c r="D40" i="12"/>
  <c r="E40" i="12" s="1"/>
  <c r="F40" i="12" s="1"/>
  <c r="C40" i="12"/>
  <c r="E39" i="12"/>
  <c r="F39" i="12" s="1"/>
  <c r="E38" i="12"/>
  <c r="F38" i="12" s="1"/>
  <c r="E37" i="12"/>
  <c r="F37" i="12" s="1"/>
  <c r="D32" i="12"/>
  <c r="E32" i="12" s="1"/>
  <c r="C32" i="12"/>
  <c r="E31" i="12"/>
  <c r="F31" i="12" s="1"/>
  <c r="F30" i="12"/>
  <c r="E30" i="12"/>
  <c r="F29" i="12"/>
  <c r="E29" i="12"/>
  <c r="E28" i="12"/>
  <c r="F28" i="12" s="1"/>
  <c r="E27" i="12"/>
  <c r="F27" i="12" s="1"/>
  <c r="E26" i="12"/>
  <c r="F26" i="12" s="1"/>
  <c r="F25" i="12"/>
  <c r="E25" i="12"/>
  <c r="E24" i="12"/>
  <c r="F24" i="12" s="1"/>
  <c r="E23" i="12"/>
  <c r="F23" i="12" s="1"/>
  <c r="E19" i="12"/>
  <c r="F19" i="12" s="1"/>
  <c r="F18" i="12"/>
  <c r="E18" i="12"/>
  <c r="F16" i="12"/>
  <c r="E16" i="12"/>
  <c r="D15" i="12"/>
  <c r="D17" i="12"/>
  <c r="C15" i="12"/>
  <c r="C17" i="12"/>
  <c r="C20" i="12" s="1"/>
  <c r="F14" i="12"/>
  <c r="E14" i="12"/>
  <c r="E13" i="12"/>
  <c r="F13" i="12" s="1"/>
  <c r="E12" i="12"/>
  <c r="F12" i="12" s="1"/>
  <c r="F11" i="12"/>
  <c r="E11" i="12"/>
  <c r="D73" i="11"/>
  <c r="E73" i="11" s="1"/>
  <c r="C73" i="11"/>
  <c r="F72" i="11"/>
  <c r="E72" i="11"/>
  <c r="E71" i="11"/>
  <c r="F71" i="11" s="1"/>
  <c r="E70" i="11"/>
  <c r="F70" i="11" s="1"/>
  <c r="F67" i="11"/>
  <c r="E67" i="11"/>
  <c r="F64" i="11"/>
  <c r="E64" i="11"/>
  <c r="E63" i="11"/>
  <c r="F63" i="11" s="1"/>
  <c r="D61" i="11"/>
  <c r="D65" i="11" s="1"/>
  <c r="E65" i="11" s="1"/>
  <c r="C61" i="11"/>
  <c r="C65" i="11"/>
  <c r="E60" i="11"/>
  <c r="F60" i="11" s="1"/>
  <c r="F59" i="11"/>
  <c r="E59" i="11"/>
  <c r="D56" i="11"/>
  <c r="C56" i="11"/>
  <c r="C75" i="11" s="1"/>
  <c r="F55" i="11"/>
  <c r="E55" i="11"/>
  <c r="F54" i="11"/>
  <c r="E54" i="11"/>
  <c r="F53" i="11"/>
  <c r="E53" i="11"/>
  <c r="F52" i="11"/>
  <c r="E52" i="11"/>
  <c r="E51" i="11"/>
  <c r="F51" i="11" s="1"/>
  <c r="A51" i="11"/>
  <c r="A52" i="11" s="1"/>
  <c r="A53" i="11" s="1"/>
  <c r="A54" i="11" s="1"/>
  <c r="A55" i="11" s="1"/>
  <c r="E50" i="11"/>
  <c r="F50" i="11"/>
  <c r="A50" i="11"/>
  <c r="E49" i="11"/>
  <c r="F49" i="11" s="1"/>
  <c r="F40" i="11"/>
  <c r="E40" i="11"/>
  <c r="D38" i="11"/>
  <c r="D41" i="11" s="1"/>
  <c r="D43" i="11" s="1"/>
  <c r="C38" i="11"/>
  <c r="C41" i="11"/>
  <c r="E37" i="11"/>
  <c r="F37" i="11" s="1"/>
  <c r="F36" i="11"/>
  <c r="E36" i="11"/>
  <c r="F33" i="11"/>
  <c r="E33" i="11"/>
  <c r="E32" i="11"/>
  <c r="F32" i="11" s="1"/>
  <c r="F31" i="11"/>
  <c r="E31" i="11"/>
  <c r="D29" i="11"/>
  <c r="E29" i="11" s="1"/>
  <c r="F29" i="11" s="1"/>
  <c r="C29" i="11"/>
  <c r="E28" i="11"/>
  <c r="F28" i="11" s="1"/>
  <c r="F27" i="11"/>
  <c r="E27" i="11"/>
  <c r="F26" i="11"/>
  <c r="E26" i="11"/>
  <c r="F25" i="11"/>
  <c r="E25" i="11"/>
  <c r="D22" i="11"/>
  <c r="C22" i="11"/>
  <c r="E21" i="11"/>
  <c r="F21" i="11" s="1"/>
  <c r="E20" i="11"/>
  <c r="F20" i="11" s="1"/>
  <c r="E19" i="11"/>
  <c r="F19" i="11" s="1"/>
  <c r="F18" i="11"/>
  <c r="E18" i="11"/>
  <c r="F17" i="11"/>
  <c r="E17" i="11"/>
  <c r="E16" i="11"/>
  <c r="F16" i="11" s="1"/>
  <c r="F15" i="11"/>
  <c r="E15" i="11"/>
  <c r="F14" i="11"/>
  <c r="E14" i="11"/>
  <c r="E13" i="11"/>
  <c r="F13" i="11" s="1"/>
  <c r="D120" i="10"/>
  <c r="C120" i="10"/>
  <c r="E120" i="10" s="1"/>
  <c r="D119" i="10"/>
  <c r="E119" i="10"/>
  <c r="F119" i="10" s="1"/>
  <c r="C119" i="10"/>
  <c r="D118" i="10"/>
  <c r="E118" i="10"/>
  <c r="C118" i="10"/>
  <c r="D117" i="10"/>
  <c r="C117" i="10"/>
  <c r="E117" i="10" s="1"/>
  <c r="D116" i="10"/>
  <c r="E116" i="10" s="1"/>
  <c r="C116" i="10"/>
  <c r="D115" i="10"/>
  <c r="F115" i="10"/>
  <c r="C115" i="10"/>
  <c r="E115" i="10" s="1"/>
  <c r="D114" i="10"/>
  <c r="E114" i="10" s="1"/>
  <c r="C114" i="10"/>
  <c r="D113" i="10"/>
  <c r="D122" i="10"/>
  <c r="C113" i="10"/>
  <c r="C122" i="10"/>
  <c r="E122" i="10" s="1"/>
  <c r="D112" i="10"/>
  <c r="C112" i="10"/>
  <c r="C121" i="10"/>
  <c r="D108" i="10"/>
  <c r="E108" i="10"/>
  <c r="F108" i="10" s="1"/>
  <c r="C108" i="10"/>
  <c r="D107" i="10"/>
  <c r="C107" i="10"/>
  <c r="E107" i="10" s="1"/>
  <c r="F106" i="10"/>
  <c r="E106" i="10"/>
  <c r="F105" i="10"/>
  <c r="E105" i="10"/>
  <c r="E104" i="10"/>
  <c r="F104" i="10" s="1"/>
  <c r="E103" i="10"/>
  <c r="F103" i="10" s="1"/>
  <c r="F102" i="10"/>
  <c r="E102" i="10"/>
  <c r="F101" i="10"/>
  <c r="E101" i="10"/>
  <c r="E100" i="10"/>
  <c r="F100" i="10" s="1"/>
  <c r="E99" i="10"/>
  <c r="F99" i="10" s="1"/>
  <c r="E98" i="10"/>
  <c r="F98" i="10" s="1"/>
  <c r="D96" i="10"/>
  <c r="E96" i="10" s="1"/>
  <c r="C96" i="10"/>
  <c r="D95" i="10"/>
  <c r="C95" i="10"/>
  <c r="E95" i="10" s="1"/>
  <c r="F94" i="10"/>
  <c r="E94" i="10"/>
  <c r="E93" i="10"/>
  <c r="F93" i="10" s="1"/>
  <c r="E92" i="10"/>
  <c r="F92" i="10" s="1"/>
  <c r="E91" i="10"/>
  <c r="F91" i="10" s="1"/>
  <c r="F90" i="10"/>
  <c r="E90" i="10"/>
  <c r="E89" i="10"/>
  <c r="F89" i="10" s="1"/>
  <c r="E88" i="10"/>
  <c r="F88" i="10" s="1"/>
  <c r="E87" i="10"/>
  <c r="F87" i="10" s="1"/>
  <c r="F86" i="10"/>
  <c r="E86" i="10"/>
  <c r="D84" i="10"/>
  <c r="E84" i="10" s="1"/>
  <c r="C84" i="10"/>
  <c r="F84" i="10" s="1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D72" i="10"/>
  <c r="C72" i="10"/>
  <c r="F71" i="10"/>
  <c r="D71" i="10"/>
  <c r="E71" i="10" s="1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D60" i="10"/>
  <c r="E60" i="10"/>
  <c r="F60" i="10"/>
  <c r="C60" i="10"/>
  <c r="D59" i="10"/>
  <c r="C59" i="10"/>
  <c r="E58" i="10"/>
  <c r="F58" i="10" s="1"/>
  <c r="E57" i="10"/>
  <c r="F57" i="10" s="1"/>
  <c r="E56" i="10"/>
  <c r="F56" i="10" s="1"/>
  <c r="E55" i="10"/>
  <c r="F55" i="10" s="1"/>
  <c r="E54" i="10"/>
  <c r="F54" i="10" s="1"/>
  <c r="E53" i="10"/>
  <c r="F53" i="10" s="1"/>
  <c r="E52" i="10"/>
  <c r="F52" i="10" s="1"/>
  <c r="E51" i="10"/>
  <c r="F51" i="10" s="1"/>
  <c r="F50" i="10"/>
  <c r="E50" i="10"/>
  <c r="F48" i="10"/>
  <c r="D48" i="10"/>
  <c r="E48" i="10" s="1"/>
  <c r="C48" i="10"/>
  <c r="D47" i="10"/>
  <c r="E47" i="10" s="1"/>
  <c r="C47" i="10"/>
  <c r="F47" i="10" s="1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D36" i="10"/>
  <c r="C36" i="10"/>
  <c r="D35" i="10"/>
  <c r="E35" i="10"/>
  <c r="C35" i="10"/>
  <c r="E34" i="10"/>
  <c r="F34" i="10" s="1"/>
  <c r="E33" i="10"/>
  <c r="F33" i="10" s="1"/>
  <c r="E32" i="10"/>
  <c r="F32" i="10" s="1"/>
  <c r="E31" i="10"/>
  <c r="F31" i="10" s="1"/>
  <c r="E30" i="10"/>
  <c r="F30" i="10" s="1"/>
  <c r="E29" i="10"/>
  <c r="F29" i="10" s="1"/>
  <c r="F28" i="10"/>
  <c r="E28" i="10"/>
  <c r="E27" i="10"/>
  <c r="F27" i="10" s="1"/>
  <c r="E26" i="10"/>
  <c r="F26" i="10" s="1"/>
  <c r="D24" i="10"/>
  <c r="E24" i="10" s="1"/>
  <c r="C24" i="10"/>
  <c r="F24" i="10" s="1"/>
  <c r="F23" i="10"/>
  <c r="D23" i="10"/>
  <c r="E23" i="10" s="1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 s="1"/>
  <c r="C206" i="9"/>
  <c r="D205" i="9"/>
  <c r="C205" i="9"/>
  <c r="D204" i="9"/>
  <c r="E204" i="9" s="1"/>
  <c r="F204" i="9" s="1"/>
  <c r="C204" i="9"/>
  <c r="D203" i="9"/>
  <c r="C203" i="9"/>
  <c r="D202" i="9"/>
  <c r="E202" i="9"/>
  <c r="F202" i="9"/>
  <c r="C202" i="9"/>
  <c r="D201" i="9"/>
  <c r="E201" i="9" s="1"/>
  <c r="C201" i="9"/>
  <c r="D200" i="9"/>
  <c r="E200" i="9"/>
  <c r="C200" i="9"/>
  <c r="D199" i="9"/>
  <c r="C199" i="9"/>
  <c r="C208" i="9"/>
  <c r="D198" i="9"/>
  <c r="D207" i="9"/>
  <c r="C198" i="9"/>
  <c r="D193" i="9"/>
  <c r="E193" i="9"/>
  <c r="C193" i="9"/>
  <c r="D192" i="9"/>
  <c r="E192" i="9"/>
  <c r="F192" i="9"/>
  <c r="C192" i="9"/>
  <c r="E191" i="9"/>
  <c r="F191" i="9" s="1"/>
  <c r="F190" i="9"/>
  <c r="E190" i="9"/>
  <c r="F189" i="9"/>
  <c r="E189" i="9"/>
  <c r="F188" i="9"/>
  <c r="E188" i="9"/>
  <c r="E187" i="9"/>
  <c r="F187" i="9" s="1"/>
  <c r="E186" i="9"/>
  <c r="F186" i="9" s="1"/>
  <c r="E185" i="9"/>
  <c r="F185" i="9" s="1"/>
  <c r="E184" i="9"/>
  <c r="F184" i="9" s="1"/>
  <c r="E183" i="9"/>
  <c r="F183" i="9" s="1"/>
  <c r="F180" i="9"/>
  <c r="D180" i="9"/>
  <c r="E180" i="9"/>
  <c r="C180" i="9"/>
  <c r="F179" i="9"/>
  <c r="D179" i="9"/>
  <c r="C179" i="9"/>
  <c r="E179" i="9" s="1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 s="1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 s="1"/>
  <c r="C154" i="9"/>
  <c r="D153" i="9"/>
  <c r="E153" i="9"/>
  <c r="F153" i="9"/>
  <c r="C153" i="9"/>
  <c r="F152" i="9"/>
  <c r="E152" i="9"/>
  <c r="E151" i="9"/>
  <c r="F151" i="9" s="1"/>
  <c r="E150" i="9"/>
  <c r="F150" i="9" s="1"/>
  <c r="F149" i="9"/>
  <c r="E149" i="9"/>
  <c r="F148" i="9"/>
  <c r="E148" i="9"/>
  <c r="E147" i="9"/>
  <c r="F147" i="9" s="1"/>
  <c r="E146" i="9"/>
  <c r="F146" i="9" s="1"/>
  <c r="F145" i="9"/>
  <c r="E145" i="9"/>
  <c r="F144" i="9"/>
  <c r="E144" i="9"/>
  <c r="F141" i="9"/>
  <c r="D141" i="9"/>
  <c r="E141" i="9" s="1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C127" i="9"/>
  <c r="E126" i="9"/>
  <c r="F126" i="9" s="1"/>
  <c r="F125" i="9"/>
  <c r="E125" i="9"/>
  <c r="F124" i="9"/>
  <c r="E124" i="9"/>
  <c r="E123" i="9"/>
  <c r="F123" i="9" s="1"/>
  <c r="E122" i="9"/>
  <c r="F122" i="9" s="1"/>
  <c r="F121" i="9"/>
  <c r="E121" i="9"/>
  <c r="F120" i="9"/>
  <c r="E120" i="9"/>
  <c r="E119" i="9"/>
  <c r="F119" i="9" s="1"/>
  <c r="E118" i="9"/>
  <c r="F118" i="9" s="1"/>
  <c r="F115" i="9"/>
  <c r="D115" i="9"/>
  <c r="E115" i="9"/>
  <c r="C115" i="9"/>
  <c r="F114" i="9"/>
  <c r="D114" i="9"/>
  <c r="E114" i="9" s="1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C102" i="9"/>
  <c r="E102" i="9" s="1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 s="1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 s="1"/>
  <c r="C75" i="9"/>
  <c r="E74" i="9"/>
  <c r="F74" i="9" s="1"/>
  <c r="F73" i="9"/>
  <c r="E73" i="9"/>
  <c r="F72" i="9"/>
  <c r="E72" i="9"/>
  <c r="E71" i="9"/>
  <c r="F71" i="9" s="1"/>
  <c r="E70" i="9"/>
  <c r="F70" i="9" s="1"/>
  <c r="F69" i="9"/>
  <c r="E69" i="9"/>
  <c r="F68" i="9"/>
  <c r="E68" i="9"/>
  <c r="E67" i="9"/>
  <c r="F67" i="9" s="1"/>
  <c r="E66" i="9"/>
  <c r="F66" i="9" s="1"/>
  <c r="F63" i="9"/>
  <c r="D63" i="9"/>
  <c r="E63" i="9"/>
  <c r="C63" i="9"/>
  <c r="F62" i="9"/>
  <c r="D62" i="9"/>
  <c r="E62" i="9" s="1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 s="1"/>
  <c r="C50" i="9"/>
  <c r="D49" i="9"/>
  <c r="E49" i="9"/>
  <c r="F49" i="9"/>
  <c r="C49" i="9"/>
  <c r="F48" i="9"/>
  <c r="E48" i="9"/>
  <c r="E47" i="9"/>
  <c r="F47" i="9" s="1"/>
  <c r="E46" i="9"/>
  <c r="F46" i="9" s="1"/>
  <c r="F45" i="9"/>
  <c r="E45" i="9"/>
  <c r="F44" i="9"/>
  <c r="E44" i="9"/>
  <c r="E43" i="9"/>
  <c r="F43" i="9" s="1"/>
  <c r="E42" i="9"/>
  <c r="F42" i="9" s="1"/>
  <c r="F41" i="9"/>
  <c r="E41" i="9"/>
  <c r="F40" i="9"/>
  <c r="E40" i="9"/>
  <c r="F37" i="9"/>
  <c r="D37" i="9"/>
  <c r="E37" i="9" s="1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 s="1"/>
  <c r="C23" i="9"/>
  <c r="E22" i="9"/>
  <c r="F22" i="9" s="1"/>
  <c r="F21" i="9"/>
  <c r="E21" i="9"/>
  <c r="F20" i="9"/>
  <c r="E20" i="9"/>
  <c r="E19" i="9"/>
  <c r="F19" i="9" s="1"/>
  <c r="E18" i="9"/>
  <c r="F18" i="9" s="1"/>
  <c r="F17" i="9"/>
  <c r="E17" i="9"/>
  <c r="F16" i="9"/>
  <c r="E16" i="9"/>
  <c r="E15" i="9"/>
  <c r="F15" i="9" s="1"/>
  <c r="E14" i="9"/>
  <c r="F14" i="9" s="1"/>
  <c r="E191" i="8"/>
  <c r="D191" i="8"/>
  <c r="C191" i="8"/>
  <c r="E176" i="8"/>
  <c r="D176" i="8"/>
  <c r="C176" i="8"/>
  <c r="E164" i="8"/>
  <c r="E160" i="8" s="1"/>
  <c r="D164" i="8"/>
  <c r="D160" i="8"/>
  <c r="D166" i="8" s="1"/>
  <c r="C164" i="8"/>
  <c r="C160" i="8" s="1"/>
  <c r="E162" i="8"/>
  <c r="D162" i="8"/>
  <c r="C162" i="8"/>
  <c r="E161" i="8"/>
  <c r="D161" i="8"/>
  <c r="C161" i="8"/>
  <c r="E166" i="8"/>
  <c r="E156" i="8" s="1"/>
  <c r="E147" i="8"/>
  <c r="E143" i="8" s="1"/>
  <c r="E149" i="8" s="1"/>
  <c r="D147" i="8"/>
  <c r="D143" i="8"/>
  <c r="D149" i="8"/>
  <c r="C147" i="8"/>
  <c r="E145" i="8"/>
  <c r="D145" i="8"/>
  <c r="C145" i="8"/>
  <c r="E144" i="8"/>
  <c r="D144" i="8"/>
  <c r="C144" i="8"/>
  <c r="C143" i="8"/>
  <c r="C149" i="8" s="1"/>
  <c r="E126" i="8"/>
  <c r="D126" i="8"/>
  <c r="C126" i="8"/>
  <c r="E119" i="8"/>
  <c r="D119" i="8"/>
  <c r="C119" i="8"/>
  <c r="E108" i="8"/>
  <c r="D108" i="8"/>
  <c r="C108" i="8"/>
  <c r="E107" i="8"/>
  <c r="E109" i="8" s="1"/>
  <c r="E106" i="8" s="1"/>
  <c r="D107" i="8"/>
  <c r="D109" i="8" s="1"/>
  <c r="D106" i="8" s="1"/>
  <c r="C107" i="8"/>
  <c r="C109" i="8"/>
  <c r="C106" i="8"/>
  <c r="C104" i="8"/>
  <c r="E102" i="8"/>
  <c r="E104" i="8" s="1"/>
  <c r="D102" i="8"/>
  <c r="D104" i="8"/>
  <c r="C102" i="8"/>
  <c r="E100" i="8"/>
  <c r="D100" i="8"/>
  <c r="C100" i="8"/>
  <c r="E95" i="8"/>
  <c r="E94" i="8"/>
  <c r="D95" i="8"/>
  <c r="C95" i="8"/>
  <c r="C94" i="8" s="1"/>
  <c r="D94" i="8"/>
  <c r="E89" i="8"/>
  <c r="D89" i="8"/>
  <c r="C89" i="8"/>
  <c r="E88" i="8"/>
  <c r="C86" i="8"/>
  <c r="E87" i="8"/>
  <c r="D87" i="8"/>
  <c r="C87" i="8"/>
  <c r="E84" i="8"/>
  <c r="D84" i="8"/>
  <c r="D79" i="8" s="1"/>
  <c r="C84" i="8"/>
  <c r="E83" i="8"/>
  <c r="E79" i="8"/>
  <c r="D83" i="8"/>
  <c r="C83" i="8"/>
  <c r="C79" i="8"/>
  <c r="E77" i="8"/>
  <c r="E71" i="8" s="1"/>
  <c r="C77" i="8"/>
  <c r="C71" i="8"/>
  <c r="E75" i="8"/>
  <c r="D75" i="8"/>
  <c r="D88" i="8"/>
  <c r="D90" i="8" s="1"/>
  <c r="D86" i="8" s="1"/>
  <c r="C75" i="8"/>
  <c r="C88" i="8" s="1"/>
  <c r="C90" i="8" s="1"/>
  <c r="E74" i="8"/>
  <c r="D74" i="8"/>
  <c r="C74" i="8"/>
  <c r="E67" i="8"/>
  <c r="D67" i="8"/>
  <c r="C67" i="8"/>
  <c r="D53" i="8"/>
  <c r="E38" i="8"/>
  <c r="E57" i="8"/>
  <c r="E62" i="8" s="1"/>
  <c r="D38" i="8"/>
  <c r="D43" i="8" s="1"/>
  <c r="D57" i="8"/>
  <c r="D62" i="8" s="1"/>
  <c r="C38" i="8"/>
  <c r="C57" i="8" s="1"/>
  <c r="C62" i="8" s="1"/>
  <c r="E33" i="8"/>
  <c r="E34" i="8" s="1"/>
  <c r="D33" i="8"/>
  <c r="D34" i="8"/>
  <c r="E26" i="8"/>
  <c r="D26" i="8"/>
  <c r="C26" i="8"/>
  <c r="C27" i="8"/>
  <c r="E15" i="8"/>
  <c r="E24" i="8" s="1"/>
  <c r="C15" i="8"/>
  <c r="C24" i="8" s="1"/>
  <c r="E13" i="8"/>
  <c r="E25" i="8" s="1"/>
  <c r="E27" i="8" s="1"/>
  <c r="E21" i="8" s="1"/>
  <c r="D13" i="8"/>
  <c r="C13" i="8"/>
  <c r="C25" i="8" s="1"/>
  <c r="E186" i="7"/>
  <c r="F186" i="7" s="1"/>
  <c r="D183" i="7"/>
  <c r="D188" i="7"/>
  <c r="E188" i="7" s="1"/>
  <c r="F188" i="7" s="1"/>
  <c r="C183" i="7"/>
  <c r="C188" i="7"/>
  <c r="F182" i="7"/>
  <c r="E182" i="7"/>
  <c r="F181" i="7"/>
  <c r="E181" i="7"/>
  <c r="F180" i="7"/>
  <c r="E180" i="7"/>
  <c r="E179" i="7"/>
  <c r="F179" i="7" s="1"/>
  <c r="F178" i="7"/>
  <c r="E178" i="7"/>
  <c r="F177" i="7"/>
  <c r="E177" i="7"/>
  <c r="F176" i="7"/>
  <c r="E176" i="7"/>
  <c r="E175" i="7"/>
  <c r="F175" i="7" s="1"/>
  <c r="F174" i="7"/>
  <c r="E174" i="7"/>
  <c r="F173" i="7"/>
  <c r="E173" i="7"/>
  <c r="F172" i="7"/>
  <c r="E172" i="7"/>
  <c r="E171" i="7"/>
  <c r="F171" i="7" s="1"/>
  <c r="F170" i="7"/>
  <c r="E170" i="7"/>
  <c r="D167" i="7"/>
  <c r="E167" i="7" s="1"/>
  <c r="C167" i="7"/>
  <c r="E166" i="7"/>
  <c r="F166" i="7" s="1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E158" i="7"/>
  <c r="F158" i="7" s="1"/>
  <c r="F157" i="7"/>
  <c r="E157" i="7"/>
  <c r="F156" i="7"/>
  <c r="E156" i="7"/>
  <c r="E155" i="7"/>
  <c r="F155" i="7" s="1"/>
  <c r="E154" i="7"/>
  <c r="F154" i="7" s="1"/>
  <c r="F153" i="7"/>
  <c r="E153" i="7"/>
  <c r="F152" i="7"/>
  <c r="E152" i="7"/>
  <c r="F151" i="7"/>
  <c r="E151" i="7"/>
  <c r="E150" i="7"/>
  <c r="F150" i="7" s="1"/>
  <c r="F149" i="7"/>
  <c r="E149" i="7"/>
  <c r="F148" i="7"/>
  <c r="E148" i="7"/>
  <c r="F147" i="7"/>
  <c r="E147" i="7"/>
  <c r="E146" i="7"/>
  <c r="F146" i="7" s="1"/>
  <c r="F145" i="7"/>
  <c r="E145" i="7"/>
  <c r="F144" i="7"/>
  <c r="E144" i="7"/>
  <c r="F143" i="7"/>
  <c r="E143" i="7"/>
  <c r="E142" i="7"/>
  <c r="F142" i="7" s="1"/>
  <c r="F141" i="7"/>
  <c r="E141" i="7"/>
  <c r="F140" i="7"/>
  <c r="E140" i="7"/>
  <c r="E139" i="7"/>
  <c r="F139" i="7" s="1"/>
  <c r="E138" i="7"/>
  <c r="F138" i="7" s="1"/>
  <c r="F137" i="7"/>
  <c r="E137" i="7"/>
  <c r="F136" i="7"/>
  <c r="E136" i="7"/>
  <c r="F135" i="7"/>
  <c r="E135" i="7"/>
  <c r="E134" i="7"/>
  <c r="F134" i="7" s="1"/>
  <c r="F133" i="7"/>
  <c r="E133" i="7"/>
  <c r="D130" i="7"/>
  <c r="E130" i="7" s="1"/>
  <c r="F130" i="7"/>
  <c r="C130" i="7"/>
  <c r="E129" i="7"/>
  <c r="F129" i="7" s="1"/>
  <c r="F128" i="7"/>
  <c r="E128" i="7"/>
  <c r="F127" i="7"/>
  <c r="E127" i="7"/>
  <c r="E126" i="7"/>
  <c r="F126" i="7" s="1"/>
  <c r="E125" i="7"/>
  <c r="F125" i="7" s="1"/>
  <c r="F124" i="7"/>
  <c r="E124" i="7"/>
  <c r="D121" i="7"/>
  <c r="E121" i="7" s="1"/>
  <c r="F121" i="7" s="1"/>
  <c r="C121" i="7"/>
  <c r="E120" i="7"/>
  <c r="F120" i="7" s="1"/>
  <c r="F119" i="7"/>
  <c r="E119" i="7"/>
  <c r="F118" i="7"/>
  <c r="E118" i="7"/>
  <c r="F117" i="7"/>
  <c r="E117" i="7"/>
  <c r="E116" i="7"/>
  <c r="F116" i="7" s="1"/>
  <c r="F115" i="7"/>
  <c r="E115" i="7"/>
  <c r="F114" i="7"/>
  <c r="E114" i="7"/>
  <c r="E113" i="7"/>
  <c r="F113" i="7" s="1"/>
  <c r="E112" i="7"/>
  <c r="F112" i="7" s="1"/>
  <c r="F111" i="7"/>
  <c r="E111" i="7"/>
  <c r="F110" i="7"/>
  <c r="E110" i="7"/>
  <c r="F109" i="7"/>
  <c r="E109" i="7"/>
  <c r="E108" i="7"/>
  <c r="F108" i="7" s="1"/>
  <c r="F107" i="7"/>
  <c r="E107" i="7"/>
  <c r="F106" i="7"/>
  <c r="E106" i="7"/>
  <c r="E105" i="7"/>
  <c r="F105" i="7" s="1"/>
  <c r="E104" i="7"/>
  <c r="F104" i="7" s="1"/>
  <c r="F103" i="7"/>
  <c r="E103" i="7"/>
  <c r="F93" i="7"/>
  <c r="E93" i="7"/>
  <c r="D90" i="7"/>
  <c r="C90" i="7"/>
  <c r="C95" i="7" s="1"/>
  <c r="F89" i="7"/>
  <c r="E89" i="7"/>
  <c r="E88" i="7"/>
  <c r="F88" i="7" s="1"/>
  <c r="F87" i="7"/>
  <c r="E87" i="7"/>
  <c r="E86" i="7"/>
  <c r="F86" i="7" s="1"/>
  <c r="E85" i="7"/>
  <c r="F85" i="7" s="1"/>
  <c r="E84" i="7"/>
  <c r="F84" i="7" s="1"/>
  <c r="F83" i="7"/>
  <c r="E83" i="7"/>
  <c r="E82" i="7"/>
  <c r="F82" i="7" s="1"/>
  <c r="E81" i="7"/>
  <c r="F81" i="7" s="1"/>
  <c r="E80" i="7"/>
  <c r="F80" i="7" s="1"/>
  <c r="F79" i="7"/>
  <c r="E79" i="7"/>
  <c r="F78" i="7"/>
  <c r="E78" i="7"/>
  <c r="F77" i="7"/>
  <c r="E77" i="7"/>
  <c r="E76" i="7"/>
  <c r="F76" i="7" s="1"/>
  <c r="F75" i="7"/>
  <c r="E75" i="7"/>
  <c r="F74" i="7"/>
  <c r="E74" i="7"/>
  <c r="E73" i="7"/>
  <c r="F73" i="7" s="1"/>
  <c r="E72" i="7"/>
  <c r="F72" i="7" s="1"/>
  <c r="F71" i="7"/>
  <c r="E71" i="7"/>
  <c r="F70" i="7"/>
  <c r="E70" i="7"/>
  <c r="E69" i="7"/>
  <c r="F69" i="7" s="1"/>
  <c r="E68" i="7"/>
  <c r="F68" i="7" s="1"/>
  <c r="F67" i="7"/>
  <c r="E67" i="7"/>
  <c r="F66" i="7"/>
  <c r="E66" i="7"/>
  <c r="E65" i="7"/>
  <c r="F65" i="7" s="1"/>
  <c r="E64" i="7"/>
  <c r="F64" i="7" s="1"/>
  <c r="F63" i="7"/>
  <c r="E63" i="7"/>
  <c r="F62" i="7"/>
  <c r="E62" i="7"/>
  <c r="D59" i="7"/>
  <c r="C59" i="7"/>
  <c r="F58" i="7"/>
  <c r="E58" i="7"/>
  <c r="F57" i="7"/>
  <c r="E57" i="7"/>
  <c r="E56" i="7"/>
  <c r="F56" i="7" s="1"/>
  <c r="E55" i="7"/>
  <c r="F55" i="7" s="1"/>
  <c r="F54" i="7"/>
  <c r="E54" i="7"/>
  <c r="E53" i="7"/>
  <c r="F53" i="7" s="1"/>
  <c r="E50" i="7"/>
  <c r="F50" i="7" s="1"/>
  <c r="E47" i="7"/>
  <c r="F47" i="7" s="1"/>
  <c r="F44" i="7"/>
  <c r="E44" i="7"/>
  <c r="D41" i="7"/>
  <c r="E41" i="7"/>
  <c r="C41" i="7"/>
  <c r="E40" i="7"/>
  <c r="F40" i="7" s="1"/>
  <c r="F39" i="7"/>
  <c r="E39" i="7"/>
  <c r="E38" i="7"/>
  <c r="F38" i="7" s="1"/>
  <c r="D35" i="7"/>
  <c r="E35" i="7"/>
  <c r="C35" i="7"/>
  <c r="F34" i="7"/>
  <c r="E34" i="7"/>
  <c r="F33" i="7"/>
  <c r="E33" i="7"/>
  <c r="D30" i="7"/>
  <c r="C30" i="7"/>
  <c r="F29" i="7"/>
  <c r="E29" i="7"/>
  <c r="F28" i="7"/>
  <c r="E28" i="7"/>
  <c r="E27" i="7"/>
  <c r="F27" i="7" s="1"/>
  <c r="D24" i="7"/>
  <c r="E24" i="7"/>
  <c r="F24" i="7"/>
  <c r="C24" i="7"/>
  <c r="F23" i="7"/>
  <c r="E23" i="7"/>
  <c r="E22" i="7"/>
  <c r="F22" i="7" s="1"/>
  <c r="E21" i="7"/>
  <c r="F21" i="7" s="1"/>
  <c r="D18" i="7"/>
  <c r="E18" i="7" s="1"/>
  <c r="C18" i="7"/>
  <c r="E17" i="7"/>
  <c r="F17" i="7" s="1"/>
  <c r="E16" i="7"/>
  <c r="F16" i="7" s="1"/>
  <c r="F15" i="7"/>
  <c r="E15" i="7"/>
  <c r="D179" i="6"/>
  <c r="E179" i="6"/>
  <c r="C179" i="6"/>
  <c r="F178" i="6"/>
  <c r="E178" i="6"/>
  <c r="F177" i="6"/>
  <c r="E177" i="6"/>
  <c r="E176" i="6"/>
  <c r="F176" i="6" s="1"/>
  <c r="F175" i="6"/>
  <c r="E175" i="6"/>
  <c r="F174" i="6"/>
  <c r="E174" i="6"/>
  <c r="E173" i="6"/>
  <c r="F173" i="6" s="1"/>
  <c r="E172" i="6"/>
  <c r="F172" i="6" s="1"/>
  <c r="F171" i="6"/>
  <c r="E171" i="6"/>
  <c r="F170" i="6"/>
  <c r="E170" i="6"/>
  <c r="F169" i="6"/>
  <c r="E169" i="6"/>
  <c r="E168" i="6"/>
  <c r="F168" i="6" s="1"/>
  <c r="D166" i="6"/>
  <c r="E166" i="6" s="1"/>
  <c r="F166" i="6" s="1"/>
  <c r="C166" i="6"/>
  <c r="F165" i="6"/>
  <c r="E165" i="6"/>
  <c r="F164" i="6"/>
  <c r="E164" i="6"/>
  <c r="F163" i="6"/>
  <c r="E163" i="6"/>
  <c r="F162" i="6"/>
  <c r="E162" i="6"/>
  <c r="F161" i="6"/>
  <c r="E161" i="6"/>
  <c r="E160" i="6"/>
  <c r="F160" i="6" s="1"/>
  <c r="F159" i="6"/>
  <c r="E159" i="6"/>
  <c r="F158" i="6"/>
  <c r="E158" i="6"/>
  <c r="E157" i="6"/>
  <c r="F157" i="6" s="1"/>
  <c r="E156" i="6"/>
  <c r="F156" i="6" s="1"/>
  <c r="F155" i="6"/>
  <c r="E155" i="6"/>
  <c r="D153" i="6"/>
  <c r="E153" i="6" s="1"/>
  <c r="F153" i="6" s="1"/>
  <c r="C153" i="6"/>
  <c r="E152" i="6"/>
  <c r="F152" i="6" s="1"/>
  <c r="F151" i="6"/>
  <c r="E151" i="6"/>
  <c r="F150" i="6"/>
  <c r="E150" i="6"/>
  <c r="F149" i="6"/>
  <c r="E149" i="6"/>
  <c r="E148" i="6"/>
  <c r="F148" i="6" s="1"/>
  <c r="F147" i="6"/>
  <c r="E147" i="6"/>
  <c r="F146" i="6"/>
  <c r="E146" i="6"/>
  <c r="E145" i="6"/>
  <c r="F145" i="6" s="1"/>
  <c r="E144" i="6"/>
  <c r="F144" i="6" s="1"/>
  <c r="F143" i="6"/>
  <c r="E143" i="6"/>
  <c r="F142" i="6"/>
  <c r="E142" i="6"/>
  <c r="D137" i="6"/>
  <c r="C137" i="6"/>
  <c r="F136" i="6"/>
  <c r="E136" i="6"/>
  <c r="F135" i="6"/>
  <c r="E135" i="6"/>
  <c r="E134" i="6"/>
  <c r="F134" i="6" s="1"/>
  <c r="E133" i="6"/>
  <c r="F133" i="6" s="1"/>
  <c r="F132" i="6"/>
  <c r="E132" i="6"/>
  <c r="F131" i="6"/>
  <c r="E131" i="6"/>
  <c r="F130" i="6"/>
  <c r="E130" i="6"/>
  <c r="E129" i="6"/>
  <c r="F129" i="6" s="1"/>
  <c r="E128" i="6"/>
  <c r="F128" i="6" s="1"/>
  <c r="F127" i="6"/>
  <c r="E127" i="6"/>
  <c r="E126" i="6"/>
  <c r="F126" i="6" s="1"/>
  <c r="D124" i="6"/>
  <c r="C124" i="6"/>
  <c r="F123" i="6"/>
  <c r="E123" i="6"/>
  <c r="F122" i="6"/>
  <c r="E122" i="6"/>
  <c r="E121" i="6"/>
  <c r="F121" i="6" s="1"/>
  <c r="E120" i="6"/>
  <c r="F120" i="6" s="1"/>
  <c r="F119" i="6"/>
  <c r="E119" i="6"/>
  <c r="E118" i="6"/>
  <c r="F118" i="6" s="1"/>
  <c r="E117" i="6"/>
  <c r="F117" i="6" s="1"/>
  <c r="E116" i="6"/>
  <c r="F116" i="6" s="1"/>
  <c r="F115" i="6"/>
  <c r="E115" i="6"/>
  <c r="E114" i="6"/>
  <c r="F114" i="6" s="1"/>
  <c r="E113" i="6"/>
  <c r="F113" i="6" s="1"/>
  <c r="D111" i="6"/>
  <c r="E111" i="6"/>
  <c r="F111" i="6"/>
  <c r="C111" i="6"/>
  <c r="E110" i="6"/>
  <c r="F110" i="6" s="1"/>
  <c r="F109" i="6"/>
  <c r="E109" i="6"/>
  <c r="E108" i="6"/>
  <c r="F108" i="6" s="1"/>
  <c r="F107" i="6"/>
  <c r="E107" i="6"/>
  <c r="E106" i="6"/>
  <c r="F106" i="6" s="1"/>
  <c r="E105" i="6"/>
  <c r="F105" i="6" s="1"/>
  <c r="E104" i="6"/>
  <c r="F104" i="6" s="1"/>
  <c r="F103" i="6"/>
  <c r="E103" i="6"/>
  <c r="E102" i="6"/>
  <c r="F102" i="6" s="1"/>
  <c r="E101" i="6"/>
  <c r="F101" i="6" s="1"/>
  <c r="E100" i="6"/>
  <c r="F100" i="6" s="1"/>
  <c r="D94" i="6"/>
  <c r="E94" i="6" s="1"/>
  <c r="C94" i="6"/>
  <c r="D93" i="6"/>
  <c r="C93" i="6"/>
  <c r="F93" i="6" s="1"/>
  <c r="D92" i="6"/>
  <c r="C92" i="6"/>
  <c r="D91" i="6"/>
  <c r="C91" i="6"/>
  <c r="D90" i="6"/>
  <c r="E90" i="6" s="1"/>
  <c r="C90" i="6"/>
  <c r="D89" i="6"/>
  <c r="C89" i="6"/>
  <c r="D88" i="6"/>
  <c r="C88" i="6"/>
  <c r="D87" i="6"/>
  <c r="C87" i="6"/>
  <c r="D86" i="6"/>
  <c r="E86" i="6" s="1"/>
  <c r="C86" i="6"/>
  <c r="D85" i="6"/>
  <c r="C85" i="6"/>
  <c r="C95" i="6" s="1"/>
  <c r="D84" i="6"/>
  <c r="C84" i="6"/>
  <c r="D81" i="6"/>
  <c r="C81" i="6"/>
  <c r="F80" i="6"/>
  <c r="E80" i="6"/>
  <c r="F79" i="6"/>
  <c r="E79" i="6"/>
  <c r="E78" i="6"/>
  <c r="F78" i="6" s="1"/>
  <c r="E77" i="6"/>
  <c r="F77" i="6" s="1"/>
  <c r="F76" i="6"/>
  <c r="E76" i="6"/>
  <c r="E75" i="6"/>
  <c r="F75" i="6" s="1"/>
  <c r="E74" i="6"/>
  <c r="F74" i="6" s="1"/>
  <c r="E73" i="6"/>
  <c r="F73" i="6" s="1"/>
  <c r="F72" i="6"/>
  <c r="E72" i="6"/>
  <c r="E71" i="6"/>
  <c r="F71" i="6" s="1"/>
  <c r="E70" i="6"/>
  <c r="F70" i="6" s="1"/>
  <c r="D68" i="6"/>
  <c r="E68" i="6"/>
  <c r="F68" i="6" s="1"/>
  <c r="C68" i="6"/>
  <c r="E67" i="6"/>
  <c r="F67" i="6" s="1"/>
  <c r="F66" i="6"/>
  <c r="E66" i="6"/>
  <c r="E65" i="6"/>
  <c r="F65" i="6" s="1"/>
  <c r="F64" i="6"/>
  <c r="E64" i="6"/>
  <c r="E63" i="6"/>
  <c r="F63" i="6" s="1"/>
  <c r="E62" i="6"/>
  <c r="F62" i="6" s="1"/>
  <c r="E61" i="6"/>
  <c r="F61" i="6" s="1"/>
  <c r="F60" i="6"/>
  <c r="E60" i="6"/>
  <c r="E59" i="6"/>
  <c r="F59" i="6" s="1"/>
  <c r="E58" i="6"/>
  <c r="F58" i="6" s="1"/>
  <c r="E57" i="6"/>
  <c r="F57" i="6" s="1"/>
  <c r="D51" i="6"/>
  <c r="C51" i="6"/>
  <c r="D50" i="6"/>
  <c r="C50" i="6"/>
  <c r="F50" i="6" s="1"/>
  <c r="D49" i="6"/>
  <c r="E49" i="6" s="1"/>
  <c r="C49" i="6"/>
  <c r="D48" i="6"/>
  <c r="C48" i="6"/>
  <c r="D47" i="6"/>
  <c r="C47" i="6"/>
  <c r="D46" i="6"/>
  <c r="C46" i="6"/>
  <c r="D45" i="6"/>
  <c r="E45" i="6" s="1"/>
  <c r="C45" i="6"/>
  <c r="D44" i="6"/>
  <c r="C44" i="6"/>
  <c r="D43" i="6"/>
  <c r="C43" i="6"/>
  <c r="D42" i="6"/>
  <c r="C42" i="6"/>
  <c r="D41" i="6"/>
  <c r="D52" i="6" s="1"/>
  <c r="C41" i="6"/>
  <c r="D38" i="6"/>
  <c r="E38" i="6" s="1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 s="1"/>
  <c r="F25" i="6" s="1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 s="1"/>
  <c r="F41" i="5" s="1"/>
  <c r="C41" i="5"/>
  <c r="F40" i="5"/>
  <c r="E40" i="5"/>
  <c r="F39" i="5"/>
  <c r="E39" i="5"/>
  <c r="F38" i="5"/>
  <c r="E38" i="5"/>
  <c r="D33" i="5"/>
  <c r="E33" i="5" s="1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 s="1"/>
  <c r="D21" i="5" s="1"/>
  <c r="C16" i="5"/>
  <c r="F15" i="5"/>
  <c r="E15" i="5"/>
  <c r="E14" i="5"/>
  <c r="F14" i="5" s="1"/>
  <c r="F13" i="5"/>
  <c r="E13" i="5"/>
  <c r="F12" i="5"/>
  <c r="E12" i="5"/>
  <c r="D73" i="4"/>
  <c r="E73" i="4" s="1"/>
  <c r="C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 s="1"/>
  <c r="D75" i="4" s="1"/>
  <c r="E65" i="4"/>
  <c r="F65" i="4" s="1"/>
  <c r="C61" i="4"/>
  <c r="C65" i="4" s="1"/>
  <c r="E60" i="4"/>
  <c r="F60" i="4" s="1"/>
  <c r="F59" i="4"/>
  <c r="E59" i="4"/>
  <c r="D56" i="4"/>
  <c r="C56" i="4"/>
  <c r="E56" i="4" s="1"/>
  <c r="C75" i="4"/>
  <c r="F55" i="4"/>
  <c r="E55" i="4"/>
  <c r="F54" i="4"/>
  <c r="E54" i="4"/>
  <c r="F53" i="4"/>
  <c r="E53" i="4"/>
  <c r="F52" i="4"/>
  <c r="E52" i="4"/>
  <c r="F51" i="4"/>
  <c r="E51" i="4"/>
  <c r="A51" i="4"/>
  <c r="A52" i="4" s="1"/>
  <c r="A53" i="4" s="1"/>
  <c r="A54" i="4" s="1"/>
  <c r="A55" i="4" s="1"/>
  <c r="E50" i="4"/>
  <c r="F50" i="4" s="1"/>
  <c r="A50" i="4"/>
  <c r="F49" i="4"/>
  <c r="E49" i="4"/>
  <c r="F40" i="4"/>
  <c r="E40" i="4"/>
  <c r="D38" i="4"/>
  <c r="E38" i="4" s="1"/>
  <c r="F38" i="4" s="1"/>
  <c r="C38" i="4"/>
  <c r="C41" i="4"/>
  <c r="E37" i="4"/>
  <c r="F37" i="4" s="1"/>
  <c r="E36" i="4"/>
  <c r="F36" i="4" s="1"/>
  <c r="F33" i="4"/>
  <c r="E33" i="4"/>
  <c r="F32" i="4"/>
  <c r="E32" i="4"/>
  <c r="F31" i="4"/>
  <c r="E31" i="4"/>
  <c r="D29" i="4"/>
  <c r="E29" i="4"/>
  <c r="F29" i="4"/>
  <c r="C29" i="4"/>
  <c r="E28" i="4"/>
  <c r="F28" i="4" s="1"/>
  <c r="F27" i="4"/>
  <c r="E27" i="4"/>
  <c r="F26" i="4"/>
  <c r="E26" i="4"/>
  <c r="F25" i="4"/>
  <c r="E25" i="4"/>
  <c r="D22" i="4"/>
  <c r="E22" i="4"/>
  <c r="C22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D108" i="22"/>
  <c r="D109" i="22"/>
  <c r="D34" i="22"/>
  <c r="D23" i="22"/>
  <c r="C109" i="22"/>
  <c r="C108" i="22"/>
  <c r="D101" i="22"/>
  <c r="D103" i="22" s="1"/>
  <c r="C22" i="22"/>
  <c r="E22" i="22"/>
  <c r="F19" i="21"/>
  <c r="F16" i="20"/>
  <c r="F44" i="20"/>
  <c r="F45" i="20"/>
  <c r="D41" i="20"/>
  <c r="E16" i="20"/>
  <c r="E19" i="20"/>
  <c r="F19" i="20" s="1"/>
  <c r="C20" i="20"/>
  <c r="C39" i="20"/>
  <c r="E39" i="20"/>
  <c r="E41" i="20" s="1"/>
  <c r="C40" i="20"/>
  <c r="E40" i="20" s="1"/>
  <c r="F40" i="20" s="1"/>
  <c r="E43" i="20"/>
  <c r="E46" i="20"/>
  <c r="F46" i="20" s="1"/>
  <c r="C46" i="20"/>
  <c r="E85" i="17"/>
  <c r="D192" i="17"/>
  <c r="E129" i="17"/>
  <c r="F129" i="17" s="1"/>
  <c r="E130" i="17"/>
  <c r="E135" i="17"/>
  <c r="F135" i="17" s="1"/>
  <c r="E145" i="17"/>
  <c r="F145" i="17" s="1"/>
  <c r="E155" i="17"/>
  <c r="F155" i="17" s="1"/>
  <c r="E294" i="17"/>
  <c r="E295" i="17"/>
  <c r="F295" i="17" s="1"/>
  <c r="E296" i="17"/>
  <c r="F296" i="17" s="1"/>
  <c r="E297" i="17"/>
  <c r="F297" i="17" s="1"/>
  <c r="E298" i="17"/>
  <c r="E299" i="17"/>
  <c r="F299" i="17" s="1"/>
  <c r="C133" i="19"/>
  <c r="E24" i="17"/>
  <c r="F24" i="17"/>
  <c r="E29" i="17"/>
  <c r="F29" i="17"/>
  <c r="C22" i="19"/>
  <c r="E33" i="18"/>
  <c r="E17" i="17"/>
  <c r="E94" i="17"/>
  <c r="F94" i="17" s="1"/>
  <c r="E100" i="17"/>
  <c r="F100" i="17" s="1"/>
  <c r="E110" i="17"/>
  <c r="F120" i="17"/>
  <c r="E164" i="17"/>
  <c r="F164" i="17" s="1"/>
  <c r="E165" i="17"/>
  <c r="F165" i="17"/>
  <c r="E170" i="17"/>
  <c r="C283" i="18"/>
  <c r="E21" i="18"/>
  <c r="D22" i="18"/>
  <c r="E37" i="18"/>
  <c r="C55" i="18"/>
  <c r="D66" i="18"/>
  <c r="D295" i="18" s="1"/>
  <c r="D77" i="18"/>
  <c r="E69" i="18"/>
  <c r="E32" i="18"/>
  <c r="E36" i="18"/>
  <c r="C289" i="18"/>
  <c r="C71" i="18"/>
  <c r="E71" i="18" s="1"/>
  <c r="C76" i="18"/>
  <c r="C259" i="18" s="1"/>
  <c r="C65" i="18"/>
  <c r="C66" i="18" s="1"/>
  <c r="E60" i="18"/>
  <c r="E70" i="18"/>
  <c r="D157" i="18"/>
  <c r="E157" i="18"/>
  <c r="E156" i="18"/>
  <c r="E289" i="18"/>
  <c r="C144" i="18"/>
  <c r="E144" i="18"/>
  <c r="D145" i="18"/>
  <c r="E151" i="18"/>
  <c r="D163" i="18"/>
  <c r="E163" i="18"/>
  <c r="C175" i="18"/>
  <c r="D180" i="18"/>
  <c r="C261" i="18"/>
  <c r="E261" i="18" s="1"/>
  <c r="C189" i="18"/>
  <c r="E188" i="18"/>
  <c r="D260" i="18"/>
  <c r="E195" i="18"/>
  <c r="E243" i="18"/>
  <c r="E245" i="18"/>
  <c r="D252" i="18"/>
  <c r="D253" i="18"/>
  <c r="C303" i="18"/>
  <c r="C306" i="18"/>
  <c r="C310" i="18" s="1"/>
  <c r="E139" i="18"/>
  <c r="E189" i="18"/>
  <c r="C229" i="18"/>
  <c r="E229" i="18" s="1"/>
  <c r="E205" i="18"/>
  <c r="C210" i="18"/>
  <c r="D234" i="18"/>
  <c r="C253" i="18"/>
  <c r="D320" i="18"/>
  <c r="E326" i="18"/>
  <c r="D330" i="18"/>
  <c r="E330" i="18" s="1"/>
  <c r="E210" i="18"/>
  <c r="D211" i="18"/>
  <c r="E215" i="18"/>
  <c r="C217" i="18"/>
  <c r="C241" i="18"/>
  <c r="E219" i="18"/>
  <c r="E221" i="18"/>
  <c r="C223" i="18"/>
  <c r="C252" i="18"/>
  <c r="C254" i="18"/>
  <c r="E265" i="18"/>
  <c r="E314" i="18"/>
  <c r="E216" i="18"/>
  <c r="E220" i="18"/>
  <c r="C222" i="18"/>
  <c r="C246" i="18"/>
  <c r="E233" i="18"/>
  <c r="E251" i="18"/>
  <c r="E301" i="18"/>
  <c r="E324" i="18"/>
  <c r="D32" i="17"/>
  <c r="F17" i="17"/>
  <c r="D21" i="17"/>
  <c r="D48" i="17"/>
  <c r="D60" i="17"/>
  <c r="E77" i="17"/>
  <c r="C103" i="17"/>
  <c r="C194" i="17"/>
  <c r="C195" i="17" s="1"/>
  <c r="E146" i="17"/>
  <c r="C173" i="17"/>
  <c r="C282" i="17"/>
  <c r="C266" i="17"/>
  <c r="E20" i="17"/>
  <c r="F20" i="17"/>
  <c r="C21" i="17"/>
  <c r="E30" i="17"/>
  <c r="F30" i="17" s="1"/>
  <c r="C207" i="17"/>
  <c r="C138" i="17"/>
  <c r="F146" i="17"/>
  <c r="E172" i="17"/>
  <c r="F172" i="17"/>
  <c r="D173" i="17"/>
  <c r="E173" i="17" s="1"/>
  <c r="C37" i="17"/>
  <c r="E66" i="17"/>
  <c r="F66" i="17" s="1"/>
  <c r="E76" i="17"/>
  <c r="F76" i="17" s="1"/>
  <c r="F85" i="17"/>
  <c r="F110" i="17"/>
  <c r="D124" i="17"/>
  <c r="F130" i="17"/>
  <c r="F170" i="17"/>
  <c r="D277" i="17"/>
  <c r="D261" i="17"/>
  <c r="D214" i="17"/>
  <c r="D278" i="17"/>
  <c r="D262" i="17"/>
  <c r="D215" i="17"/>
  <c r="D190" i="17"/>
  <c r="D280" i="17"/>
  <c r="D264" i="17"/>
  <c r="D193" i="17"/>
  <c r="D283" i="17"/>
  <c r="D267" i="17"/>
  <c r="E203" i="17"/>
  <c r="F203" i="17" s="1"/>
  <c r="E88" i="17"/>
  <c r="F88" i="17"/>
  <c r="E101" i="17"/>
  <c r="F101" i="17" s="1"/>
  <c r="E123" i="17"/>
  <c r="F123" i="17"/>
  <c r="C124" i="17"/>
  <c r="E136" i="17"/>
  <c r="F136" i="17"/>
  <c r="E144" i="17"/>
  <c r="F144" i="17" s="1"/>
  <c r="E158" i="17"/>
  <c r="F158" i="17" s="1"/>
  <c r="E171" i="17"/>
  <c r="F171" i="17" s="1"/>
  <c r="E179" i="17"/>
  <c r="F179" i="17"/>
  <c r="C277" i="17"/>
  <c r="C261" i="17"/>
  <c r="C254" i="17"/>
  <c r="C214" i="17"/>
  <c r="C304" i="17"/>
  <c r="C206" i="17"/>
  <c r="E188" i="17"/>
  <c r="F188" i="17"/>
  <c r="C278" i="17"/>
  <c r="C262" i="17"/>
  <c r="C255" i="17"/>
  <c r="E189" i="17"/>
  <c r="F189" i="17" s="1"/>
  <c r="C190" i="17"/>
  <c r="C280" i="17"/>
  <c r="C264" i="17"/>
  <c r="C200" i="17"/>
  <c r="E191" i="17"/>
  <c r="F191" i="17" s="1"/>
  <c r="C192" i="17"/>
  <c r="D290" i="17"/>
  <c r="E290" i="17"/>
  <c r="F290" i="17" s="1"/>
  <c r="D274" i="17"/>
  <c r="E198" i="17"/>
  <c r="F198" i="17"/>
  <c r="D199" i="17"/>
  <c r="D200" i="17"/>
  <c r="D285" i="17"/>
  <c r="D269" i="17"/>
  <c r="D205" i="17"/>
  <c r="E206" i="17"/>
  <c r="D227" i="17"/>
  <c r="E227" i="17"/>
  <c r="F227" i="17"/>
  <c r="D239" i="17"/>
  <c r="E239" i="17" s="1"/>
  <c r="F239" i="17" s="1"/>
  <c r="C199" i="17"/>
  <c r="C205" i="17"/>
  <c r="E250" i="17"/>
  <c r="F250" i="17" s="1"/>
  <c r="C267" i="17"/>
  <c r="C274" i="17"/>
  <c r="F294" i="17"/>
  <c r="F298" i="17"/>
  <c r="F36" i="14"/>
  <c r="F38" i="14" s="1"/>
  <c r="F40" i="14" s="1"/>
  <c r="I31" i="14"/>
  <c r="I17" i="14"/>
  <c r="D31" i="14"/>
  <c r="F31" i="14"/>
  <c r="H31" i="14" s="1"/>
  <c r="C33" i="14"/>
  <c r="E33" i="14"/>
  <c r="E36" i="14" s="1"/>
  <c r="E38" i="14"/>
  <c r="E40" i="14" s="1"/>
  <c r="G33" i="14"/>
  <c r="H17" i="14"/>
  <c r="D21" i="13"/>
  <c r="C21" i="13"/>
  <c r="E21" i="13"/>
  <c r="D15" i="13"/>
  <c r="D48" i="13"/>
  <c r="D42" i="13" s="1"/>
  <c r="C15" i="13"/>
  <c r="E15" i="13"/>
  <c r="C48" i="13"/>
  <c r="C42" i="13" s="1"/>
  <c r="E48" i="13"/>
  <c r="E42" i="13" s="1"/>
  <c r="D20" i="12"/>
  <c r="E17" i="12"/>
  <c r="F17" i="12"/>
  <c r="E15" i="12"/>
  <c r="F15" i="12" s="1"/>
  <c r="F65" i="11"/>
  <c r="F73" i="11"/>
  <c r="E22" i="11"/>
  <c r="F22" i="11" s="1"/>
  <c r="E38" i="11"/>
  <c r="F38" i="11" s="1"/>
  <c r="E56" i="11"/>
  <c r="F56" i="11"/>
  <c r="E61" i="11"/>
  <c r="F61" i="11"/>
  <c r="F122" i="10"/>
  <c r="F117" i="10"/>
  <c r="F118" i="10"/>
  <c r="F120" i="10"/>
  <c r="E112" i="10"/>
  <c r="F112" i="10"/>
  <c r="E113" i="10"/>
  <c r="F113" i="10" s="1"/>
  <c r="E198" i="9"/>
  <c r="F198" i="9"/>
  <c r="E199" i="9"/>
  <c r="F199" i="9" s="1"/>
  <c r="E20" i="8"/>
  <c r="C140" i="8"/>
  <c r="C138" i="8"/>
  <c r="C136" i="8"/>
  <c r="C139" i="8"/>
  <c r="C141" i="8" s="1"/>
  <c r="C137" i="8"/>
  <c r="C135" i="8"/>
  <c r="D157" i="8"/>
  <c r="E135" i="8"/>
  <c r="D139" i="8"/>
  <c r="D137" i="8"/>
  <c r="D135" i="8"/>
  <c r="D140" i="8"/>
  <c r="D138" i="8"/>
  <c r="D136" i="8"/>
  <c r="E49" i="8"/>
  <c r="C17" i="8"/>
  <c r="E17" i="8"/>
  <c r="C43" i="8"/>
  <c r="E43" i="8"/>
  <c r="D49" i="8"/>
  <c r="C53" i="8"/>
  <c r="E53" i="8"/>
  <c r="D77" i="8"/>
  <c r="D71" i="8" s="1"/>
  <c r="C49" i="8"/>
  <c r="E90" i="7"/>
  <c r="F90" i="7" s="1"/>
  <c r="E183" i="7"/>
  <c r="F183" i="7"/>
  <c r="F179" i="6"/>
  <c r="E41" i="6"/>
  <c r="F41" i="6"/>
  <c r="E16" i="5"/>
  <c r="D41" i="4"/>
  <c r="F56" i="4"/>
  <c r="E61" i="4"/>
  <c r="F61" i="4" s="1"/>
  <c r="C53" i="22"/>
  <c r="C45" i="22"/>
  <c r="C110" i="22"/>
  <c r="D36" i="22"/>
  <c r="D30" i="22"/>
  <c r="D56" i="22" s="1"/>
  <c r="D111" i="22"/>
  <c r="E53" i="22"/>
  <c r="E45" i="22"/>
  <c r="E20" i="20"/>
  <c r="F20" i="20" s="1"/>
  <c r="F39" i="20"/>
  <c r="C41" i="20"/>
  <c r="F41" i="20" s="1"/>
  <c r="F43" i="20"/>
  <c r="D235" i="18"/>
  <c r="E260" i="18"/>
  <c r="D181" i="18"/>
  <c r="D169" i="18"/>
  <c r="C180" i="18"/>
  <c r="E180" i="18" s="1"/>
  <c r="C145" i="18"/>
  <c r="E145" i="18" s="1"/>
  <c r="C168" i="18"/>
  <c r="C294" i="18"/>
  <c r="D122" i="18"/>
  <c r="D115" i="18"/>
  <c r="D113" i="18"/>
  <c r="D111" i="18"/>
  <c r="D109" i="18"/>
  <c r="D121" i="18"/>
  <c r="D114" i="18"/>
  <c r="D112" i="18"/>
  <c r="D110" i="18"/>
  <c r="D284" i="18"/>
  <c r="E22" i="18"/>
  <c r="C211" i="18"/>
  <c r="C234" i="18"/>
  <c r="E234" i="18" s="1"/>
  <c r="E253" i="18"/>
  <c r="E199" i="17"/>
  <c r="E274" i="17"/>
  <c r="C281" i="17"/>
  <c r="E281" i="17" s="1"/>
  <c r="F206" i="17"/>
  <c r="C287" i="17"/>
  <c r="C284" i="17"/>
  <c r="D270" i="17"/>
  <c r="E193" i="17"/>
  <c r="F193" i="17" s="1"/>
  <c r="D194" i="17"/>
  <c r="E194" i="17" s="1"/>
  <c r="E280" i="17"/>
  <c r="F280" i="17"/>
  <c r="D255" i="17"/>
  <c r="E255" i="17"/>
  <c r="E278" i="17"/>
  <c r="F278" i="17"/>
  <c r="D271" i="17"/>
  <c r="D268" i="17"/>
  <c r="E261" i="17"/>
  <c r="F261" i="17"/>
  <c r="D263" i="17"/>
  <c r="E124" i="17"/>
  <c r="F124" i="17" s="1"/>
  <c r="E192" i="17"/>
  <c r="F192" i="17" s="1"/>
  <c r="F173" i="17"/>
  <c r="D61" i="17"/>
  <c r="D266" i="17"/>
  <c r="E266" i="17"/>
  <c r="F266" i="17" s="1"/>
  <c r="F274" i="17"/>
  <c r="F199" i="17"/>
  <c r="C300" i="17"/>
  <c r="C265" i="17"/>
  <c r="C268" i="17"/>
  <c r="E268" i="17" s="1"/>
  <c r="C263" i="17"/>
  <c r="E283" i="17"/>
  <c r="F283" i="17"/>
  <c r="D286" i="17"/>
  <c r="D300" i="17"/>
  <c r="E300" i="17"/>
  <c r="E264" i="17"/>
  <c r="F264" i="17" s="1"/>
  <c r="E190" i="17"/>
  <c r="F190" i="17"/>
  <c r="D272" i="17"/>
  <c r="E262" i="17"/>
  <c r="F262" i="17"/>
  <c r="E214" i="17"/>
  <c r="F214" i="17" s="1"/>
  <c r="D254" i="17"/>
  <c r="D216" i="17"/>
  <c r="D287" i="17"/>
  <c r="D284" i="17"/>
  <c r="E284" i="17"/>
  <c r="F284" i="17" s="1"/>
  <c r="D279" i="17"/>
  <c r="E277" i="17"/>
  <c r="F277" i="17"/>
  <c r="C125" i="17"/>
  <c r="C196" i="17"/>
  <c r="C126" i="17"/>
  <c r="C49" i="17"/>
  <c r="F194" i="17"/>
  <c r="D125" i="17"/>
  <c r="E125" i="17" s="1"/>
  <c r="F125" i="17" s="1"/>
  <c r="D196" i="17"/>
  <c r="D161" i="17"/>
  <c r="D162" i="17" s="1"/>
  <c r="D126" i="17"/>
  <c r="D91" i="17"/>
  <c r="E21" i="17"/>
  <c r="F21" i="17"/>
  <c r="D282" i="17"/>
  <c r="E282" i="17" s="1"/>
  <c r="F282" i="17"/>
  <c r="D62" i="17"/>
  <c r="D175" i="17"/>
  <c r="G36" i="14"/>
  <c r="G38" i="14"/>
  <c r="G40" i="14" s="1"/>
  <c r="D24" i="13"/>
  <c r="D20" i="13"/>
  <c r="D17" i="13"/>
  <c r="D28" i="13" s="1"/>
  <c r="D70" i="13" s="1"/>
  <c r="E24" i="13"/>
  <c r="E20" i="13" s="1"/>
  <c r="E17" i="13"/>
  <c r="E28" i="13" s="1"/>
  <c r="E70" i="13" s="1"/>
  <c r="E72" i="13" s="1"/>
  <c r="E69" i="13" s="1"/>
  <c r="C24" i="13"/>
  <c r="C20" i="13"/>
  <c r="C17" i="13"/>
  <c r="C28" i="13" s="1"/>
  <c r="C70" i="13" s="1"/>
  <c r="D34" i="12"/>
  <c r="E112" i="8"/>
  <c r="E111" i="8" s="1"/>
  <c r="E28" i="8"/>
  <c r="E99" i="8" s="1"/>
  <c r="E101" i="8" s="1"/>
  <c r="E98" i="8" s="1"/>
  <c r="C112" i="8"/>
  <c r="C111" i="8" s="1"/>
  <c r="C28" i="8"/>
  <c r="C99" i="8" s="1"/>
  <c r="C101" i="8" s="1"/>
  <c r="C98" i="8" s="1"/>
  <c r="D35" i="5"/>
  <c r="D38" i="22"/>
  <c r="D113" i="22"/>
  <c r="D265" i="17"/>
  <c r="E211" i="18"/>
  <c r="C169" i="18"/>
  <c r="C181" i="18"/>
  <c r="E169" i="18"/>
  <c r="E181" i="18"/>
  <c r="E126" i="17"/>
  <c r="F126" i="17"/>
  <c r="D127" i="17"/>
  <c r="E127" i="17" s="1"/>
  <c r="F127" i="17" s="1"/>
  <c r="D197" i="17"/>
  <c r="D176" i="17"/>
  <c r="D92" i="17"/>
  <c r="C50" i="17"/>
  <c r="C127" i="17"/>
  <c r="E287" i="17"/>
  <c r="E263" i="17"/>
  <c r="F263" i="17" s="1"/>
  <c r="F287" i="17"/>
  <c r="D63" i="17"/>
  <c r="F300" i="17"/>
  <c r="D174" i="17"/>
  <c r="D304" i="17"/>
  <c r="D273" i="17"/>
  <c r="D281" i="17"/>
  <c r="C72" i="13"/>
  <c r="C69" i="13"/>
  <c r="C22" i="13"/>
  <c r="D72" i="13"/>
  <c r="D69" i="13" s="1"/>
  <c r="D22" i="13"/>
  <c r="C22" i="8"/>
  <c r="D43" i="5"/>
  <c r="D50" i="5" s="1"/>
  <c r="E304" i="17"/>
  <c r="F304" i="17" s="1"/>
  <c r="D183" i="17" l="1"/>
  <c r="D323" i="17"/>
  <c r="F255" i="17"/>
  <c r="D242" i="18"/>
  <c r="E242" i="18" s="1"/>
  <c r="D217" i="18"/>
  <c r="D222" i="18"/>
  <c r="E22" i="8"/>
  <c r="E265" i="17"/>
  <c r="E66" i="18"/>
  <c r="C295" i="18"/>
  <c r="E295" i="18" s="1"/>
  <c r="F75" i="4"/>
  <c r="E75" i="4"/>
  <c r="E42" i="6"/>
  <c r="F42" i="6" s="1"/>
  <c r="E46" i="6"/>
  <c r="F46" i="6"/>
  <c r="C21" i="8"/>
  <c r="C20" i="8"/>
  <c r="E136" i="8"/>
  <c r="E139" i="8"/>
  <c r="E137" i="8"/>
  <c r="E140" i="8"/>
  <c r="E138" i="8"/>
  <c r="F72" i="10"/>
  <c r="E72" i="10"/>
  <c r="E20" i="12"/>
  <c r="F20" i="12" s="1"/>
  <c r="C34" i="12"/>
  <c r="E35" i="17"/>
  <c r="F35" i="17" s="1"/>
  <c r="D37" i="17"/>
  <c r="E37" i="17" s="1"/>
  <c r="F37" i="17" s="1"/>
  <c r="D207" i="17"/>
  <c r="E137" i="17"/>
  <c r="F137" i="17" s="1"/>
  <c r="D138" i="17"/>
  <c r="D160" i="17"/>
  <c r="E48" i="17"/>
  <c r="F48" i="17" s="1"/>
  <c r="D49" i="17"/>
  <c r="D195" i="17"/>
  <c r="E195" i="17" s="1"/>
  <c r="F195" i="17" s="1"/>
  <c r="D90" i="17"/>
  <c r="C263" i="18"/>
  <c r="C284" i="18"/>
  <c r="E55" i="18"/>
  <c r="E157" i="8"/>
  <c r="E155" i="8"/>
  <c r="E153" i="8"/>
  <c r="E154" i="8"/>
  <c r="E152" i="8"/>
  <c r="D156" i="8"/>
  <c r="D154" i="8"/>
  <c r="D152" i="8"/>
  <c r="D153" i="8"/>
  <c r="F281" i="17"/>
  <c r="E254" i="17"/>
  <c r="F254" i="17" s="1"/>
  <c r="D141" i="8"/>
  <c r="D254" i="18"/>
  <c r="E254" i="18" s="1"/>
  <c r="E252" i="18"/>
  <c r="F86" i="6"/>
  <c r="F90" i="6"/>
  <c r="F94" i="6"/>
  <c r="E41" i="4"/>
  <c r="F41" i="4" s="1"/>
  <c r="D43" i="4"/>
  <c r="D116" i="18"/>
  <c r="E22" i="13"/>
  <c r="C235" i="18"/>
  <c r="E235" i="18" s="1"/>
  <c r="C270" i="17"/>
  <c r="E270" i="17" s="1"/>
  <c r="C271" i="17"/>
  <c r="E267" i="17"/>
  <c r="F267" i="17" s="1"/>
  <c r="E44" i="6"/>
  <c r="F44" i="6" s="1"/>
  <c r="E48" i="6"/>
  <c r="F48" i="6" s="1"/>
  <c r="E81" i="6"/>
  <c r="F81" i="6"/>
  <c r="D25" i="8"/>
  <c r="D27" i="8" s="1"/>
  <c r="D15" i="8"/>
  <c r="E41" i="11"/>
  <c r="F41" i="11" s="1"/>
  <c r="E23" i="17"/>
  <c r="F23" i="17" s="1"/>
  <c r="E31" i="17"/>
  <c r="F31" i="17" s="1"/>
  <c r="C32" i="17"/>
  <c r="E89" i="17"/>
  <c r="F89" i="17" s="1"/>
  <c r="C90" i="17"/>
  <c r="C91" i="17"/>
  <c r="E102" i="17"/>
  <c r="F102" i="17" s="1"/>
  <c r="D103" i="17"/>
  <c r="C285" i="17"/>
  <c r="C215" i="17"/>
  <c r="E204" i="17"/>
  <c r="F204" i="17" s="1"/>
  <c r="C269" i="17"/>
  <c r="C208" i="17"/>
  <c r="F265" i="17"/>
  <c r="D110" i="22"/>
  <c r="D53" i="22"/>
  <c r="D39" i="22"/>
  <c r="D29" i="22"/>
  <c r="D45" i="22"/>
  <c r="D42" i="12"/>
  <c r="E34" i="12"/>
  <c r="E218" i="18"/>
  <c r="E316" i="18"/>
  <c r="D35" i="22"/>
  <c r="F73" i="4"/>
  <c r="D95" i="7"/>
  <c r="E95" i="7" s="1"/>
  <c r="F95" i="7" s="1"/>
  <c r="H33" i="14"/>
  <c r="H36" i="14" s="1"/>
  <c r="H38" i="14" s="1"/>
  <c r="H40" i="14" s="1"/>
  <c r="C36" i="14"/>
  <c r="C38" i="14" s="1"/>
  <c r="C40" i="14" s="1"/>
  <c r="I33" i="14"/>
  <c r="I36" i="14" s="1"/>
  <c r="I38" i="14" s="1"/>
  <c r="I40" i="14" s="1"/>
  <c r="F268" i="17"/>
  <c r="E196" i="17"/>
  <c r="F196" i="17" s="1"/>
  <c r="C77" i="18"/>
  <c r="D155" i="8"/>
  <c r="F205" i="17"/>
  <c r="E205" i="17"/>
  <c r="E269" i="17"/>
  <c r="C18" i="5"/>
  <c r="F16" i="5"/>
  <c r="F88" i="6"/>
  <c r="D48" i="22"/>
  <c r="E200" i="17"/>
  <c r="F200" i="17" s="1"/>
  <c r="E320" i="18"/>
  <c r="E39" i="22"/>
  <c r="E35" i="22"/>
  <c r="E29" i="22"/>
  <c r="C52" i="6"/>
  <c r="F45" i="6"/>
  <c r="F49" i="6"/>
  <c r="E87" i="6"/>
  <c r="F87" i="6" s="1"/>
  <c r="E91" i="6"/>
  <c r="F91" i="6"/>
  <c r="C279" i="17"/>
  <c r="D288" i="17"/>
  <c r="D289" i="17" s="1"/>
  <c r="C39" i="22"/>
  <c r="C35" i="22"/>
  <c r="C29" i="22"/>
  <c r="D54" i="22"/>
  <c r="D46" i="22"/>
  <c r="D40" i="22"/>
  <c r="E124" i="6"/>
  <c r="F124" i="6" s="1"/>
  <c r="F18" i="7"/>
  <c r="F22" i="4"/>
  <c r="E50" i="6"/>
  <c r="D95" i="6"/>
  <c r="E95" i="6" s="1"/>
  <c r="F95" i="6" s="1"/>
  <c r="E84" i="6"/>
  <c r="F84" i="6" s="1"/>
  <c r="E88" i="6"/>
  <c r="E92" i="6"/>
  <c r="F92" i="6" s="1"/>
  <c r="F167" i="7"/>
  <c r="E59" i="10"/>
  <c r="F59" i="10" s="1"/>
  <c r="E284" i="18"/>
  <c r="C247" i="18"/>
  <c r="F47" i="6"/>
  <c r="E85" i="6"/>
  <c r="F85" i="6"/>
  <c r="E89" i="6"/>
  <c r="F89" i="6"/>
  <c r="D127" i="18"/>
  <c r="D126" i="18"/>
  <c r="D125" i="18"/>
  <c r="D124" i="18"/>
  <c r="D123" i="18"/>
  <c r="E43" i="6"/>
  <c r="F43" i="6" s="1"/>
  <c r="E47" i="6"/>
  <c r="E51" i="6"/>
  <c r="F51" i="6" s="1"/>
  <c r="E93" i="6"/>
  <c r="E137" i="6"/>
  <c r="F137" i="6" s="1"/>
  <c r="D111" i="17"/>
  <c r="E111" i="17" s="1"/>
  <c r="E109" i="17"/>
  <c r="F109" i="17" s="1"/>
  <c r="E180" i="17"/>
  <c r="F180" i="17"/>
  <c r="E76" i="18"/>
  <c r="E65" i="18"/>
  <c r="C43" i="4"/>
  <c r="F35" i="7"/>
  <c r="F41" i="7"/>
  <c r="F193" i="9"/>
  <c r="E36" i="10"/>
  <c r="F36" i="10"/>
  <c r="F17" i="16"/>
  <c r="F59" i="17"/>
  <c r="C60" i="17"/>
  <c r="E306" i="17"/>
  <c r="F30" i="7"/>
  <c r="E90" i="8"/>
  <c r="E86" i="8" s="1"/>
  <c r="D208" i="9"/>
  <c r="E208" i="9" s="1"/>
  <c r="F208" i="9" s="1"/>
  <c r="E77" i="22"/>
  <c r="E101" i="22"/>
  <c r="E103" i="22" s="1"/>
  <c r="E30" i="7"/>
  <c r="E59" i="7"/>
  <c r="F59" i="7" s="1"/>
  <c r="F200" i="9"/>
  <c r="F206" i="9"/>
  <c r="E239" i="18"/>
  <c r="F23" i="9"/>
  <c r="E127" i="9"/>
  <c r="F127" i="9" s="1"/>
  <c r="F154" i="9"/>
  <c r="C181" i="17"/>
  <c r="D303" i="18"/>
  <c r="C166" i="8"/>
  <c r="F50" i="9"/>
  <c r="F75" i="9"/>
  <c r="F35" i="10"/>
  <c r="F67" i="17"/>
  <c r="E203" i="9"/>
  <c r="F203" i="9" s="1"/>
  <c r="F16" i="15"/>
  <c r="E59" i="17"/>
  <c r="C159" i="17"/>
  <c r="D168" i="18"/>
  <c r="E168" i="18" s="1"/>
  <c r="F201" i="9"/>
  <c r="F95" i="10"/>
  <c r="F114" i="10"/>
  <c r="C43" i="11"/>
  <c r="E43" i="11" s="1"/>
  <c r="C68" i="17"/>
  <c r="E68" i="17" s="1"/>
  <c r="F307" i="17"/>
  <c r="D43" i="18"/>
  <c r="E25" i="20"/>
  <c r="F25" i="20" s="1"/>
  <c r="F96" i="10"/>
  <c r="D121" i="10"/>
  <c r="E121" i="10" s="1"/>
  <c r="F121" i="10" s="1"/>
  <c r="F100" i="15"/>
  <c r="E44" i="17"/>
  <c r="F44" i="17" s="1"/>
  <c r="D181" i="17"/>
  <c r="F229" i="17"/>
  <c r="D294" i="18"/>
  <c r="E294" i="18" s="1"/>
  <c r="E38" i="18"/>
  <c r="F205" i="9"/>
  <c r="D75" i="11"/>
  <c r="E75" i="11" s="1"/>
  <c r="F75" i="11" s="1"/>
  <c r="D61" i="13"/>
  <c r="D57" i="13" s="1"/>
  <c r="C50" i="13"/>
  <c r="E30" i="15"/>
  <c r="F30" i="15" s="1"/>
  <c r="E67" i="17"/>
  <c r="C44" i="18"/>
  <c r="C207" i="9"/>
  <c r="E205" i="9"/>
  <c r="F116" i="10"/>
  <c r="F32" i="12"/>
  <c r="F13" i="16"/>
  <c r="E36" i="17"/>
  <c r="F36" i="17" s="1"/>
  <c r="F53" i="17"/>
  <c r="C111" i="17"/>
  <c r="F230" i="17"/>
  <c r="C102" i="22"/>
  <c r="C101" i="22"/>
  <c r="C103" i="22" s="1"/>
  <c r="C23" i="22"/>
  <c r="F107" i="10"/>
  <c r="F47" i="17"/>
  <c r="E23" i="22"/>
  <c r="E33" i="22"/>
  <c r="C36" i="22" l="1"/>
  <c r="C30" i="22"/>
  <c r="C111" i="22"/>
  <c r="C54" i="22"/>
  <c r="C40" i="22"/>
  <c r="C46" i="22"/>
  <c r="E158" i="8"/>
  <c r="E90" i="17"/>
  <c r="D208" i="17"/>
  <c r="E207" i="17"/>
  <c r="F207" i="17" s="1"/>
  <c r="C61" i="17"/>
  <c r="E60" i="17"/>
  <c r="F60" i="17"/>
  <c r="E77" i="18"/>
  <c r="C123" i="18"/>
  <c r="E123" i="18" s="1"/>
  <c r="C113" i="18"/>
  <c r="E113" i="18" s="1"/>
  <c r="C127" i="18"/>
  <c r="E127" i="18" s="1"/>
  <c r="C109" i="18"/>
  <c r="C112" i="18"/>
  <c r="E112" i="18" s="1"/>
  <c r="C122" i="18"/>
  <c r="C121" i="18"/>
  <c r="C114" i="18"/>
  <c r="E114" i="18" s="1"/>
  <c r="C111" i="18"/>
  <c r="E111" i="18" s="1"/>
  <c r="C110" i="18"/>
  <c r="C126" i="18"/>
  <c r="E126" i="18" s="1"/>
  <c r="C125" i="18"/>
  <c r="E125" i="18" s="1"/>
  <c r="C124" i="18"/>
  <c r="E124" i="18" s="1"/>
  <c r="C115" i="18"/>
  <c r="E115" i="18" s="1"/>
  <c r="D47" i="22"/>
  <c r="D37" i="22"/>
  <c r="D55" i="22"/>
  <c r="D112" i="22"/>
  <c r="E91" i="17"/>
  <c r="F91" i="17" s="1"/>
  <c r="C92" i="17"/>
  <c r="C55" i="22"/>
  <c r="C47" i="22"/>
  <c r="C37" i="22"/>
  <c r="C112" i="22"/>
  <c r="E207" i="9"/>
  <c r="F207" i="9"/>
  <c r="E108" i="22"/>
  <c r="E109" i="22"/>
  <c r="E110" i="22"/>
  <c r="D291" i="17"/>
  <c r="F52" i="6"/>
  <c r="F90" i="17"/>
  <c r="E49" i="17"/>
  <c r="F49" i="17" s="1"/>
  <c r="D50" i="17"/>
  <c r="F111" i="17"/>
  <c r="C96" i="18"/>
  <c r="C102" i="18" s="1"/>
  <c r="C95" i="18"/>
  <c r="C89" i="18"/>
  <c r="C88" i="18"/>
  <c r="C85" i="18"/>
  <c r="C84" i="18"/>
  <c r="C83" i="18"/>
  <c r="C258" i="18"/>
  <c r="C101" i="18"/>
  <c r="C100" i="18"/>
  <c r="C87" i="18"/>
  <c r="C99" i="18"/>
  <c r="C98" i="18"/>
  <c r="C97" i="18"/>
  <c r="C86" i="18"/>
  <c r="E52" i="6"/>
  <c r="E55" i="22"/>
  <c r="E47" i="22"/>
  <c r="E37" i="22"/>
  <c r="E112" i="22"/>
  <c r="F269" i="17"/>
  <c r="C272" i="17"/>
  <c r="D117" i="18"/>
  <c r="C42" i="12"/>
  <c r="F34" i="12"/>
  <c r="E141" i="8"/>
  <c r="D259" i="18"/>
  <c r="E43" i="18"/>
  <c r="D44" i="18"/>
  <c r="E18" i="5"/>
  <c r="F18" i="5" s="1"/>
  <c r="C21" i="5"/>
  <c r="C157" i="8"/>
  <c r="C155" i="8"/>
  <c r="C156" i="8"/>
  <c r="C154" i="8"/>
  <c r="C153" i="8"/>
  <c r="C152" i="8"/>
  <c r="C158" i="8" s="1"/>
  <c r="E279" i="17"/>
  <c r="F279" i="17" s="1"/>
  <c r="C216" i="17"/>
  <c r="E215" i="17"/>
  <c r="F215" i="17" s="1"/>
  <c r="D24" i="8"/>
  <c r="D17" i="8"/>
  <c r="E43" i="4"/>
  <c r="F43" i="4" s="1"/>
  <c r="D158" i="8"/>
  <c r="D241" i="18"/>
  <c r="E241" i="18" s="1"/>
  <c r="E217" i="18"/>
  <c r="E111" i="22"/>
  <c r="E54" i="22"/>
  <c r="E30" i="22"/>
  <c r="E36" i="22"/>
  <c r="E46" i="22"/>
  <c r="E40" i="22"/>
  <c r="C160" i="17"/>
  <c r="E160" i="17" s="1"/>
  <c r="E159" i="17"/>
  <c r="F159" i="17" s="1"/>
  <c r="C161" i="17"/>
  <c r="E222" i="18"/>
  <c r="D246" i="18"/>
  <c r="E246" i="18" s="1"/>
  <c r="D223" i="18"/>
  <c r="E181" i="17"/>
  <c r="F181" i="17" s="1"/>
  <c r="F68" i="17"/>
  <c r="D306" i="18"/>
  <c r="E303" i="18"/>
  <c r="D128" i="18"/>
  <c r="F285" i="17"/>
  <c r="C286" i="17"/>
  <c r="C288" i="17"/>
  <c r="E285" i="17"/>
  <c r="C175" i="17"/>
  <c r="E32" i="17"/>
  <c r="F32" i="17" s="1"/>
  <c r="C140" i="17"/>
  <c r="C105" i="17"/>
  <c r="C210" i="17"/>
  <c r="C62" i="17"/>
  <c r="D21" i="8"/>
  <c r="D20" i="8"/>
  <c r="C273" i="17"/>
  <c r="E271" i="17"/>
  <c r="F271" i="17" s="1"/>
  <c r="E138" i="17"/>
  <c r="F138" i="17" s="1"/>
  <c r="D139" i="17"/>
  <c r="D140" i="17"/>
  <c r="F43" i="11"/>
  <c r="E42" i="12"/>
  <c r="D49" i="12"/>
  <c r="E103" i="17"/>
  <c r="F103" i="17" s="1"/>
  <c r="D104" i="17"/>
  <c r="D105" i="17"/>
  <c r="F270" i="17"/>
  <c r="E175" i="17" l="1"/>
  <c r="F175" i="17"/>
  <c r="C176" i="17"/>
  <c r="E306" i="18"/>
  <c r="D310" i="18"/>
  <c r="E310" i="18" s="1"/>
  <c r="E140" i="17"/>
  <c r="D141" i="17"/>
  <c r="F216" i="17"/>
  <c r="E216" i="17"/>
  <c r="E109" i="18"/>
  <c r="C35" i="5"/>
  <c r="E21" i="5"/>
  <c r="F21" i="5" s="1"/>
  <c r="C209" i="17"/>
  <c r="C174" i="17"/>
  <c r="C104" i="17"/>
  <c r="E61" i="17"/>
  <c r="C139" i="17"/>
  <c r="F61" i="17"/>
  <c r="E105" i="17"/>
  <c r="D106" i="17"/>
  <c r="F286" i="17"/>
  <c r="E286" i="17"/>
  <c r="D247" i="18"/>
  <c r="E247" i="18" s="1"/>
  <c r="E223" i="18"/>
  <c r="F42" i="12"/>
  <c r="C49" i="12"/>
  <c r="C103" i="18"/>
  <c r="E291" i="17"/>
  <c r="D305" i="17"/>
  <c r="C116" i="18"/>
  <c r="E116" i="18" s="1"/>
  <c r="E110" i="18"/>
  <c r="F288" i="17"/>
  <c r="C291" i="17"/>
  <c r="C289" i="17"/>
  <c r="C106" i="17"/>
  <c r="F105" i="17"/>
  <c r="E208" i="17"/>
  <c r="F208" i="17" s="1"/>
  <c r="D209" i="17"/>
  <c r="D210" i="17"/>
  <c r="D129" i="18"/>
  <c r="D28" i="8"/>
  <c r="D112" i="8"/>
  <c r="D111" i="8" s="1"/>
  <c r="D101" i="18"/>
  <c r="E101" i="18" s="1"/>
  <c r="D84" i="18"/>
  <c r="D85" i="18"/>
  <c r="E85" i="18" s="1"/>
  <c r="D99" i="18"/>
  <c r="E99" i="18" s="1"/>
  <c r="D100" i="18"/>
  <c r="E100" i="18" s="1"/>
  <c r="D83" i="18"/>
  <c r="D97" i="18"/>
  <c r="E97" i="18" s="1"/>
  <c r="D98" i="18"/>
  <c r="E98" i="18" s="1"/>
  <c r="D95" i="18"/>
  <c r="D96" i="18"/>
  <c r="D88" i="18"/>
  <c r="E88" i="18" s="1"/>
  <c r="D89" i="18"/>
  <c r="E89" i="18" s="1"/>
  <c r="E44" i="18"/>
  <c r="D258" i="18"/>
  <c r="D86" i="18"/>
  <c r="E86" i="18" s="1"/>
  <c r="D87" i="18"/>
  <c r="E87" i="18" s="1"/>
  <c r="C264" i="18"/>
  <c r="C266" i="18" s="1"/>
  <c r="C267" i="18"/>
  <c r="C113" i="22"/>
  <c r="C56" i="22"/>
  <c r="C38" i="22"/>
  <c r="C48" i="22"/>
  <c r="E104" i="17"/>
  <c r="E288" i="17"/>
  <c r="E49" i="12"/>
  <c r="F273" i="17"/>
  <c r="E273" i="17"/>
  <c r="F140" i="17"/>
  <c r="C141" i="17"/>
  <c r="E113" i="22"/>
  <c r="E56" i="22"/>
  <c r="E48" i="22"/>
  <c r="E38" i="22"/>
  <c r="E272" i="17"/>
  <c r="F272" i="17" s="1"/>
  <c r="E121" i="18"/>
  <c r="E62" i="17"/>
  <c r="C63" i="17"/>
  <c r="F62" i="17"/>
  <c r="F160" i="17"/>
  <c r="D131" i="18"/>
  <c r="C162" i="17"/>
  <c r="E161" i="17"/>
  <c r="F161" i="17" s="1"/>
  <c r="D263" i="18"/>
  <c r="E263" i="18" s="1"/>
  <c r="E259" i="18"/>
  <c r="C90" i="18"/>
  <c r="C91" i="18" s="1"/>
  <c r="C105" i="18" s="1"/>
  <c r="E50" i="17"/>
  <c r="F50" i="17" s="1"/>
  <c r="D70" i="17"/>
  <c r="C324" i="17"/>
  <c r="C113" i="17"/>
  <c r="E92" i="17"/>
  <c r="F92" i="17" s="1"/>
  <c r="C128" i="18"/>
  <c r="E128" i="18" s="1"/>
  <c r="E122" i="18"/>
  <c r="C269" i="18" l="1"/>
  <c r="C268" i="18"/>
  <c r="D90" i="18"/>
  <c r="E90" i="18" s="1"/>
  <c r="E84" i="18"/>
  <c r="E95" i="18"/>
  <c r="E63" i="17"/>
  <c r="F63" i="17"/>
  <c r="C70" i="17"/>
  <c r="E106" i="17"/>
  <c r="F106" i="17" s="1"/>
  <c r="D113" i="17"/>
  <c r="E113" i="17" s="1"/>
  <c r="D324" i="17"/>
  <c r="D322" i="17"/>
  <c r="D148" i="17"/>
  <c r="E148" i="17" s="1"/>
  <c r="E141" i="17"/>
  <c r="D309" i="17"/>
  <c r="F113" i="17"/>
  <c r="D99" i="8"/>
  <c r="D101" i="8" s="1"/>
  <c r="D98" i="8" s="1"/>
  <c r="D22" i="8"/>
  <c r="E289" i="17"/>
  <c r="F289" i="17" s="1"/>
  <c r="F49" i="12"/>
  <c r="C43" i="5"/>
  <c r="E35" i="5"/>
  <c r="F35" i="5" s="1"/>
  <c r="E96" i="18"/>
  <c r="D102" i="18"/>
  <c r="E102" i="18" s="1"/>
  <c r="C129" i="18"/>
  <c r="E129" i="18" s="1"/>
  <c r="D264" i="18"/>
  <c r="E258" i="18"/>
  <c r="E83" i="18"/>
  <c r="D91" i="18"/>
  <c r="C305" i="17"/>
  <c r="F291" i="17"/>
  <c r="C325" i="17"/>
  <c r="E139" i="17"/>
  <c r="F139" i="17" s="1"/>
  <c r="E70" i="17"/>
  <c r="E210" i="17"/>
  <c r="F210" i="17" s="1"/>
  <c r="D211" i="17"/>
  <c r="E211" i="17" s="1"/>
  <c r="E176" i="17"/>
  <c r="F176" i="17" s="1"/>
  <c r="C323" i="17"/>
  <c r="C197" i="17"/>
  <c r="C183" i="17"/>
  <c r="E162" i="17"/>
  <c r="F162" i="17" s="1"/>
  <c r="C148" i="17"/>
  <c r="C322" i="17"/>
  <c r="F141" i="17"/>
  <c r="C211" i="17"/>
  <c r="E209" i="17"/>
  <c r="F209" i="17" s="1"/>
  <c r="F104" i="17"/>
  <c r="C117" i="18"/>
  <c r="F174" i="17"/>
  <c r="E174" i="17"/>
  <c r="D266" i="18" l="1"/>
  <c r="E264" i="18"/>
  <c r="F148" i="17"/>
  <c r="E322" i="17"/>
  <c r="F322" i="17" s="1"/>
  <c r="E324" i="17"/>
  <c r="F324" i="17" s="1"/>
  <c r="D325" i="17"/>
  <c r="E325" i="17" s="1"/>
  <c r="F325" i="17" s="1"/>
  <c r="C309" i="17"/>
  <c r="F305" i="17"/>
  <c r="C131" i="18"/>
  <c r="E131" i="18" s="1"/>
  <c r="E117" i="18"/>
  <c r="F183" i="17"/>
  <c r="E183" i="17"/>
  <c r="D103" i="18"/>
  <c r="E103" i="18" s="1"/>
  <c r="E91" i="18"/>
  <c r="D105" i="18"/>
  <c r="E105" i="18" s="1"/>
  <c r="F323" i="17"/>
  <c r="E323" i="17"/>
  <c r="C50" i="5"/>
  <c r="E43" i="5"/>
  <c r="F43" i="5" s="1"/>
  <c r="D310" i="17"/>
  <c r="E309" i="17"/>
  <c r="E197" i="17"/>
  <c r="F197" i="17"/>
  <c r="F211" i="17"/>
  <c r="E305" i="17"/>
  <c r="F70" i="17"/>
  <c r="C271" i="18"/>
  <c r="E266" i="18" l="1"/>
  <c r="D267" i="18"/>
  <c r="F309" i="17"/>
  <c r="C310" i="17"/>
  <c r="D312" i="17"/>
  <c r="E310" i="17"/>
  <c r="E50" i="5"/>
  <c r="F50" i="5" s="1"/>
  <c r="D313" i="17" l="1"/>
  <c r="C312" i="17"/>
  <c r="F310" i="17"/>
  <c r="D268" i="18"/>
  <c r="D269" i="18"/>
  <c r="E269" i="18" s="1"/>
  <c r="E267" i="18"/>
  <c r="D271" i="18" l="1"/>
  <c r="E271" i="18" s="1"/>
  <c r="E268" i="18"/>
  <c r="D251" i="17"/>
  <c r="D256" i="17"/>
  <c r="D315" i="17"/>
  <c r="D314" i="17"/>
  <c r="C313" i="17"/>
  <c r="F312" i="17"/>
  <c r="E312" i="17"/>
  <c r="C251" i="17" l="1"/>
  <c r="C256" i="17"/>
  <c r="C315" i="17"/>
  <c r="E315" i="17" s="1"/>
  <c r="C314" i="17"/>
  <c r="D318" i="17"/>
  <c r="E314" i="17"/>
  <c r="E313" i="17"/>
  <c r="F313" i="17" s="1"/>
  <c r="E256" i="17"/>
  <c r="D257" i="17"/>
  <c r="F314" i="17" l="1"/>
  <c r="C318" i="17"/>
  <c r="C257" i="17"/>
  <c r="F257" i="17" s="1"/>
  <c r="F256" i="17"/>
  <c r="E257" i="17"/>
  <c r="F251" i="17"/>
  <c r="F315" i="17"/>
  <c r="E251" i="17"/>
  <c r="E318" i="17" l="1"/>
  <c r="F318" i="17" s="1"/>
</calcChain>
</file>

<file path=xl/sharedStrings.xml><?xml version="1.0" encoding="utf-8"?>
<sst xmlns="http://schemas.openxmlformats.org/spreadsheetml/2006/main" count="2333" uniqueCount="1008">
  <si>
    <t>DANBURY HOSPITAL</t>
  </si>
  <si>
    <t>TWELVE MONTHS ACTUAL FILING</t>
  </si>
  <si>
    <t>FISCAL YEAR 2013</t>
  </si>
  <si>
    <t>REPORT 100 - HOSPITAL BALANCE SHEET INFORMATION</t>
  </si>
  <si>
    <t>FY 2012</t>
  </si>
  <si>
    <t>FY 2013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</si>
  <si>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</si>
  <si>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</si>
  <si>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</si>
  <si>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</si>
  <si>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</si>
  <si>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</si>
  <si>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</si>
  <si>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</si>
  <si>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</si>
  <si>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</si>
  <si>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</si>
  <si>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</si>
  <si>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</si>
  <si>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</si>
  <si>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</si>
  <si>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</si>
  <si>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</si>
  <si>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</si>
  <si>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</si>
  <si>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</si>
  <si>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</si>
  <si>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</si>
  <si>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</si>
  <si>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</si>
  <si>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</si>
  <si>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</si>
  <si>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</si>
  <si>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</si>
  <si>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</si>
  <si>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</si>
  <si>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</si>
  <si>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</si>
  <si>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</si>
  <si>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</si>
  <si>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</si>
  <si>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</si>
  <si>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</si>
  <si>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</si>
  <si>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</si>
  <si>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</si>
  <si>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</si>
  <si>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</si>
  <si>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</si>
  <si>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</si>
  <si>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</si>
  <si>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</si>
  <si>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</si>
  <si>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</si>
  <si>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</si>
  <si>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</si>
  <si>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</si>
  <si>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</si>
  <si>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</si>
  <si>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</si>
  <si>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</si>
  <si>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</si>
  <si>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</si>
  <si>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</si>
  <si>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</si>
  <si>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</si>
  <si>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</si>
  <si>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</si>
  <si>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</si>
  <si>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</si>
  <si>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</si>
  <si>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</si>
  <si>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</si>
  <si>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</si>
  <si>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</si>
  <si>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</si>
  <si>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</si>
  <si>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</si>
  <si>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</si>
  <si>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</si>
  <si>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</si>
  <si>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</si>
  <si>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</si>
  <si>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</si>
  <si>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</si>
  <si>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</si>
  <si>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</si>
  <si>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</si>
  <si>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</si>
  <si>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</si>
  <si>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</si>
  <si>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</si>
  <si>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</si>
  <si>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</si>
  <si>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</si>
  <si>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</si>
  <si>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</si>
  <si>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</si>
  <si>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</si>
  <si>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</si>
  <si>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</si>
  <si>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</si>
  <si>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</si>
  <si>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</si>
  <si>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</si>
  <si>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</si>
  <si>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</si>
  <si>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2012                ACTUAL</t>
  </si>
  <si>
    <t>FY 2013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</si>
  <si>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</si>
  <si>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</si>
  <si>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</si>
  <si>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</si>
  <si>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</si>
  <si>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</si>
  <si>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</si>
  <si>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</si>
  <si>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</si>
  <si>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</si>
  <si>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</si>
  <si>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</si>
  <si>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</si>
  <si>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</si>
  <si>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</si>
  <si>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</si>
  <si>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</si>
  <si>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</si>
  <si>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</si>
  <si>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</si>
  <si>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</si>
  <si>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</si>
  <si>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</si>
  <si>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</si>
  <si>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</si>
  <si>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</si>
  <si>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</si>
  <si>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</si>
  <si>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</si>
  <si>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</si>
  <si>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</si>
  <si>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</si>
  <si>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</si>
  <si>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</si>
  <si>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</si>
  <si>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</si>
  <si>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</si>
  <si>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</si>
  <si>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</si>
  <si>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</si>
  <si>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</si>
  <si>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</si>
  <si>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</si>
  <si>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</si>
  <si>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</si>
  <si>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</si>
  <si>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</si>
  <si>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</si>
  <si>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</si>
  <si>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</si>
  <si>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</si>
  <si>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</si>
  <si>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</si>
  <si>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</si>
  <si>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</si>
  <si>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</si>
  <si>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</si>
  <si>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</si>
  <si>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</si>
  <si>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</si>
  <si>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</si>
  <si>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</si>
  <si>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</si>
  <si>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</si>
  <si>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</si>
  <si>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</si>
  <si>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</si>
  <si>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</si>
  <si>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</si>
  <si>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</si>
  <si>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</si>
  <si>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</si>
  <si>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</si>
  <si>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</si>
  <si>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</si>
  <si>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</si>
  <si>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</si>
  <si>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</si>
  <si>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</si>
  <si>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</si>
  <si>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</si>
  <si>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</si>
  <si>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</si>
  <si>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</si>
  <si>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</si>
  <si>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</si>
  <si>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</si>
  <si>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</si>
  <si>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</si>
  <si>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</si>
  <si>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</si>
  <si>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</si>
  <si>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</si>
  <si>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</si>
  <si>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</si>
  <si>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</si>
  <si>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</si>
  <si>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</si>
  <si>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</si>
  <si>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</si>
  <si>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</si>
  <si>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</si>
  <si>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</si>
  <si>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</si>
  <si>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</si>
  <si>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</si>
  <si>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</si>
  <si>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</si>
  <si>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</si>
  <si>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</si>
  <si>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</si>
  <si>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</si>
  <si>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</si>
  <si>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</si>
  <si>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</si>
  <si>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</si>
  <si>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</si>
  <si>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</si>
  <si>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</si>
  <si>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</si>
  <si>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</si>
  <si>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</si>
  <si>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</si>
  <si>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</si>
  <si>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</si>
  <si>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</si>
  <si>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</si>
  <si>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</si>
  <si>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</si>
  <si>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</si>
  <si>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</si>
  <si>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</si>
  <si>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</si>
  <si>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</si>
  <si>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</si>
  <si>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</si>
  <si>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</si>
  <si>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</si>
  <si>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</si>
  <si>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</si>
  <si>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</si>
  <si>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</si>
  <si>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</si>
  <si>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</si>
  <si>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</si>
  <si>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</si>
  <si>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</si>
  <si>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</si>
  <si>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</si>
  <si>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</si>
  <si>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</si>
  <si>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</si>
  <si>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</si>
  <si>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</si>
  <si>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</si>
  <si>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</si>
  <si>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</si>
  <si>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</si>
  <si>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</si>
  <si>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</si>
  <si>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</si>
  <si>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</si>
  <si>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</si>
  <si>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</si>
  <si>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</si>
  <si>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</si>
  <si>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</si>
  <si>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</si>
  <si>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</si>
  <si>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</si>
  <si>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</si>
  <si>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</si>
  <si>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</si>
  <si>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</si>
  <si>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</si>
  <si>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</si>
  <si>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</si>
  <si>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</si>
  <si>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</si>
  <si>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</si>
  <si>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</si>
  <si>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</si>
  <si>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</si>
  <si>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</si>
  <si>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</si>
  <si>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</si>
  <si>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</si>
  <si>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</si>
  <si>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</si>
  <si>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</si>
  <si>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</si>
  <si>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</si>
  <si>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</si>
  <si>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</si>
  <si>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</si>
  <si>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</si>
  <si>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</si>
  <si>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</si>
  <si>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</si>
  <si>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</si>
  <si>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</si>
  <si>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</si>
  <si>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</si>
  <si>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</si>
  <si>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</si>
  <si>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2013</t>
  </si>
  <si>
    <t>REPORT 185 - HOSPITAL FINANCIAL AND STATISTICAL DATA ANALYSIS</t>
  </si>
  <si>
    <t xml:space="preserve">      FY 2011</t>
  </si>
  <si>
    <t xml:space="preserve">      FY 2012</t>
  </si>
  <si>
    <t xml:space="preserve">      FY 2013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</si>
  <si>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</si>
  <si>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</si>
  <si>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</si>
  <si>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</si>
  <si>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</si>
  <si>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</si>
  <si>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</si>
  <si>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</si>
  <si>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</si>
  <si>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</si>
  <si>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</si>
  <si>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</si>
  <si>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</si>
  <si>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</si>
  <si>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</si>
  <si>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</si>
  <si>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</si>
  <si>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</si>
  <si>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</si>
  <si>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</si>
  <si>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</si>
  <si>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</si>
  <si>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</si>
  <si>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</si>
  <si>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</si>
  <si>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</si>
  <si>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</si>
  <si>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</si>
  <si>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</si>
  <si>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</si>
  <si>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</si>
  <si>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</si>
  <si>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</si>
  <si>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</si>
  <si>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</si>
  <si>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</si>
  <si>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</si>
  <si>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</si>
  <si>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</si>
  <si>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</si>
  <si>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</si>
  <si>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</si>
  <si>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</si>
  <si>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</si>
  <si>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</si>
  <si>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</si>
  <si>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</si>
  <si>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</si>
  <si>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</si>
  <si>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</si>
  <si>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</si>
  <si>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</si>
  <si>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</si>
  <si>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</si>
  <si>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</si>
  <si>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</si>
  <si>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</si>
  <si>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</si>
  <si>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</si>
  <si>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</si>
  <si>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</si>
  <si>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</si>
  <si>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</si>
  <si>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</si>
  <si>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</si>
  <si>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</si>
  <si>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</si>
  <si>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</si>
  <si>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</si>
  <si>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</si>
  <si>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</si>
  <si>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</si>
  <si>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</si>
  <si>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</si>
  <si>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</si>
  <si>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</si>
  <si>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</si>
  <si>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</si>
  <si>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</si>
  <si>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</si>
  <si>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</si>
  <si>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</si>
  <si>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</si>
  <si>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</si>
  <si>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</si>
  <si>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</si>
  <si>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</si>
  <si>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</si>
  <si>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</si>
  <si>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</si>
  <si>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</si>
  <si>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</si>
  <si>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</si>
  <si>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</si>
  <si>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</si>
  <si>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</si>
  <si>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</si>
  <si>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</si>
  <si>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</si>
  <si>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</si>
  <si>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</si>
  <si>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</si>
  <si>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</si>
  <si>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</si>
  <si>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</si>
  <si>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</si>
  <si>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</si>
  <si>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</si>
  <si>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</si>
  <si>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</si>
  <si>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</si>
  <si>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</si>
  <si>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</si>
  <si>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</si>
  <si>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</si>
  <si>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</si>
  <si>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</si>
  <si>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2012 ACTUAL</t>
  </si>
  <si>
    <t>FY 2013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</si>
  <si>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</si>
  <si>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</si>
  <si>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</si>
  <si>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</si>
  <si>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</si>
  <si>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</si>
  <si>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</si>
  <si>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</si>
  <si>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</si>
  <si>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</si>
  <si>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</si>
  <si>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</si>
  <si>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</si>
  <si>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</si>
  <si>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</si>
  <si>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</si>
  <si>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</si>
  <si>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</si>
  <si>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</si>
  <si>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</si>
  <si>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</si>
  <si>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</si>
  <si>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</si>
  <si>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</si>
  <si>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</si>
  <si>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</si>
  <si>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</si>
  <si>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</si>
  <si>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</si>
  <si>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</si>
  <si>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</si>
  <si>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</si>
  <si>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</si>
  <si>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</si>
  <si>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</si>
  <si>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</si>
  <si>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2012 ACTUAL     </t>
  </si>
  <si>
    <t xml:space="preserve">      FY 2013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</si>
  <si>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</si>
  <si>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</si>
  <si>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</si>
  <si>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</si>
  <si>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</si>
  <si>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</si>
  <si>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</si>
  <si>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</si>
  <si>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</si>
  <si>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</si>
  <si>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</si>
  <si>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</si>
  <si>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</si>
  <si>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</si>
  <si>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</si>
  <si>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</si>
  <si>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</si>
  <si>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</si>
  <si>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</si>
  <si>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</si>
  <si>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</si>
  <si>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</si>
  <si>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</si>
  <si>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</si>
  <si>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WESTERN CONNECTICUT HEALTH NETWORK , INC.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</si>
  <si>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</si>
  <si>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</si>
  <si>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</si>
  <si>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</si>
  <si>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2011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</si>
  <si>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</si>
  <si>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</si>
  <si>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</si>
  <si>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</si>
  <si>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</si>
  <si>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</si>
  <si>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</si>
  <si>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</si>
  <si>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</si>
  <si>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</si>
  <si>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</si>
  <si>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</si>
  <si>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</si>
  <si>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</si>
  <si>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</si>
  <si>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</si>
  <si>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</si>
  <si>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</si>
  <si>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</si>
  <si>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</si>
  <si>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</si>
  <si>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</si>
  <si>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</si>
  <si>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</si>
  <si>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</si>
  <si>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</si>
  <si>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</si>
  <si>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</si>
  <si>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</si>
  <si>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</si>
  <si>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</si>
  <si>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</si>
  <si>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</si>
  <si>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</si>
  <si>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</si>
  <si>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</si>
  <si>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</si>
  <si>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</si>
  <si>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</si>
  <si>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</si>
  <si>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</si>
  <si>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</si>
  <si>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</si>
  <si>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</si>
  <si>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</si>
  <si>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</si>
  <si>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</si>
  <si>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</si>
  <si>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</si>
  <si>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</si>
  <si>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</si>
  <si>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</si>
  <si>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</si>
  <si>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</si>
  <si>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</si>
  <si>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</si>
  <si>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</si>
  <si>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</si>
  <si>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</si>
  <si>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</si>
  <si>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</si>
  <si>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</si>
  <si>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</si>
  <si>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</si>
  <si>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</si>
  <si>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</si>
  <si>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</si>
  <si>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</si>
  <si>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</si>
  <si>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</si>
  <si>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</si>
  <si>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</si>
  <si>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</si>
  <si>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</si>
  <si>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</si>
  <si>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</si>
  <si>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</si>
  <si>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</si>
  <si>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</si>
  <si>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</si>
  <si>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</si>
  <si>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</si>
  <si>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</si>
  <si>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</si>
  <si>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</si>
  <si>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</si>
  <si>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</si>
  <si>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</si>
  <si>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</si>
  <si>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</si>
  <si>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</si>
  <si>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</si>
  <si>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</si>
  <si>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</si>
  <si>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</si>
  <si>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</si>
  <si>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</si>
  <si>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</si>
  <si>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</si>
  <si>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</si>
  <si>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</si>
  <si>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</si>
  <si>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</si>
  <si>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</si>
  <si>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</si>
  <si>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</si>
  <si>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</si>
  <si>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</si>
  <si>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</si>
  <si>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</si>
  <si>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</si>
  <si>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</si>
  <si>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</si>
  <si>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</si>
  <si>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</si>
  <si>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</si>
  <si>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</si>
  <si>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</si>
  <si>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</si>
  <si>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</si>
  <si>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</si>
  <si>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</si>
  <si>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</si>
  <si>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</si>
  <si>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</si>
  <si>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</si>
  <si>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</si>
  <si>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</si>
  <si>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</si>
  <si>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</si>
  <si>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</si>
  <si>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</si>
  <si>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</si>
  <si>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</si>
  <si>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</si>
  <si>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</si>
  <si>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</si>
  <si>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</si>
  <si>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</si>
  <si>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</si>
  <si>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</si>
  <si>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</si>
  <si>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</si>
  <si>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</si>
  <si>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</si>
  <si>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</si>
  <si>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</si>
  <si>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</si>
  <si>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</si>
  <si>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</si>
  <si>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</si>
  <si>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</si>
  <si>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</si>
  <si>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</si>
  <si>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</si>
  <si>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</si>
  <si>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</si>
  <si>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</si>
  <si>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</si>
  <si>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</si>
  <si>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</si>
  <si>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</si>
  <si>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</si>
  <si>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</si>
  <si>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</si>
  <si>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</si>
  <si>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</si>
  <si>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</si>
  <si>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</si>
  <si>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</si>
  <si>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</si>
  <si>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</si>
  <si>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</si>
  <si>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</si>
  <si>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</si>
  <si>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</si>
  <si>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</si>
  <si>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</si>
  <si>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</si>
  <si>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</si>
  <si>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</si>
  <si>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</si>
  <si>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</si>
  <si>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</si>
  <si>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</si>
  <si>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</si>
  <si>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</si>
  <si>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</si>
  <si>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</si>
  <si>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</si>
  <si>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</si>
  <si>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</si>
  <si>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</si>
  <si>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</si>
  <si>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</si>
  <si>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</si>
  <si>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</si>
  <si>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</si>
  <si>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</si>
  <si>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</si>
  <si>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</si>
  <si>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</si>
  <si>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</si>
  <si>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</si>
  <si>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</si>
  <si>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</si>
  <si>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</si>
  <si>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</si>
  <si>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</si>
  <si>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</si>
  <si>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</si>
  <si>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</si>
  <si>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</si>
  <si>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</si>
  <si>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</si>
  <si>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</si>
  <si>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</si>
  <si>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</si>
  <si>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</si>
  <si>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</si>
  <si>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</si>
  <si>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</si>
  <si>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</si>
  <si>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</si>
  <si>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</si>
  <si>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</si>
  <si>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</si>
  <si>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</si>
  <si>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</si>
  <si>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</si>
  <si>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</si>
  <si>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</si>
  <si>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</si>
  <si>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</si>
  <si>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</si>
  <si>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</si>
  <si>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</si>
  <si>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</si>
  <si>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</si>
  <si>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</si>
  <si>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</si>
  <si>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</si>
  <si>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</si>
  <si>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</si>
  <si>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</si>
  <si>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</si>
  <si>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</si>
  <si>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</si>
  <si>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</si>
  <si>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</si>
  <si>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</si>
  <si>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</si>
  <si>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</si>
  <si>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</si>
  <si>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</si>
  <si>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</si>
  <si>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</si>
  <si>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</si>
  <si>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</si>
  <si>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</si>
  <si>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</si>
  <si>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</si>
  <si>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</si>
  <si>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2013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</si>
  <si>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</si>
  <si>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</si>
  <si>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2012</t>
    </r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</si>
  <si>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</si>
  <si>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</si>
  <si>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</si>
  <si>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</si>
  <si>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</si>
  <si>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</si>
  <si>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</si>
  <si>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</si>
  <si>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</si>
  <si>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</si>
  <si>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</si>
  <si>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</si>
  <si>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</si>
  <si>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</si>
  <si>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</si>
  <si>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</si>
  <si>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</si>
  <si>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</si>
  <si>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</si>
  <si>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</si>
  <si>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</si>
  <si>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</si>
  <si>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</si>
  <si>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</si>
  <si>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</si>
  <si>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</si>
  <si>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</si>
  <si>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</si>
  <si>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</si>
  <si>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</si>
  <si>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</si>
  <si>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</si>
  <si>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</si>
  <si>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</si>
  <si>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</si>
  <si>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</si>
  <si>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</si>
  <si>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</si>
  <si>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</si>
  <si>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</si>
  <si>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</si>
  <si>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</si>
  <si>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</si>
  <si>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</si>
  <si>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</si>
  <si>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</si>
  <si>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</si>
  <si>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</si>
  <si>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</si>
  <si>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</si>
  <si>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</si>
  <si>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</si>
  <si>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</si>
  <si>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</si>
  <si>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</si>
  <si>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</si>
  <si>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</si>
  <si>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</si>
  <si>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</si>
  <si>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</si>
  <si>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</si>
  <si>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</si>
  <si>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</si>
  <si>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</si>
  <si>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</si>
  <si>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</si>
  <si>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</si>
  <si>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</si>
  <si>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</si>
  <si>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</si>
  <si>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</si>
  <si>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</si>
  <si>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</si>
  <si>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</si>
  <si>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</si>
  <si>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</si>
  <si>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</si>
  <si>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</si>
  <si>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</si>
  <si>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</si>
  <si>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</si>
  <si>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</si>
  <si>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</si>
  <si>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</si>
  <si>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</si>
  <si>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</si>
  <si>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</si>
  <si>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</si>
  <si>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</si>
  <si>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</si>
  <si>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</si>
  <si>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</si>
  <si>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</si>
  <si>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</si>
  <si>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</si>
  <si>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</si>
  <si>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</si>
  <si>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</si>
  <si>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2013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</si>
  <si>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</si>
  <si>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</si>
  <si>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</si>
  <si>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</si>
  <si>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</si>
  <si>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</si>
  <si>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</si>
  <si>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</si>
  <si>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</si>
  <si>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</si>
  <si>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</si>
  <si>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</si>
  <si>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</si>
  <si>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</si>
  <si>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</si>
  <si>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</si>
  <si>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</si>
  <si>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</si>
  <si>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</si>
  <si>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</si>
  <si>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</si>
  <si>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</si>
  <si>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</si>
  <si>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</si>
  <si>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</si>
  <si>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</si>
  <si>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</si>
  <si>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</si>
  <si>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</si>
  <si>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</si>
  <si>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</si>
  <si>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</si>
  <si>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</si>
  <si>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</si>
  <si>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</si>
  <si>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</si>
  <si>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</si>
  <si>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</si>
  <si>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</si>
  <si>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</si>
  <si>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</si>
  <si>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</si>
  <si>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</si>
  <si>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</si>
  <si>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</si>
  <si>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</si>
  <si>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</si>
  <si>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</si>
  <si>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</si>
  <si>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</si>
  <si>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</si>
  <si>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</si>
  <si>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</si>
  <si>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</si>
  <si>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</si>
  <si>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2011</t>
    </r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</si>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</sst>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4" fillId="0" borderId="12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54460115</v>
      </c>
      <c r="D13" s="22">
        <v>59531409</v>
      </c>
      <c r="E13" s="22">
        <f t="shared" ref="E13:E22" si="0">D13-C13</f>
        <v>5071294</v>
      </c>
      <c r="F13" s="23">
        <f t="shared" ref="F13:F22" si="1">IF(C13=0,0,E13/C13)</f>
        <v>9.3119414088640828E-2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60038935</v>
      </c>
      <c r="D15" s="22">
        <v>57504970</v>
      </c>
      <c r="E15" s="22">
        <f t="shared" si="0"/>
        <v>-2533965</v>
      </c>
      <c r="F15" s="23">
        <f t="shared" si="1"/>
        <v>-4.220536223702169E-2</v>
      </c>
    </row>
    <row r="16" spans="1:8" ht="24" customHeight="1" x14ac:dyDescent="0.2">
      <c r="A16" s="20">
        <v>4</v>
      </c>
      <c r="B16" s="21" t="s">
        <v>19</v>
      </c>
      <c r="C16" s="22">
        <v>900896</v>
      </c>
      <c r="D16" s="22">
        <v>4989827</v>
      </c>
      <c r="E16" s="22">
        <f t="shared" si="0"/>
        <v>4088931</v>
      </c>
      <c r="F16" s="23">
        <f t="shared" si="1"/>
        <v>4.5387381007352676</v>
      </c>
    </row>
    <row r="17" spans="1:11" ht="24" customHeight="1" x14ac:dyDescent="0.2">
      <c r="A17" s="20">
        <v>5</v>
      </c>
      <c r="B17" s="21" t="s">
        <v>20</v>
      </c>
      <c r="C17" s="22">
        <v>8730837</v>
      </c>
      <c r="D17" s="22">
        <v>5739847</v>
      </c>
      <c r="E17" s="22">
        <f t="shared" si="0"/>
        <v>-2990990</v>
      </c>
      <c r="F17" s="23">
        <f t="shared" si="1"/>
        <v>-0.34257769329561416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9333372</v>
      </c>
      <c r="D19" s="22">
        <v>9521995</v>
      </c>
      <c r="E19" s="22">
        <f t="shared" si="0"/>
        <v>188623</v>
      </c>
      <c r="F19" s="23">
        <f t="shared" si="1"/>
        <v>2.02095234176887E-2</v>
      </c>
    </row>
    <row r="20" spans="1:11" ht="24" customHeight="1" x14ac:dyDescent="0.2">
      <c r="A20" s="20">
        <v>8</v>
      </c>
      <c r="B20" s="21" t="s">
        <v>23</v>
      </c>
      <c r="C20" s="22">
        <v>14940018</v>
      </c>
      <c r="D20" s="22">
        <v>13488041</v>
      </c>
      <c r="E20" s="22">
        <f t="shared" si="0"/>
        <v>-1451977</v>
      </c>
      <c r="F20" s="23">
        <f t="shared" si="1"/>
        <v>-9.7187098435892114E-2</v>
      </c>
    </row>
    <row r="21" spans="1:11" ht="24" customHeight="1" x14ac:dyDescent="0.2">
      <c r="A21" s="20">
        <v>9</v>
      </c>
      <c r="B21" s="21" t="s">
        <v>24</v>
      </c>
      <c r="C21" s="22">
        <v>0</v>
      </c>
      <c r="D21" s="22">
        <v>0</v>
      </c>
      <c r="E21" s="22">
        <f t="shared" si="0"/>
        <v>0</v>
      </c>
      <c r="F21" s="23">
        <f t="shared" si="1"/>
        <v>0</v>
      </c>
    </row>
    <row r="22" spans="1:11" ht="24" customHeight="1" x14ac:dyDescent="0.25">
      <c r="A22" s="24"/>
      <c r="B22" s="25" t="s">
        <v>25</v>
      </c>
      <c r="C22" s="26">
        <f>SUM(C13:C21)</f>
        <v>148404173</v>
      </c>
      <c r="D22" s="26">
        <f>SUM(D13:D21)</f>
        <v>150776089</v>
      </c>
      <c r="E22" s="26">
        <f t="shared" si="0"/>
        <v>2371916</v>
      </c>
      <c r="F22" s="27">
        <f t="shared" si="1"/>
        <v>1.598281201971322E-2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0</v>
      </c>
      <c r="D25" s="22">
        <v>0</v>
      </c>
      <c r="E25" s="22">
        <f>D25-C25</f>
        <v>0</v>
      </c>
      <c r="F25" s="23">
        <f>IF(C25=0,0,E25/C25)</f>
        <v>0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173599412</v>
      </c>
      <c r="D28" s="22">
        <v>199169615</v>
      </c>
      <c r="E28" s="22">
        <f>D28-C28</f>
        <v>25570203</v>
      </c>
      <c r="F28" s="23">
        <f>IF(C28=0,0,E28/C28)</f>
        <v>0.14729429498298069</v>
      </c>
    </row>
    <row r="29" spans="1:11" ht="24" customHeight="1" x14ac:dyDescent="0.25">
      <c r="A29" s="24"/>
      <c r="B29" s="25" t="s">
        <v>32</v>
      </c>
      <c r="C29" s="26">
        <f>SUM(C25:C28)</f>
        <v>173599412</v>
      </c>
      <c r="D29" s="26">
        <f>SUM(D25:D28)</f>
        <v>199169615</v>
      </c>
      <c r="E29" s="26">
        <f>D29-C29</f>
        <v>25570203</v>
      </c>
      <c r="F29" s="27">
        <f>IF(C29=0,0,E29/C29)</f>
        <v>0.14729429498298069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252733082</v>
      </c>
      <c r="D33" s="22">
        <v>222616358</v>
      </c>
      <c r="E33" s="22">
        <f>D33-C33</f>
        <v>-30116724</v>
      </c>
      <c r="F33" s="23">
        <f>IF(C33=0,0,E33/C33)</f>
        <v>-0.11916415437849169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526112141</v>
      </c>
      <c r="D36" s="22">
        <v>526021829</v>
      </c>
      <c r="E36" s="22">
        <f>D36-C36</f>
        <v>-90312</v>
      </c>
      <c r="F36" s="23">
        <f>IF(C36=0,0,E36/C36)</f>
        <v>-1.7165922046265798E-4</v>
      </c>
    </row>
    <row r="37" spans="1:8" ht="24" customHeight="1" x14ac:dyDescent="0.2">
      <c r="A37" s="20">
        <v>2</v>
      </c>
      <c r="B37" s="21" t="s">
        <v>39</v>
      </c>
      <c r="C37" s="22">
        <v>322977997</v>
      </c>
      <c r="D37" s="22">
        <v>328300919</v>
      </c>
      <c r="E37" s="22">
        <f>D37-C37</f>
        <v>5322922</v>
      </c>
      <c r="F37" s="23">
        <f>IF(C37=0,0,E37/C37)</f>
        <v>1.6480757356359479E-2</v>
      </c>
    </row>
    <row r="38" spans="1:8" ht="24" customHeight="1" x14ac:dyDescent="0.25">
      <c r="A38" s="24"/>
      <c r="B38" s="25" t="s">
        <v>40</v>
      </c>
      <c r="C38" s="26">
        <f>C36-C37</f>
        <v>203134144</v>
      </c>
      <c r="D38" s="26">
        <f>D36-D37</f>
        <v>197720910</v>
      </c>
      <c r="E38" s="26">
        <f>D38-C38</f>
        <v>-5413234</v>
      </c>
      <c r="F38" s="27">
        <f>IF(C38=0,0,E38/C38)</f>
        <v>-2.664856775629015E-2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39100951</v>
      </c>
      <c r="D40" s="22">
        <v>105866676</v>
      </c>
      <c r="E40" s="22">
        <f>D40-C40</f>
        <v>66765725</v>
      </c>
      <c r="F40" s="23">
        <f>IF(C40=0,0,E40/C40)</f>
        <v>1.7075217684603119</v>
      </c>
    </row>
    <row r="41" spans="1:8" ht="24" customHeight="1" x14ac:dyDescent="0.25">
      <c r="A41" s="24"/>
      <c r="B41" s="25" t="s">
        <v>42</v>
      </c>
      <c r="C41" s="26">
        <f>+C38+C40</f>
        <v>242235095</v>
      </c>
      <c r="D41" s="26">
        <f>+D38+D40</f>
        <v>303587586</v>
      </c>
      <c r="E41" s="26">
        <f>D41-C41</f>
        <v>61352491</v>
      </c>
      <c r="F41" s="27">
        <f>IF(C41=0,0,E41/C41)</f>
        <v>0.25327664019947232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816971762</v>
      </c>
      <c r="D43" s="26">
        <f>D22+D29+D31+D32+D33+D41</f>
        <v>876149648</v>
      </c>
      <c r="E43" s="26">
        <f>D43-C43</f>
        <v>59177886</v>
      </c>
      <c r="F43" s="27">
        <f>IF(C43=0,0,E43/C43)</f>
        <v>7.2435656594946052E-2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25455839</v>
      </c>
      <c r="D49" s="22">
        <v>33744172</v>
      </c>
      <c r="E49" s="22">
        <f t="shared" ref="E49:E56" si="2">D49-C49</f>
        <v>8288333</v>
      </c>
      <c r="F49" s="23">
        <f t="shared" ref="F49:F56" si="3">IF(C49=0,0,E49/C49)</f>
        <v>0.32559653602460326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20868119</v>
      </c>
      <c r="D50" s="22">
        <v>28385032</v>
      </c>
      <c r="E50" s="22">
        <f t="shared" si="2"/>
        <v>7516913</v>
      </c>
      <c r="F50" s="23">
        <f t="shared" si="3"/>
        <v>0.36021037641198039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9985351</v>
      </c>
      <c r="D51" s="22">
        <v>8710030</v>
      </c>
      <c r="E51" s="22">
        <f t="shared" si="2"/>
        <v>-1275321</v>
      </c>
      <c r="F51" s="23">
        <f t="shared" si="3"/>
        <v>-0.12771919585000066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0</v>
      </c>
      <c r="D52" s="22">
        <v>0</v>
      </c>
      <c r="E52" s="22">
        <f t="shared" si="2"/>
        <v>0</v>
      </c>
      <c r="F52" s="23">
        <f t="shared" si="3"/>
        <v>0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1555000</v>
      </c>
      <c r="D53" s="22">
        <v>2880000</v>
      </c>
      <c r="E53" s="22">
        <f t="shared" si="2"/>
        <v>1325000</v>
      </c>
      <c r="F53" s="23">
        <f t="shared" si="3"/>
        <v>0.85209003215434087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5178467</v>
      </c>
      <c r="D55" s="22">
        <v>4639931</v>
      </c>
      <c r="E55" s="22">
        <f t="shared" si="2"/>
        <v>-538536</v>
      </c>
      <c r="F55" s="23">
        <f t="shared" si="3"/>
        <v>-0.10399525573881228</v>
      </c>
    </row>
    <row r="56" spans="1:6" ht="24" customHeight="1" x14ac:dyDescent="0.25">
      <c r="A56" s="24"/>
      <c r="B56" s="25" t="s">
        <v>54</v>
      </c>
      <c r="C56" s="26">
        <f>SUM(C49:C55)</f>
        <v>63042776</v>
      </c>
      <c r="D56" s="26">
        <f>SUM(D49:D55)</f>
        <v>78359165</v>
      </c>
      <c r="E56" s="26">
        <f t="shared" si="2"/>
        <v>15316389</v>
      </c>
      <c r="F56" s="27">
        <f t="shared" si="3"/>
        <v>0.24295232494203617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249580000</v>
      </c>
      <c r="D60" s="22">
        <v>246700000</v>
      </c>
      <c r="E60" s="22">
        <f>D60-C60</f>
        <v>-2880000</v>
      </c>
      <c r="F60" s="23">
        <f>IF(C60=0,0,E60/C60)</f>
        <v>-1.1539386168763523E-2</v>
      </c>
    </row>
    <row r="61" spans="1:6" ht="24" customHeight="1" x14ac:dyDescent="0.25">
      <c r="A61" s="24"/>
      <c r="B61" s="25" t="s">
        <v>58</v>
      </c>
      <c r="C61" s="26">
        <f>SUM(C59:C60)</f>
        <v>249580000</v>
      </c>
      <c r="D61" s="26">
        <f>SUM(D59:D60)</f>
        <v>246700000</v>
      </c>
      <c r="E61" s="26">
        <f>D61-C61</f>
        <v>-2880000</v>
      </c>
      <c r="F61" s="27">
        <f>IF(C61=0,0,E61/C61)</f>
        <v>-1.1539386168763523E-2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0</v>
      </c>
      <c r="D63" s="22">
        <v>0</v>
      </c>
      <c r="E63" s="22">
        <f>D63-C63</f>
        <v>0</v>
      </c>
      <c r="F63" s="23">
        <f>IF(C63=0,0,E63/C63)</f>
        <v>0</v>
      </c>
    </row>
    <row r="64" spans="1:6" ht="24" customHeight="1" x14ac:dyDescent="0.2">
      <c r="A64" s="20">
        <v>4</v>
      </c>
      <c r="B64" s="21" t="s">
        <v>60</v>
      </c>
      <c r="C64" s="22">
        <v>59727887</v>
      </c>
      <c r="D64" s="22">
        <v>64443372</v>
      </c>
      <c r="E64" s="22">
        <f>D64-C64</f>
        <v>4715485</v>
      </c>
      <c r="F64" s="23">
        <f>IF(C64=0,0,E64/C64)</f>
        <v>7.894946961709863E-2</v>
      </c>
    </row>
    <row r="65" spans="1:6" ht="24" customHeight="1" x14ac:dyDescent="0.25">
      <c r="A65" s="24"/>
      <c r="B65" s="25" t="s">
        <v>61</v>
      </c>
      <c r="C65" s="26">
        <f>SUM(C61:C64)</f>
        <v>309307887</v>
      </c>
      <c r="D65" s="26">
        <f>SUM(D61:D64)</f>
        <v>311143372</v>
      </c>
      <c r="E65" s="26">
        <f>D65-C65</f>
        <v>1835485</v>
      </c>
      <c r="F65" s="27">
        <f>IF(C65=0,0,E65/C65)</f>
        <v>5.9341681125641647E-3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386002265</v>
      </c>
      <c r="D70" s="22">
        <v>400930008</v>
      </c>
      <c r="E70" s="22">
        <f>D70-C70</f>
        <v>14927743</v>
      </c>
      <c r="F70" s="23">
        <f>IF(C70=0,0,E70/C70)</f>
        <v>3.8672682399933586E-2</v>
      </c>
    </row>
    <row r="71" spans="1:6" ht="24" customHeight="1" x14ac:dyDescent="0.2">
      <c r="A71" s="20">
        <v>2</v>
      </c>
      <c r="B71" s="21" t="s">
        <v>65</v>
      </c>
      <c r="C71" s="22">
        <v>29794088</v>
      </c>
      <c r="D71" s="22">
        <v>56603735</v>
      </c>
      <c r="E71" s="22">
        <f>D71-C71</f>
        <v>26809647</v>
      </c>
      <c r="F71" s="23">
        <f>IF(C71=0,0,E71/C71)</f>
        <v>0.89983110072038452</v>
      </c>
    </row>
    <row r="72" spans="1:6" ht="24" customHeight="1" x14ac:dyDescent="0.2">
      <c r="A72" s="20">
        <v>3</v>
      </c>
      <c r="B72" s="21" t="s">
        <v>66</v>
      </c>
      <c r="C72" s="22">
        <v>28824746</v>
      </c>
      <c r="D72" s="22">
        <v>29113368</v>
      </c>
      <c r="E72" s="22">
        <f>D72-C72</f>
        <v>288622</v>
      </c>
      <c r="F72" s="23">
        <f>IF(C72=0,0,E72/C72)</f>
        <v>1.0012993696457898E-2</v>
      </c>
    </row>
    <row r="73" spans="1:6" ht="24" customHeight="1" x14ac:dyDescent="0.25">
      <c r="A73" s="20"/>
      <c r="B73" s="25" t="s">
        <v>67</v>
      </c>
      <c r="C73" s="26">
        <f>SUM(C70:C72)</f>
        <v>444621099</v>
      </c>
      <c r="D73" s="26">
        <f>SUM(D70:D72)</f>
        <v>486647111</v>
      </c>
      <c r="E73" s="26">
        <f>D73-C73</f>
        <v>42026012</v>
      </c>
      <c r="F73" s="27">
        <f>IF(C73=0,0,E73/C73)</f>
        <v>9.452095749509179E-2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816971762</v>
      </c>
      <c r="D75" s="26">
        <f>D56+D65+D67+D73</f>
        <v>876149648</v>
      </c>
      <c r="E75" s="26">
        <f>D75-C75</f>
        <v>59177886</v>
      </c>
      <c r="F75" s="27">
        <f>IF(C75=0,0,E75/C75)</f>
        <v>7.2435656594946052E-2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sqref="A1:E1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720525178</v>
      </c>
      <c r="D11" s="76">
        <v>736921369</v>
      </c>
      <c r="E11" s="76">
        <v>693630862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17176189</v>
      </c>
      <c r="D12" s="185">
        <v>29907285</v>
      </c>
      <c r="E12" s="185">
        <v>18878200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737701367</v>
      </c>
      <c r="D13" s="76">
        <f>+D11+D12</f>
        <v>766828654</v>
      </c>
      <c r="E13" s="76">
        <f>+E11+E12</f>
        <v>712509062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746101320</v>
      </c>
      <c r="D14" s="185">
        <v>748965294</v>
      </c>
      <c r="E14" s="185">
        <v>689272450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-8399953</v>
      </c>
      <c r="D15" s="76">
        <f>+D13-D14</f>
        <v>17863360</v>
      </c>
      <c r="E15" s="76">
        <f>+E13-E14</f>
        <v>23236612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5592784</v>
      </c>
      <c r="D16" s="185">
        <v>24649093</v>
      </c>
      <c r="E16" s="185">
        <v>10485983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-2807169</v>
      </c>
      <c r="D17" s="76">
        <f>D15+D16</f>
        <v>42512453</v>
      </c>
      <c r="E17" s="76">
        <f>E15+E16</f>
        <v>33722595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-1.1300980895247217E-2</v>
      </c>
      <c r="D20" s="189">
        <f>IF(+D27=0,0,+D24/+D27)</f>
        <v>2.2569630122525733E-2</v>
      </c>
      <c r="E20" s="189">
        <f>IF(+E27=0,0,+E24/+E27)</f>
        <v>3.2139379323132156E-2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7.524321283136264E-3</v>
      </c>
      <c r="D21" s="189">
        <f>IF(+D27=0,0,+D26/+D27)</f>
        <v>3.1143128272941828E-2</v>
      </c>
      <c r="E21" s="189">
        <f>IF(+E27=0,0,+E26/+E27)</f>
        <v>1.4503533699874803E-2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-3.776659612110953E-3</v>
      </c>
      <c r="D22" s="189">
        <f>IF(+D27=0,0,+D28/+D27)</f>
        <v>5.3712758395467561E-2</v>
      </c>
      <c r="E22" s="189">
        <f>IF(+E27=0,0,+E28/+E27)</f>
        <v>4.6642913023006959E-2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-8399953</v>
      </c>
      <c r="D24" s="76">
        <f>+D15</f>
        <v>17863360</v>
      </c>
      <c r="E24" s="76">
        <f>+E15</f>
        <v>23236612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737701367</v>
      </c>
      <c r="D25" s="76">
        <f>+D13</f>
        <v>766828654</v>
      </c>
      <c r="E25" s="76">
        <f>+E13</f>
        <v>712509062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5592784</v>
      </c>
      <c r="D26" s="76">
        <f>+D16</f>
        <v>24649093</v>
      </c>
      <c r="E26" s="76">
        <f>+E16</f>
        <v>10485983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743294151</v>
      </c>
      <c r="D27" s="76">
        <f>SUM(D25:D26)</f>
        <v>791477747</v>
      </c>
      <c r="E27" s="76">
        <f>SUM(E25:E26)</f>
        <v>722995045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-2807169</v>
      </c>
      <c r="D28" s="76">
        <f>+D17</f>
        <v>42512453</v>
      </c>
      <c r="E28" s="76">
        <f>+E17</f>
        <v>33722595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286369831</v>
      </c>
      <c r="D31" s="76">
        <v>277089185</v>
      </c>
      <c r="E31" s="76">
        <v>404480146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348404442</v>
      </c>
      <c r="D32" s="76">
        <v>343874581</v>
      </c>
      <c r="E32" s="76">
        <v>500199140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38023778</v>
      </c>
      <c r="D33" s="76">
        <f>+D32-C32</f>
        <v>-4529861</v>
      </c>
      <c r="E33" s="76">
        <f>+E32-D32</f>
        <v>156324559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1.1225000000000001</v>
      </c>
      <c r="D34" s="193">
        <f>IF(C32=0,0,+D33/C32)</f>
        <v>-1.3001731476202018E-2</v>
      </c>
      <c r="E34" s="193">
        <f>IF(D32=0,0,+E33/D32)</f>
        <v>0.45459759934974664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1.8760989261589514</v>
      </c>
      <c r="D38" s="338">
        <f>IF(+D40=0,0,+D39/+D40)</f>
        <v>2.2618085678223792</v>
      </c>
      <c r="E38" s="338">
        <f>IF(+E40=0,0,+E39/+E40)</f>
        <v>1.9447954398784246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164310318</v>
      </c>
      <c r="D39" s="341">
        <v>187490183</v>
      </c>
      <c r="E39" s="341">
        <v>194314003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87580839</v>
      </c>
      <c r="D40" s="341">
        <v>82893922</v>
      </c>
      <c r="E40" s="341">
        <v>99914880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29.199329444295312</v>
      </c>
      <c r="D42" s="343">
        <f>IF((D48/365)=0,0,+D45/(D48/365))</f>
        <v>38.088847164066088</v>
      </c>
      <c r="E42" s="343">
        <f>IF((E48/365)=0,0,+E45/(E48/365))</f>
        <v>40.183943063103619</v>
      </c>
    </row>
    <row r="43" spans="1:14" ht="24" customHeight="1" x14ac:dyDescent="0.2">
      <c r="A43" s="339">
        <v>5</v>
      </c>
      <c r="B43" s="344" t="s">
        <v>16</v>
      </c>
      <c r="C43" s="345">
        <v>56787869</v>
      </c>
      <c r="D43" s="345">
        <v>74083960</v>
      </c>
      <c r="E43" s="345">
        <v>71777507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0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56787869</v>
      </c>
      <c r="D45" s="341">
        <f>+D43+D44</f>
        <v>74083960</v>
      </c>
      <c r="E45" s="341">
        <f>+E43+E44</f>
        <v>71777507</v>
      </c>
    </row>
    <row r="46" spans="1:14" ht="24" customHeight="1" x14ac:dyDescent="0.2">
      <c r="A46" s="339">
        <v>8</v>
      </c>
      <c r="B46" s="340" t="s">
        <v>334</v>
      </c>
      <c r="C46" s="341">
        <f>+C14</f>
        <v>746101320</v>
      </c>
      <c r="D46" s="341">
        <f>+D14</f>
        <v>748965294</v>
      </c>
      <c r="E46" s="341">
        <f>+E14</f>
        <v>689272450</v>
      </c>
    </row>
    <row r="47" spans="1:14" ht="24" customHeight="1" x14ac:dyDescent="0.2">
      <c r="A47" s="339">
        <v>9</v>
      </c>
      <c r="B47" s="340" t="s">
        <v>356</v>
      </c>
      <c r="C47" s="341">
        <v>36236656</v>
      </c>
      <c r="D47" s="341">
        <v>39029252</v>
      </c>
      <c r="E47" s="341">
        <v>37300840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709864664</v>
      </c>
      <c r="D48" s="341">
        <f>+D46-D47</f>
        <v>709936042</v>
      </c>
      <c r="E48" s="341">
        <f>+E46-E47</f>
        <v>651971610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29.917490336472323</v>
      </c>
      <c r="D50" s="350">
        <f>IF((D55/365)=0,0,+D54/(D55/365))</f>
        <v>33.186873883419715</v>
      </c>
      <c r="E50" s="350">
        <f>IF((E55/365)=0,0,+E54/(E55/365))</f>
        <v>34.507593752366802</v>
      </c>
    </row>
    <row r="51" spans="1:5" ht="24" customHeight="1" x14ac:dyDescent="0.2">
      <c r="A51" s="339">
        <v>12</v>
      </c>
      <c r="B51" s="344" t="s">
        <v>359</v>
      </c>
      <c r="C51" s="351">
        <v>74395713</v>
      </c>
      <c r="D51" s="351">
        <v>79495132</v>
      </c>
      <c r="E51" s="351">
        <v>76374995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15337343</v>
      </c>
      <c r="D53" s="341">
        <v>12492073</v>
      </c>
      <c r="E53" s="341">
        <v>10798195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59058370</v>
      </c>
      <c r="D54" s="352">
        <f>+D51+D52-D53</f>
        <v>67003059</v>
      </c>
      <c r="E54" s="352">
        <f>+E51+E52-E53</f>
        <v>65576800</v>
      </c>
    </row>
    <row r="55" spans="1:5" ht="24" customHeight="1" x14ac:dyDescent="0.2">
      <c r="A55" s="339">
        <v>16</v>
      </c>
      <c r="B55" s="340" t="s">
        <v>75</v>
      </c>
      <c r="C55" s="341">
        <f>+C11</f>
        <v>720525178</v>
      </c>
      <c r="D55" s="341">
        <f>+D11</f>
        <v>736921369</v>
      </c>
      <c r="E55" s="341">
        <f>+E11</f>
        <v>693630862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45.032536279337883</v>
      </c>
      <c r="D57" s="355">
        <f>IF((D61/365)=0,0,+D58/(D61/365))</f>
        <v>42.618320158479854</v>
      </c>
      <c r="E57" s="355">
        <f>IF((E61/365)=0,0,+E58/(E61/365))</f>
        <v>55.936379192952892</v>
      </c>
    </row>
    <row r="58" spans="1:5" ht="24" customHeight="1" x14ac:dyDescent="0.2">
      <c r="A58" s="339">
        <v>18</v>
      </c>
      <c r="B58" s="340" t="s">
        <v>54</v>
      </c>
      <c r="C58" s="353">
        <f>+C40</f>
        <v>87580839</v>
      </c>
      <c r="D58" s="353">
        <f>+D40</f>
        <v>82893922</v>
      </c>
      <c r="E58" s="353">
        <f>+E40</f>
        <v>99914880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746101320</v>
      </c>
      <c r="D59" s="353">
        <f t="shared" si="0"/>
        <v>748965294</v>
      </c>
      <c r="E59" s="353">
        <f t="shared" si="0"/>
        <v>689272450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36236656</v>
      </c>
      <c r="D60" s="356">
        <f t="shared" si="0"/>
        <v>39029252</v>
      </c>
      <c r="E60" s="356">
        <f t="shared" si="0"/>
        <v>37300840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709864664</v>
      </c>
      <c r="D61" s="353">
        <f>+D59-D60</f>
        <v>709936042</v>
      </c>
      <c r="E61" s="353">
        <f>+E59-E60</f>
        <v>651971610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40.689135296768129</v>
      </c>
      <c r="D65" s="357">
        <f>IF(D67=0,0,(D66/D67)*100)</f>
        <v>37.706809960592174</v>
      </c>
      <c r="E65" s="357">
        <f>IF(E67=0,0,(E66/E67)*100)</f>
        <v>51.398754304348657</v>
      </c>
    </row>
    <row r="66" spans="1:5" ht="24" customHeight="1" x14ac:dyDescent="0.2">
      <c r="A66" s="339">
        <v>2</v>
      </c>
      <c r="B66" s="340" t="s">
        <v>67</v>
      </c>
      <c r="C66" s="353">
        <f>+C32</f>
        <v>348404442</v>
      </c>
      <c r="D66" s="353">
        <f>+D32</f>
        <v>343874581</v>
      </c>
      <c r="E66" s="353">
        <f>+E32</f>
        <v>500199140</v>
      </c>
    </row>
    <row r="67" spans="1:5" ht="24" customHeight="1" x14ac:dyDescent="0.2">
      <c r="A67" s="339">
        <v>3</v>
      </c>
      <c r="B67" s="340" t="s">
        <v>43</v>
      </c>
      <c r="C67" s="353">
        <v>856259145</v>
      </c>
      <c r="D67" s="353">
        <v>911969433</v>
      </c>
      <c r="E67" s="353">
        <v>973173663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9.8006222344315077</v>
      </c>
      <c r="D69" s="357">
        <f>IF(D75=0,0,(D72/D75)*100)</f>
        <v>24.451189107920499</v>
      </c>
      <c r="E69" s="357">
        <f>IF(E75=0,0,(E72/E75)*100)</f>
        <v>20.490590305874925</v>
      </c>
    </row>
    <row r="70" spans="1:5" ht="24" customHeight="1" x14ac:dyDescent="0.2">
      <c r="A70" s="339">
        <v>5</v>
      </c>
      <c r="B70" s="340" t="s">
        <v>366</v>
      </c>
      <c r="C70" s="353">
        <f>+C28</f>
        <v>-2807169</v>
      </c>
      <c r="D70" s="353">
        <f>+D28</f>
        <v>42512453</v>
      </c>
      <c r="E70" s="353">
        <f>+E28</f>
        <v>33722595</v>
      </c>
    </row>
    <row r="71" spans="1:5" ht="24" customHeight="1" x14ac:dyDescent="0.2">
      <c r="A71" s="339">
        <v>6</v>
      </c>
      <c r="B71" s="340" t="s">
        <v>356</v>
      </c>
      <c r="C71" s="356">
        <f>+C47</f>
        <v>36236656</v>
      </c>
      <c r="D71" s="356">
        <f>+D47</f>
        <v>39029252</v>
      </c>
      <c r="E71" s="356">
        <f>+E47</f>
        <v>37300840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33429487</v>
      </c>
      <c r="D72" s="353">
        <f>+D70+D71</f>
        <v>81541705</v>
      </c>
      <c r="E72" s="353">
        <f>+E70+E71</f>
        <v>71023435</v>
      </c>
    </row>
    <row r="73" spans="1:5" ht="24" customHeight="1" x14ac:dyDescent="0.2">
      <c r="A73" s="339">
        <v>8</v>
      </c>
      <c r="B73" s="340" t="s">
        <v>54</v>
      </c>
      <c r="C73" s="341">
        <f>+C40</f>
        <v>87580839</v>
      </c>
      <c r="D73" s="341">
        <f>+D40</f>
        <v>82893922</v>
      </c>
      <c r="E73" s="341">
        <f>+E40</f>
        <v>99914880</v>
      </c>
    </row>
    <row r="74" spans="1:5" ht="24" customHeight="1" x14ac:dyDescent="0.2">
      <c r="A74" s="339">
        <v>9</v>
      </c>
      <c r="B74" s="340" t="s">
        <v>58</v>
      </c>
      <c r="C74" s="353">
        <v>253514718</v>
      </c>
      <c r="D74" s="353">
        <v>250593765</v>
      </c>
      <c r="E74" s="353">
        <v>246700000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341095557</v>
      </c>
      <c r="D75" s="341">
        <f>+D73+D74</f>
        <v>333487687</v>
      </c>
      <c r="E75" s="341">
        <f>+E73+E74</f>
        <v>346614880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42.117735212150414</v>
      </c>
      <c r="D77" s="359">
        <f>IF(D80=0,0,(D78/D80)*100)</f>
        <v>42.154265519126568</v>
      </c>
      <c r="E77" s="359">
        <f>IF(E80=0,0,(E78/E80)*100)</f>
        <v>33.029894772673053</v>
      </c>
    </row>
    <row r="78" spans="1:5" ht="24" customHeight="1" x14ac:dyDescent="0.2">
      <c r="A78" s="339">
        <v>12</v>
      </c>
      <c r="B78" s="340" t="s">
        <v>58</v>
      </c>
      <c r="C78" s="341">
        <f>+C74</f>
        <v>253514718</v>
      </c>
      <c r="D78" s="341">
        <f>+D74</f>
        <v>250593765</v>
      </c>
      <c r="E78" s="341">
        <f>+E74</f>
        <v>246700000</v>
      </c>
    </row>
    <row r="79" spans="1:5" ht="24" customHeight="1" x14ac:dyDescent="0.2">
      <c r="A79" s="339">
        <v>13</v>
      </c>
      <c r="B79" s="340" t="s">
        <v>67</v>
      </c>
      <c r="C79" s="341">
        <f>+C32</f>
        <v>348404442</v>
      </c>
      <c r="D79" s="341">
        <f>+D32</f>
        <v>343874581</v>
      </c>
      <c r="E79" s="341">
        <f>+E32</f>
        <v>500199140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601919160</v>
      </c>
      <c r="D80" s="341">
        <f>+D78+D79</f>
        <v>594468346</v>
      </c>
      <c r="E80" s="341">
        <f>+E78+E79</f>
        <v>746899140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78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/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61897</v>
      </c>
      <c r="D11" s="376">
        <v>13202</v>
      </c>
      <c r="E11" s="376">
        <v>13534</v>
      </c>
      <c r="F11" s="377">
        <v>180</v>
      </c>
      <c r="G11" s="377">
        <v>227</v>
      </c>
      <c r="H11" s="378">
        <f>IF(F11=0,0,$C11/(F11*365))</f>
        <v>0.94211567732115675</v>
      </c>
      <c r="I11" s="378">
        <f>IF(G11=0,0,$C11/(G11*365))</f>
        <v>0.7470520789330759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4100</v>
      </c>
      <c r="D13" s="376">
        <v>183</v>
      </c>
      <c r="E13" s="376">
        <v>0</v>
      </c>
      <c r="F13" s="377">
        <v>13</v>
      </c>
      <c r="G13" s="377">
        <v>30</v>
      </c>
      <c r="H13" s="378">
        <f>IF(F13=0,0,$C13/(F13*365))</f>
        <v>0.86406743940990516</v>
      </c>
      <c r="I13" s="378">
        <f>IF(G13=0,0,$C13/(G13*365))</f>
        <v>0.37442922374429222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3</v>
      </c>
      <c r="D15" s="376">
        <v>1</v>
      </c>
      <c r="E15" s="376">
        <v>1</v>
      </c>
      <c r="F15" s="377">
        <v>1</v>
      </c>
      <c r="G15" s="377">
        <v>1</v>
      </c>
      <c r="H15" s="378">
        <f t="shared" ref="H15:I17" si="0">IF(F15=0,0,$C15/(F15*365))</f>
        <v>8.21917808219178E-3</v>
      </c>
      <c r="I15" s="378">
        <f t="shared" si="0"/>
        <v>8.21917808219178E-3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6147</v>
      </c>
      <c r="D16" s="376">
        <v>686</v>
      </c>
      <c r="E16" s="376">
        <v>673</v>
      </c>
      <c r="F16" s="377">
        <v>17</v>
      </c>
      <c r="G16" s="377">
        <v>22</v>
      </c>
      <c r="H16" s="378">
        <f t="shared" si="0"/>
        <v>0.99065269943593881</v>
      </c>
      <c r="I16" s="378">
        <f t="shared" si="0"/>
        <v>0.76550435865504363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6150</v>
      </c>
      <c r="D17" s="381">
        <f>SUM(D15:D16)</f>
        <v>687</v>
      </c>
      <c r="E17" s="381">
        <f>SUM(E15:E16)</f>
        <v>674</v>
      </c>
      <c r="F17" s="381">
        <f>SUM(F15:F16)</f>
        <v>18</v>
      </c>
      <c r="G17" s="381">
        <f>SUM(G15:G16)</f>
        <v>23</v>
      </c>
      <c r="H17" s="382">
        <f t="shared" si="0"/>
        <v>0.9360730593607306</v>
      </c>
      <c r="I17" s="382">
        <f t="shared" si="0"/>
        <v>0.73257891602144132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4152</v>
      </c>
      <c r="D19" s="376">
        <v>293</v>
      </c>
      <c r="E19" s="376">
        <v>295</v>
      </c>
      <c r="F19" s="377">
        <v>12</v>
      </c>
      <c r="G19" s="377">
        <v>14</v>
      </c>
      <c r="H19" s="378">
        <f>IF(F19=0,0,$C19/(F19*365))</f>
        <v>0.94794520547945205</v>
      </c>
      <c r="I19" s="378">
        <f>IF(G19=0,0,$C19/(G19*365))</f>
        <v>0.81252446183953031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5971</v>
      </c>
      <c r="D21" s="376">
        <v>2064</v>
      </c>
      <c r="E21" s="376">
        <v>2055</v>
      </c>
      <c r="F21" s="377">
        <v>18</v>
      </c>
      <c r="G21" s="377">
        <v>32</v>
      </c>
      <c r="H21" s="378">
        <f>IF(F21=0,0,$C21/(F21*365))</f>
        <v>0.90882800608828007</v>
      </c>
      <c r="I21" s="378">
        <f>IF(G21=0,0,$C21/(G21*365))</f>
        <v>0.51121575342465753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4323</v>
      </c>
      <c r="D23" s="376">
        <v>1791</v>
      </c>
      <c r="E23" s="376">
        <v>1785</v>
      </c>
      <c r="F23" s="377">
        <v>12</v>
      </c>
      <c r="G23" s="377">
        <v>26</v>
      </c>
      <c r="H23" s="378">
        <f>IF(F23=0,0,$C23/(F23*365))</f>
        <v>0.98698630136986298</v>
      </c>
      <c r="I23" s="378">
        <f>IF(G23=0,0,$C23/(G23*365))</f>
        <v>0.45553213909378293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3920</v>
      </c>
      <c r="D25" s="376">
        <v>273</v>
      </c>
      <c r="E25" s="376">
        <v>0</v>
      </c>
      <c r="F25" s="377">
        <v>12</v>
      </c>
      <c r="G25" s="377">
        <v>15</v>
      </c>
      <c r="H25" s="378">
        <f>IF(F25=0,0,$C25/(F25*365))</f>
        <v>0.89497716894977164</v>
      </c>
      <c r="I25" s="378">
        <f>IF(G25=0,0,$C25/(G25*365))</f>
        <v>0.71598173515981733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490</v>
      </c>
      <c r="D27" s="376">
        <v>252</v>
      </c>
      <c r="E27" s="376">
        <v>257</v>
      </c>
      <c r="F27" s="377">
        <v>2</v>
      </c>
      <c r="G27" s="377">
        <v>4</v>
      </c>
      <c r="H27" s="378">
        <f>IF(F27=0,0,$C27/(F27*365))</f>
        <v>0.67123287671232879</v>
      </c>
      <c r="I27" s="378">
        <f>IF(G27=0,0,$C27/(G27*365))</f>
        <v>0.33561643835616439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86680</v>
      </c>
      <c r="D31" s="384">
        <f>SUM(D10:D29)-D13-D17-D23</f>
        <v>16771</v>
      </c>
      <c r="E31" s="384">
        <f>SUM(E10:E29)-E17-E23</f>
        <v>16815</v>
      </c>
      <c r="F31" s="384">
        <f>SUM(F10:F29)-F17-F23</f>
        <v>255</v>
      </c>
      <c r="G31" s="384">
        <f>SUM(G10:G29)-G17-G23</f>
        <v>345</v>
      </c>
      <c r="H31" s="385">
        <f>IF(F31=0,0,$C31/(F31*365))</f>
        <v>0.93129196884233145</v>
      </c>
      <c r="I31" s="385">
        <f>IF(G31=0,0,$C31/(G31*365))</f>
        <v>0.68834623783998417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91003</v>
      </c>
      <c r="D33" s="384">
        <f>SUM(D10:D29)-D13-D17</f>
        <v>18562</v>
      </c>
      <c r="E33" s="384">
        <f>SUM(E10:E29)-E17</f>
        <v>18600</v>
      </c>
      <c r="F33" s="384">
        <f>SUM(F10:F29)-F17</f>
        <v>267</v>
      </c>
      <c r="G33" s="384">
        <f>SUM(G10:G29)-G17</f>
        <v>371</v>
      </c>
      <c r="H33" s="385">
        <f>IF(F33=0,0,$C33/(F33*365))</f>
        <v>0.93379508491098451</v>
      </c>
      <c r="I33" s="385">
        <f>IF(G33=0,0,$C33/(G33*365))</f>
        <v>0.672030424989846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91003</v>
      </c>
      <c r="D36" s="384">
        <f t="shared" si="1"/>
        <v>18562</v>
      </c>
      <c r="E36" s="384">
        <f t="shared" si="1"/>
        <v>18600</v>
      </c>
      <c r="F36" s="384">
        <f t="shared" si="1"/>
        <v>267</v>
      </c>
      <c r="G36" s="384">
        <f t="shared" si="1"/>
        <v>371</v>
      </c>
      <c r="H36" s="387">
        <f t="shared" si="1"/>
        <v>0.93379508491098451</v>
      </c>
      <c r="I36" s="387">
        <f t="shared" si="1"/>
        <v>0.672030424989846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92010</v>
      </c>
      <c r="D37" s="384">
        <v>19668</v>
      </c>
      <c r="E37" s="384">
        <v>19669</v>
      </c>
      <c r="F37" s="386">
        <v>265</v>
      </c>
      <c r="G37" s="386">
        <v>371</v>
      </c>
      <c r="H37" s="385">
        <f>IF(F37=0,0,$C37/(F37*365))</f>
        <v>0.95125355388989408</v>
      </c>
      <c r="I37" s="385">
        <f>IF(G37=0,0,$C37/(G37*365))</f>
        <v>0.67946682420706717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-1007</v>
      </c>
      <c r="D38" s="384">
        <f t="shared" si="2"/>
        <v>-1106</v>
      </c>
      <c r="E38" s="384">
        <f t="shared" si="2"/>
        <v>-1069</v>
      </c>
      <c r="F38" s="384">
        <f t="shared" si="2"/>
        <v>2</v>
      </c>
      <c r="G38" s="384">
        <f t="shared" si="2"/>
        <v>0</v>
      </c>
      <c r="H38" s="387">
        <f t="shared" si="2"/>
        <v>-1.7458468978909569E-2</v>
      </c>
      <c r="I38" s="387">
        <f t="shared" si="2"/>
        <v>-7.4363992172211679E-3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-1.0944462558417562E-2</v>
      </c>
      <c r="D40" s="389">
        <f t="shared" si="3"/>
        <v>-5.6233475696562944E-2</v>
      </c>
      <c r="E40" s="389">
        <f t="shared" si="3"/>
        <v>-5.4349483959530223E-2</v>
      </c>
      <c r="F40" s="389">
        <f t="shared" si="3"/>
        <v>7.5471698113207548E-3</v>
      </c>
      <c r="G40" s="389">
        <f t="shared" si="3"/>
        <v>0</v>
      </c>
      <c r="H40" s="389">
        <f t="shared" si="3"/>
        <v>-1.8353118269590567E-2</v>
      </c>
      <c r="I40" s="389">
        <f t="shared" si="3"/>
        <v>-1.0944462558417611E-2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371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gridLines="1"/>
  <pageMargins left="0.25" right="0.25" top="0.5" bottom="0.5" header="0.25" footer="0.25"/>
  <pageSetup scale="74" fitToHeight="0" orientation="landscape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1"/>
  <sheetViews>
    <sheetView zoomScaleSheetLayoutView="90" workbookViewId="0">
      <selection sqref="A1:F1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3" t="s">
        <v>0</v>
      </c>
      <c r="B1" s="814"/>
      <c r="C1" s="814"/>
      <c r="D1" s="814"/>
      <c r="E1" s="814"/>
      <c r="F1" s="815"/>
    </row>
    <row r="2" spans="1:16" ht="15.75" customHeight="1" x14ac:dyDescent="0.25">
      <c r="A2" s="813" t="s">
        <v>1</v>
      </c>
      <c r="B2" s="814"/>
      <c r="C2" s="814"/>
      <c r="D2" s="814"/>
      <c r="E2" s="814"/>
      <c r="F2" s="815"/>
    </row>
    <row r="3" spans="1:16" ht="15.75" customHeight="1" x14ac:dyDescent="0.25">
      <c r="A3" s="813" t="s">
        <v>2</v>
      </c>
      <c r="B3" s="814"/>
      <c r="C3" s="814"/>
      <c r="D3" s="814"/>
      <c r="E3" s="814"/>
      <c r="F3" s="815"/>
    </row>
    <row r="4" spans="1:16" ht="15.75" customHeight="1" x14ac:dyDescent="0.25">
      <c r="A4" s="813" t="s">
        <v>553</v>
      </c>
      <c r="B4" s="814"/>
      <c r="C4" s="814"/>
      <c r="D4" s="814"/>
      <c r="E4" s="814"/>
      <c r="F4" s="815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10946</v>
      </c>
      <c r="D12" s="409">
        <v>10214</v>
      </c>
      <c r="E12" s="409">
        <f>+D12-C12</f>
        <v>-732</v>
      </c>
      <c r="F12" s="410">
        <f>IF(C12=0,0,+E12/C12)</f>
        <v>-6.687374383336378E-2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13523</v>
      </c>
      <c r="D13" s="409">
        <v>13537</v>
      </c>
      <c r="E13" s="409">
        <f>+D13-C13</f>
        <v>14</v>
      </c>
      <c r="F13" s="410">
        <f>IF(C13=0,0,+E13/C13)</f>
        <v>1.035273238186793E-3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10010</v>
      </c>
      <c r="D14" s="409">
        <v>10628</v>
      </c>
      <c r="E14" s="409">
        <f>+D14-C14</f>
        <v>618</v>
      </c>
      <c r="F14" s="410">
        <f>IF(C14=0,0,+E14/C14)</f>
        <v>6.1738261738261739E-2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5653</v>
      </c>
      <c r="D15" s="409">
        <v>5405</v>
      </c>
      <c r="E15" s="409">
        <f>+D15-C15</f>
        <v>-248</v>
      </c>
      <c r="F15" s="410">
        <f>IF(C15=0,0,+E15/C15)</f>
        <v>-4.3870511232973641E-2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40132</v>
      </c>
      <c r="D16" s="401">
        <f>SUM(D12:D15)</f>
        <v>39784</v>
      </c>
      <c r="E16" s="401">
        <f>+D16-C16</f>
        <v>-348</v>
      </c>
      <c r="F16" s="402">
        <f>IF(C16=0,0,+E16/C16)</f>
        <v>-8.6713844313764579E-3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1188</v>
      </c>
      <c r="D19" s="409">
        <v>1193</v>
      </c>
      <c r="E19" s="409">
        <f>+D19-C19</f>
        <v>5</v>
      </c>
      <c r="F19" s="410">
        <f>IF(C19=0,0,+E19/C19)</f>
        <v>4.2087542087542087E-3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6926</v>
      </c>
      <c r="D20" s="409">
        <v>6900</v>
      </c>
      <c r="E20" s="409">
        <f>+D20-C20</f>
        <v>-26</v>
      </c>
      <c r="F20" s="410">
        <f>IF(C20=0,0,+E20/C20)</f>
        <v>-3.7539705457695638E-3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204</v>
      </c>
      <c r="D21" s="409">
        <v>209</v>
      </c>
      <c r="E21" s="409">
        <f>+D21-C21</f>
        <v>5</v>
      </c>
      <c r="F21" s="410">
        <f>IF(C21=0,0,+E21/C21)</f>
        <v>2.4509803921568627E-2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6480</v>
      </c>
      <c r="D22" s="409">
        <v>5990</v>
      </c>
      <c r="E22" s="409">
        <f>+D22-C22</f>
        <v>-490</v>
      </c>
      <c r="F22" s="410">
        <f>IF(C22=0,0,+E22/C22)</f>
        <v>-7.5617283950617287E-2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14798</v>
      </c>
      <c r="D23" s="401">
        <f>SUM(D19:D22)</f>
        <v>14292</v>
      </c>
      <c r="E23" s="401">
        <f>+D23-C23</f>
        <v>-506</v>
      </c>
      <c r="F23" s="402">
        <f>IF(C23=0,0,+E23/C23)</f>
        <v>-3.4193809974320852E-2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2</v>
      </c>
      <c r="E26" s="409">
        <f>+D26-C26</f>
        <v>2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6</v>
      </c>
      <c r="D27" s="409">
        <v>258</v>
      </c>
      <c r="E27" s="409">
        <f>+D27-C27</f>
        <v>252</v>
      </c>
      <c r="F27" s="410">
        <f>IF(C27=0,0,+E27/C27)</f>
        <v>42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6</v>
      </c>
      <c r="D30" s="401">
        <f>SUM(D26:D29)</f>
        <v>260</v>
      </c>
      <c r="E30" s="401">
        <f>+D30-C30</f>
        <v>254</v>
      </c>
      <c r="F30" s="402">
        <f>IF(C30=0,0,+E30/C30)</f>
        <v>42.333333333333336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4</v>
      </c>
      <c r="D33" s="409">
        <v>9</v>
      </c>
      <c r="E33" s="409">
        <f>+D33-C33</f>
        <v>5</v>
      </c>
      <c r="F33" s="410">
        <f>IF(C33=0,0,+E33/C33)</f>
        <v>1.25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632</v>
      </c>
      <c r="D34" s="409">
        <v>767</v>
      </c>
      <c r="E34" s="409">
        <f>+D34-C34</f>
        <v>135</v>
      </c>
      <c r="F34" s="410">
        <f>IF(C34=0,0,+E34/C34)</f>
        <v>0.21360759493670886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636</v>
      </c>
      <c r="D37" s="401">
        <f>SUM(D33:D36)</f>
        <v>776</v>
      </c>
      <c r="E37" s="401">
        <f>+D37-C37</f>
        <v>140</v>
      </c>
      <c r="F37" s="402">
        <f>IF(C37=0,0,+E37/C37)</f>
        <v>0.22012578616352202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0" t="s">
        <v>566</v>
      </c>
      <c r="C39" s="811"/>
      <c r="D39" s="811"/>
      <c r="E39" s="811"/>
      <c r="F39" s="812"/>
    </row>
    <row r="40" spans="1:16" ht="15.75" customHeight="1" x14ac:dyDescent="0.25">
      <c r="A40" s="136"/>
      <c r="B40" s="810" t="s">
        <v>567</v>
      </c>
      <c r="C40" s="811"/>
      <c r="D40" s="811"/>
      <c r="E40" s="811"/>
      <c r="F40" s="812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377</v>
      </c>
      <c r="D43" s="409">
        <v>465</v>
      </c>
      <c r="E43" s="409">
        <f>+D43-C43</f>
        <v>88</v>
      </c>
      <c r="F43" s="410">
        <f>IF(C43=0,0,+E43/C43)</f>
        <v>0.23342175066312998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9763</v>
      </c>
      <c r="D44" s="409">
        <v>10260</v>
      </c>
      <c r="E44" s="409">
        <f>+D44-C44</f>
        <v>497</v>
      </c>
      <c r="F44" s="410">
        <f>IF(C44=0,0,+E44/C44)</f>
        <v>5.090648366280856E-2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10140</v>
      </c>
      <c r="D45" s="401">
        <f>SUM(D43:D44)</f>
        <v>10725</v>
      </c>
      <c r="E45" s="401">
        <f>+D45-C45</f>
        <v>585</v>
      </c>
      <c r="F45" s="402">
        <f>IF(C45=0,0,+E45/C45)</f>
        <v>5.7692307692307696E-2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864</v>
      </c>
      <c r="D48" s="409">
        <v>814</v>
      </c>
      <c r="E48" s="409">
        <f>+D48-C48</f>
        <v>-50</v>
      </c>
      <c r="F48" s="410">
        <f>IF(C48=0,0,+E48/C48)</f>
        <v>-5.7870370370370371E-2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864</v>
      </c>
      <c r="D49" s="409">
        <v>876</v>
      </c>
      <c r="E49" s="409">
        <f>+D49-C49</f>
        <v>12</v>
      </c>
      <c r="F49" s="410">
        <f>IF(C49=0,0,+E49/C49)</f>
        <v>1.3888888888888888E-2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1728</v>
      </c>
      <c r="D50" s="401">
        <f>SUM(D48:D49)</f>
        <v>1690</v>
      </c>
      <c r="E50" s="401">
        <f>+D50-C50</f>
        <v>-38</v>
      </c>
      <c r="F50" s="402">
        <f>IF(C50=0,0,+E50/C50)</f>
        <v>-2.1990740740740741E-2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132</v>
      </c>
      <c r="D53" s="409">
        <v>98</v>
      </c>
      <c r="E53" s="409">
        <f>+D53-C53</f>
        <v>-34</v>
      </c>
      <c r="F53" s="410">
        <f>IF(C53=0,0,+E53/C53)</f>
        <v>-0.25757575757575757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299</v>
      </c>
      <c r="D54" s="409">
        <v>304</v>
      </c>
      <c r="E54" s="409">
        <f>+D54-C54</f>
        <v>5</v>
      </c>
      <c r="F54" s="410">
        <f>IF(C54=0,0,+E54/C54)</f>
        <v>1.6722408026755852E-2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431</v>
      </c>
      <c r="D55" s="401">
        <f>SUM(D53:D54)</f>
        <v>402</v>
      </c>
      <c r="E55" s="401">
        <f>+D55-C55</f>
        <v>-29</v>
      </c>
      <c r="F55" s="402">
        <f>IF(C55=0,0,+E55/C55)</f>
        <v>-6.7285382830626447E-2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24</v>
      </c>
      <c r="D58" s="409">
        <v>31</v>
      </c>
      <c r="E58" s="409">
        <f>+D58-C58</f>
        <v>7</v>
      </c>
      <c r="F58" s="410">
        <f>IF(C58=0,0,+E58/C58)</f>
        <v>0.29166666666666669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95</v>
      </c>
      <c r="D59" s="409">
        <v>128</v>
      </c>
      <c r="E59" s="409">
        <f>+D59-C59</f>
        <v>33</v>
      </c>
      <c r="F59" s="410">
        <f>IF(C59=0,0,+E59/C59)</f>
        <v>0.3473684210526316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119</v>
      </c>
      <c r="D60" s="401">
        <f>SUM(D58:D59)</f>
        <v>159</v>
      </c>
      <c r="E60" s="401">
        <f>SUM(E58:E59)</f>
        <v>40</v>
      </c>
      <c r="F60" s="402">
        <f>IF(C60=0,0,+E60/C60)</f>
        <v>0.33613445378151263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4322</v>
      </c>
      <c r="D63" s="409">
        <v>3875</v>
      </c>
      <c r="E63" s="409">
        <f>+D63-C63</f>
        <v>-447</v>
      </c>
      <c r="F63" s="410">
        <f>IF(C63=0,0,+E63/C63)</f>
        <v>-0.10342434058306339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10811</v>
      </c>
      <c r="D64" s="409">
        <v>10586</v>
      </c>
      <c r="E64" s="409">
        <f>+D64-C64</f>
        <v>-225</v>
      </c>
      <c r="F64" s="410">
        <f>IF(C64=0,0,+E64/C64)</f>
        <v>-2.0812135787623715E-2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15133</v>
      </c>
      <c r="D65" s="401">
        <f>SUM(D63:D64)</f>
        <v>14461</v>
      </c>
      <c r="E65" s="401">
        <f>+D65-C65</f>
        <v>-672</v>
      </c>
      <c r="F65" s="402">
        <f>IF(C65=0,0,+E65/C65)</f>
        <v>-4.4406264455164213E-2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795</v>
      </c>
      <c r="D68" s="409">
        <v>797</v>
      </c>
      <c r="E68" s="409">
        <f>+D68-C68</f>
        <v>2</v>
      </c>
      <c r="F68" s="410">
        <f>IF(C68=0,0,+E68/C68)</f>
        <v>2.5157232704402514E-3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10519</v>
      </c>
      <c r="D69" s="409">
        <v>10753</v>
      </c>
      <c r="E69" s="409">
        <f>+D69-C69</f>
        <v>234</v>
      </c>
      <c r="F69" s="412">
        <f>IF(C69=0,0,+E69/C69)</f>
        <v>2.2245460595113602E-2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11314</v>
      </c>
      <c r="D70" s="401">
        <f>SUM(D68:D69)</f>
        <v>11550</v>
      </c>
      <c r="E70" s="401">
        <f>+D70-C70</f>
        <v>236</v>
      </c>
      <c r="F70" s="402">
        <f>IF(C70=0,0,+E70/C70)</f>
        <v>2.0859112603853633E-2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14260</v>
      </c>
      <c r="D73" s="376">
        <v>11548</v>
      </c>
      <c r="E73" s="409">
        <f>+D73-C73</f>
        <v>-2712</v>
      </c>
      <c r="F73" s="410">
        <f>IF(C73=0,0,+E73/C73)</f>
        <v>-0.19018232819074335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56362</v>
      </c>
      <c r="D74" s="376">
        <v>58017</v>
      </c>
      <c r="E74" s="409">
        <f>+D74-C74</f>
        <v>1655</v>
      </c>
      <c r="F74" s="410">
        <f>IF(C74=0,0,+E74/C74)</f>
        <v>2.9363755721940315E-2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70622</v>
      </c>
      <c r="D75" s="401">
        <f>SUM(D73:D74)</f>
        <v>69565</v>
      </c>
      <c r="E75" s="401">
        <f>SUM(E73:E74)</f>
        <v>-1057</v>
      </c>
      <c r="F75" s="402">
        <f>IF(C75=0,0,+E75/C75)</f>
        <v>-1.4967007448103991E-2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12816</v>
      </c>
      <c r="D80" s="376">
        <v>12722</v>
      </c>
      <c r="E80" s="409">
        <f t="shared" si="0"/>
        <v>-94</v>
      </c>
      <c r="F80" s="410">
        <f t="shared" si="1"/>
        <v>-7.3345817727840197E-3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22067</v>
      </c>
      <c r="D81" s="376">
        <v>20574</v>
      </c>
      <c r="E81" s="409">
        <f t="shared" si="0"/>
        <v>-1493</v>
      </c>
      <c r="F81" s="410">
        <f t="shared" si="1"/>
        <v>-6.7657588253953863E-2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61238</v>
      </c>
      <c r="D82" s="376">
        <v>0</v>
      </c>
      <c r="E82" s="409">
        <f t="shared" si="0"/>
        <v>-61238</v>
      </c>
      <c r="F82" s="410">
        <f t="shared" si="1"/>
        <v>-1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9906</v>
      </c>
      <c r="E83" s="409">
        <f t="shared" si="0"/>
        <v>9906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405</v>
      </c>
      <c r="E84" s="409">
        <f t="shared" si="0"/>
        <v>405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1308</v>
      </c>
      <c r="E85" s="409">
        <f t="shared" si="0"/>
        <v>1308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38813</v>
      </c>
      <c r="E86" s="409">
        <f t="shared" si="0"/>
        <v>38813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2319</v>
      </c>
      <c r="D87" s="376">
        <v>0</v>
      </c>
      <c r="E87" s="409">
        <f t="shared" si="0"/>
        <v>-2319</v>
      </c>
      <c r="F87" s="410">
        <f t="shared" si="1"/>
        <v>-1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1290</v>
      </c>
      <c r="E88" s="409">
        <f t="shared" si="0"/>
        <v>1290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964</v>
      </c>
      <c r="E89" s="409">
        <f t="shared" si="0"/>
        <v>964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8166</v>
      </c>
      <c r="E90" s="409">
        <f t="shared" si="0"/>
        <v>8166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5386</v>
      </c>
      <c r="E91" s="409">
        <f t="shared" si="0"/>
        <v>5386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98440</v>
      </c>
      <c r="D92" s="381">
        <f>SUM(D79:D91)</f>
        <v>99534</v>
      </c>
      <c r="E92" s="401">
        <f t="shared" si="0"/>
        <v>1094</v>
      </c>
      <c r="F92" s="402">
        <f t="shared" si="1"/>
        <v>1.1113368549370175E-2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46077</v>
      </c>
      <c r="D95" s="414">
        <v>42782</v>
      </c>
      <c r="E95" s="415">
        <f t="shared" ref="E95:E100" si="2">+D95-C95</f>
        <v>-3295</v>
      </c>
      <c r="F95" s="412">
        <f t="shared" ref="F95:F100" si="3">IF(C95=0,0,+E95/C95)</f>
        <v>-7.1510732035505786E-2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6260</v>
      </c>
      <c r="D96" s="414">
        <v>6301</v>
      </c>
      <c r="E96" s="409">
        <f t="shared" si="2"/>
        <v>41</v>
      </c>
      <c r="F96" s="410">
        <f t="shared" si="3"/>
        <v>6.5495207667731628E-3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6199</v>
      </c>
      <c r="D97" s="414">
        <v>7322</v>
      </c>
      <c r="E97" s="409">
        <f t="shared" si="2"/>
        <v>1123</v>
      </c>
      <c r="F97" s="410">
        <f t="shared" si="3"/>
        <v>0.1811582513308598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0</v>
      </c>
      <c r="D98" s="414">
        <v>0</v>
      </c>
      <c r="E98" s="409">
        <f t="shared" si="2"/>
        <v>0</v>
      </c>
      <c r="F98" s="410">
        <f t="shared" si="3"/>
        <v>0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0</v>
      </c>
      <c r="D99" s="414">
        <v>0</v>
      </c>
      <c r="E99" s="409">
        <f t="shared" si="2"/>
        <v>0</v>
      </c>
      <c r="F99" s="410">
        <f t="shared" si="3"/>
        <v>0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58536</v>
      </c>
      <c r="D100" s="381">
        <f>SUM(D95:D99)</f>
        <v>56405</v>
      </c>
      <c r="E100" s="401">
        <f t="shared" si="2"/>
        <v>-2131</v>
      </c>
      <c r="F100" s="402">
        <f t="shared" si="3"/>
        <v>-3.6404947382807161E-2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567.79999999999995</v>
      </c>
      <c r="D104" s="416">
        <v>551.70000000000005</v>
      </c>
      <c r="E104" s="417">
        <f>+D104-C104</f>
        <v>-16.099999999999909</v>
      </c>
      <c r="F104" s="410">
        <f>IF(C104=0,0,+E104/C104)</f>
        <v>-2.8355054596688817E-2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101.5</v>
      </c>
      <c r="D105" s="416">
        <v>115.2</v>
      </c>
      <c r="E105" s="417">
        <f>+D105-C105</f>
        <v>13.700000000000003</v>
      </c>
      <c r="F105" s="410">
        <f>IF(C105=0,0,+E105/C105)</f>
        <v>0.1349753694581281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1734.6</v>
      </c>
      <c r="D106" s="416">
        <v>1695</v>
      </c>
      <c r="E106" s="417">
        <f>+D106-C106</f>
        <v>-39.599999999999909</v>
      </c>
      <c r="F106" s="410">
        <f>IF(C106=0,0,+E106/C106)</f>
        <v>-2.2829470771359339E-2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2403.8999999999996</v>
      </c>
      <c r="D107" s="418">
        <f>SUM(D104:D106)</f>
        <v>2361.9</v>
      </c>
      <c r="E107" s="418">
        <f>+D107-C107</f>
        <v>-41.999999999999545</v>
      </c>
      <c r="F107" s="402">
        <f>IF(C107=0,0,+E107/C107)</f>
        <v>-1.7471608635966369E-2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B40:F40"/>
    <mergeCell ref="A1:F1"/>
    <mergeCell ref="A2:F2"/>
    <mergeCell ref="A3:F3"/>
    <mergeCell ref="A4:F4"/>
    <mergeCell ref="B39:F39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zoomScale="75" zoomScaleSheetLayoutView="90" workbookViewId="0">
      <selection sqref="A1:F1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3" t="s">
        <v>0</v>
      </c>
      <c r="B1" s="814"/>
      <c r="C1" s="814"/>
      <c r="D1" s="814"/>
      <c r="E1" s="814"/>
      <c r="F1" s="815"/>
    </row>
    <row r="2" spans="1:6" ht="15.75" customHeight="1" x14ac:dyDescent="0.25">
      <c r="A2" s="813" t="s">
        <v>1</v>
      </c>
      <c r="B2" s="814"/>
      <c r="C2" s="814"/>
      <c r="D2" s="814"/>
      <c r="E2" s="814"/>
      <c r="F2" s="815"/>
    </row>
    <row r="3" spans="1:6" ht="15.75" customHeight="1" x14ac:dyDescent="0.25">
      <c r="A3" s="813" t="s">
        <v>2</v>
      </c>
      <c r="B3" s="814"/>
      <c r="C3" s="814"/>
      <c r="D3" s="814"/>
      <c r="E3" s="814"/>
      <c r="F3" s="815"/>
    </row>
    <row r="4" spans="1:6" ht="15.75" customHeight="1" x14ac:dyDescent="0.25">
      <c r="A4" s="813" t="s">
        <v>620</v>
      </c>
      <c r="B4" s="814"/>
      <c r="C4" s="814"/>
      <c r="D4" s="814"/>
      <c r="E4" s="814"/>
      <c r="F4" s="815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10811</v>
      </c>
      <c r="D12" s="409">
        <v>10586</v>
      </c>
      <c r="E12" s="409">
        <f>+D12-C12</f>
        <v>-225</v>
      </c>
      <c r="F12" s="410">
        <f>IF(C12=0,0,+E12/C12)</f>
        <v>-2.0812135787623715E-2</v>
      </c>
    </row>
    <row r="13" spans="1:6" ht="15.75" customHeight="1" x14ac:dyDescent="0.25">
      <c r="A13" s="374"/>
      <c r="B13" s="399" t="s">
        <v>622</v>
      </c>
      <c r="C13" s="401">
        <f>SUM(C11:C12)</f>
        <v>10811</v>
      </c>
      <c r="D13" s="401">
        <f>SUM(D11:D12)</f>
        <v>10586</v>
      </c>
      <c r="E13" s="401">
        <f>+D13-C13</f>
        <v>-225</v>
      </c>
      <c r="F13" s="402">
        <f>IF(C13=0,0,+E13/C13)</f>
        <v>-2.0812135787623715E-2</v>
      </c>
    </row>
    <row r="14" spans="1:6" ht="15.75" customHeight="1" x14ac:dyDescent="0.25">
      <c r="A14" s="136"/>
      <c r="B14" s="399"/>
      <c r="C14" s="401"/>
      <c r="D14" s="401"/>
      <c r="E14" s="401"/>
      <c r="F14" s="402"/>
    </row>
    <row r="15" spans="1:6" ht="15.75" customHeight="1" x14ac:dyDescent="0.25">
      <c r="A15" s="136" t="s">
        <v>26</v>
      </c>
      <c r="B15" s="406" t="s">
        <v>588</v>
      </c>
      <c r="C15" s="409"/>
      <c r="D15" s="409"/>
      <c r="E15" s="409"/>
      <c r="F15" s="410"/>
    </row>
    <row r="16" spans="1:6" ht="15.75" customHeight="1" x14ac:dyDescent="0.2">
      <c r="A16" s="374">
        <v>1</v>
      </c>
      <c r="B16" s="408" t="s">
        <v>621</v>
      </c>
      <c r="C16" s="409">
        <v>10519</v>
      </c>
      <c r="D16" s="409">
        <v>10753</v>
      </c>
      <c r="E16" s="409">
        <f>+D16-C16</f>
        <v>234</v>
      </c>
      <c r="F16" s="410">
        <f>IF(C16=0,0,+E16/C16)</f>
        <v>2.2245460595113602E-2</v>
      </c>
    </row>
    <row r="17" spans="1:6" ht="15.75" customHeight="1" x14ac:dyDescent="0.25">
      <c r="A17" s="374"/>
      <c r="B17" s="399" t="s">
        <v>623</v>
      </c>
      <c r="C17" s="401">
        <f>SUM(C15:C16)</f>
        <v>10519</v>
      </c>
      <c r="D17" s="401">
        <f>SUM(D15:D16)</f>
        <v>10753</v>
      </c>
      <c r="E17" s="401">
        <f>+D17-C17</f>
        <v>234</v>
      </c>
      <c r="F17" s="402">
        <f>IF(C17=0,0,+E17/C17)</f>
        <v>2.2245460595113602E-2</v>
      </c>
    </row>
    <row r="18" spans="1:6" ht="15.75" customHeight="1" x14ac:dyDescent="0.25">
      <c r="A18" s="136"/>
      <c r="B18" s="399"/>
      <c r="C18" s="401"/>
      <c r="D18" s="401"/>
      <c r="E18" s="401"/>
      <c r="F18" s="402"/>
    </row>
    <row r="19" spans="1:6" ht="15.75" customHeight="1" x14ac:dyDescent="0.25">
      <c r="A19" s="136" t="s">
        <v>36</v>
      </c>
      <c r="B19" s="406" t="s">
        <v>624</v>
      </c>
      <c r="C19" s="409"/>
      <c r="D19" s="409"/>
      <c r="E19" s="409"/>
      <c r="F19" s="410"/>
    </row>
    <row r="20" spans="1:6" ht="15.75" customHeight="1" x14ac:dyDescent="0.2">
      <c r="A20" s="374">
        <v>1</v>
      </c>
      <c r="B20" s="408" t="s">
        <v>621</v>
      </c>
      <c r="C20" s="409">
        <v>56362</v>
      </c>
      <c r="D20" s="409">
        <v>58017</v>
      </c>
      <c r="E20" s="409">
        <f>+D20-C20</f>
        <v>1655</v>
      </c>
      <c r="F20" s="410">
        <f>IF(C20=0,0,+E20/C20)</f>
        <v>2.9363755721940315E-2</v>
      </c>
    </row>
    <row r="21" spans="1:6" ht="15.75" customHeight="1" x14ac:dyDescent="0.25">
      <c r="A21" s="374"/>
      <c r="B21" s="399" t="s">
        <v>625</v>
      </c>
      <c r="C21" s="401">
        <f>SUM(C19:C20)</f>
        <v>56362</v>
      </c>
      <c r="D21" s="401">
        <f>SUM(D19:D20)</f>
        <v>58017</v>
      </c>
      <c r="E21" s="401">
        <f>+D21-C21</f>
        <v>1655</v>
      </c>
      <c r="F21" s="402">
        <f>IF(C21=0,0,+E21/C21)</f>
        <v>2.9363755721940315E-2</v>
      </c>
    </row>
    <row r="22" spans="1:6" ht="15.75" customHeight="1" x14ac:dyDescent="0.25">
      <c r="A22" s="136"/>
      <c r="B22" s="399"/>
      <c r="C22" s="401"/>
      <c r="D22" s="401"/>
      <c r="E22" s="401"/>
      <c r="F22" s="402"/>
    </row>
    <row r="23" spans="1:6" ht="15.75" customHeight="1" x14ac:dyDescent="0.25">
      <c r="B23" s="810" t="s">
        <v>626</v>
      </c>
      <c r="C23" s="811"/>
      <c r="D23" s="811"/>
      <c r="E23" s="811"/>
      <c r="F23" s="812"/>
    </row>
    <row r="24" spans="1:6" ht="15.75" customHeight="1" x14ac:dyDescent="0.25">
      <c r="A24" s="392"/>
    </row>
    <row r="25" spans="1:6" ht="15.75" customHeight="1" x14ac:dyDescent="0.25">
      <c r="B25" s="810" t="s">
        <v>627</v>
      </c>
      <c r="C25" s="811"/>
      <c r="D25" s="811"/>
      <c r="E25" s="811"/>
      <c r="F25" s="812"/>
    </row>
    <row r="26" spans="1:6" ht="15.75" customHeight="1" x14ac:dyDescent="0.25">
      <c r="A26" s="392"/>
    </row>
    <row r="27" spans="1:6" ht="15.75" customHeight="1" x14ac:dyDescent="0.25">
      <c r="B27" s="810" t="s">
        <v>628</v>
      </c>
      <c r="C27" s="811"/>
      <c r="D27" s="811"/>
      <c r="E27" s="811"/>
      <c r="F27" s="812"/>
    </row>
    <row r="28" spans="1:6" ht="15.75" customHeight="1" x14ac:dyDescent="0.25">
      <c r="A28" s="392"/>
    </row>
  </sheetData>
  <mergeCells count="7">
    <mergeCell ref="B27:F27"/>
    <mergeCell ref="A1:F1"/>
    <mergeCell ref="A2:F2"/>
    <mergeCell ref="A3:F3"/>
    <mergeCell ref="A4:F4"/>
    <mergeCell ref="B23:F23"/>
    <mergeCell ref="B25:F25"/>
  </mergeCells>
  <printOptions gridLines="1"/>
  <pageMargins left="0.25" right="0.25" top="0.5" bottom="0.5" header="0.25" footer="0.25"/>
  <pageSetup scale="82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zoomScale="85" zoomScaleSheetLayoutView="80" workbookViewId="0">
      <selection sqref="A1:F1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629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630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631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632</v>
      </c>
      <c r="D7" s="426" t="s">
        <v>632</v>
      </c>
      <c r="E7" s="426" t="s">
        <v>633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634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635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636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637</v>
      </c>
      <c r="C15" s="448">
        <v>286880905</v>
      </c>
      <c r="D15" s="448">
        <v>298292004</v>
      </c>
      <c r="E15" s="448">
        <f t="shared" ref="E15:E24" si="0">D15-C15</f>
        <v>11411099</v>
      </c>
      <c r="F15" s="449">
        <f t="shared" ref="F15:F24" si="1">IF(C15=0,0,E15/C15)</f>
        <v>3.977643266288497E-2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638</v>
      </c>
      <c r="C16" s="448">
        <v>96248763</v>
      </c>
      <c r="D16" s="448">
        <v>97031490</v>
      </c>
      <c r="E16" s="448">
        <f t="shared" si="0"/>
        <v>782727</v>
      </c>
      <c r="F16" s="449">
        <f t="shared" si="1"/>
        <v>8.1323330877509561E-3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639</v>
      </c>
      <c r="C17" s="453">
        <f>IF(C15=0,0,C16/C15)</f>
        <v>0.33550076468142764</v>
      </c>
      <c r="D17" s="453">
        <f>IF(LN_IA1=0,0,LN_IA2/LN_IA1)</f>
        <v>0.32529028166641705</v>
      </c>
      <c r="E17" s="454">
        <f t="shared" si="0"/>
        <v>-1.0210483015010596E-2</v>
      </c>
      <c r="F17" s="449">
        <f t="shared" si="1"/>
        <v>-3.0433561082061578E-2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8736</v>
      </c>
      <c r="D18" s="456">
        <v>8369</v>
      </c>
      <c r="E18" s="456">
        <f t="shared" si="0"/>
        <v>-367</v>
      </c>
      <c r="F18" s="449">
        <f t="shared" si="1"/>
        <v>-4.2010073260073263E-2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640</v>
      </c>
      <c r="C19" s="459">
        <v>1.3210999999999999</v>
      </c>
      <c r="D19" s="459">
        <v>1.5411600000000001</v>
      </c>
      <c r="E19" s="460">
        <f t="shared" si="0"/>
        <v>0.22006000000000014</v>
      </c>
      <c r="F19" s="449">
        <f t="shared" si="1"/>
        <v>0.16657331012035437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641</v>
      </c>
      <c r="C20" s="463">
        <f>C18*C19</f>
        <v>11541.1296</v>
      </c>
      <c r="D20" s="463">
        <f>LN_IA4*LN_IA5</f>
        <v>12897.968040000002</v>
      </c>
      <c r="E20" s="463">
        <f t="shared" si="0"/>
        <v>1356.8384400000014</v>
      </c>
      <c r="F20" s="449">
        <f t="shared" si="1"/>
        <v>0.11756547989895212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642</v>
      </c>
      <c r="C21" s="465">
        <f>IF(C20=0,0,C16/C20)</f>
        <v>8339.6310704283223</v>
      </c>
      <c r="D21" s="465">
        <f>IF(LN_IA6=0,0,LN_IA2/LN_IA6)</f>
        <v>7523.0059261334618</v>
      </c>
      <c r="E21" s="465">
        <f t="shared" si="0"/>
        <v>-816.62514429486055</v>
      </c>
      <c r="F21" s="449">
        <f t="shared" si="1"/>
        <v>-9.7921015617890975E-2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48594</v>
      </c>
      <c r="D22" s="456">
        <v>47995</v>
      </c>
      <c r="E22" s="456">
        <f t="shared" si="0"/>
        <v>-599</v>
      </c>
      <c r="F22" s="449">
        <f t="shared" si="1"/>
        <v>-1.2326624686175248E-2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643</v>
      </c>
      <c r="C23" s="465">
        <f>IF(C22=0,0,C16/C22)</f>
        <v>1980.6717495987159</v>
      </c>
      <c r="D23" s="465">
        <f>IF(LN_IA8=0,0,LN_IA2/LN_IA8)</f>
        <v>2021.6999687467444</v>
      </c>
      <c r="E23" s="465">
        <f t="shared" si="0"/>
        <v>41.028219148028484</v>
      </c>
      <c r="F23" s="449">
        <f t="shared" si="1"/>
        <v>2.0714295115453026E-2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644</v>
      </c>
      <c r="C24" s="466">
        <f>IF(C18=0,0,C22/C18)</f>
        <v>5.5625</v>
      </c>
      <c r="D24" s="466">
        <f>IF(LN_IA4=0,0,LN_IA8/LN_IA4)</f>
        <v>5.7348548213645598</v>
      </c>
      <c r="E24" s="466">
        <f t="shared" si="0"/>
        <v>0.17235482136455982</v>
      </c>
      <c r="F24" s="449">
        <f t="shared" si="1"/>
        <v>3.0985136425089405E-2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645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646</v>
      </c>
      <c r="C27" s="448">
        <v>221855893</v>
      </c>
      <c r="D27" s="448">
        <v>240467040</v>
      </c>
      <c r="E27" s="448">
        <f t="shared" ref="E27:E32" si="2">D27-C27</f>
        <v>18611147</v>
      </c>
      <c r="F27" s="449">
        <f t="shared" ref="F27:F32" si="3">IF(C27=0,0,E27/C27)</f>
        <v>8.388845005798426E-2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647</v>
      </c>
      <c r="C28" s="448">
        <v>74385515</v>
      </c>
      <c r="D28" s="448">
        <v>78139901</v>
      </c>
      <c r="E28" s="448">
        <f t="shared" si="2"/>
        <v>3754386</v>
      </c>
      <c r="F28" s="449">
        <f t="shared" si="3"/>
        <v>5.0472003857202574E-2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648</v>
      </c>
      <c r="C29" s="453">
        <f>IF(C27=0,0,C28/C27)</f>
        <v>0.33528753279499318</v>
      </c>
      <c r="D29" s="453">
        <f>IF(LN_IA11=0,0,LN_IA12/LN_IA11)</f>
        <v>0.32495056702989317</v>
      </c>
      <c r="E29" s="454">
        <f t="shared" si="2"/>
        <v>-1.0336965765100015E-2</v>
      </c>
      <c r="F29" s="449">
        <f t="shared" si="3"/>
        <v>-3.0830152493085409E-2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649</v>
      </c>
      <c r="C30" s="453">
        <f>IF(C15=0,0,C27/C15)</f>
        <v>0.77333795708710551</v>
      </c>
      <c r="D30" s="453">
        <f>IF(LN_IA1=0,0,LN_IA11/LN_IA1)</f>
        <v>0.80614644970503468</v>
      </c>
      <c r="E30" s="454">
        <f t="shared" si="2"/>
        <v>3.2808492617929175E-2</v>
      </c>
      <c r="F30" s="449">
        <f t="shared" si="3"/>
        <v>4.2424521281106298E-2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650</v>
      </c>
      <c r="C31" s="463">
        <f>C30*C18</f>
        <v>6755.8803931129542</v>
      </c>
      <c r="D31" s="463">
        <f>LN_IA14*LN_IA4</f>
        <v>6746.6396375814356</v>
      </c>
      <c r="E31" s="463">
        <f t="shared" si="2"/>
        <v>-9.2407555315185164</v>
      </c>
      <c r="F31" s="449">
        <f t="shared" si="3"/>
        <v>-1.3678092260097858E-3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651</v>
      </c>
      <c r="C32" s="465">
        <f>IF(C31=0,0,C28/C31)</f>
        <v>11010.484299844875</v>
      </c>
      <c r="D32" s="465">
        <f>IF(LN_IA15=0,0,LN_IA12/LN_IA15)</f>
        <v>11582.047537374017</v>
      </c>
      <c r="E32" s="465">
        <f t="shared" si="2"/>
        <v>571.5632375291425</v>
      </c>
      <c r="F32" s="449">
        <f t="shared" si="3"/>
        <v>5.1910817177877926E-2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652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653</v>
      </c>
      <c r="C35" s="448">
        <f>C15+C27</f>
        <v>508736798</v>
      </c>
      <c r="D35" s="448">
        <f>LN_IA1+LN_IA11</f>
        <v>538759044</v>
      </c>
      <c r="E35" s="448">
        <f>D35-C35</f>
        <v>30022246</v>
      </c>
      <c r="F35" s="449">
        <f>IF(C35=0,0,E35/C35)</f>
        <v>5.9013317137715682E-2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654</v>
      </c>
      <c r="C36" s="448">
        <f>C16+C28</f>
        <v>170634278</v>
      </c>
      <c r="D36" s="448">
        <f>LN_IA2+LN_IA12</f>
        <v>175171391</v>
      </c>
      <c r="E36" s="448">
        <f>D36-C36</f>
        <v>4537113</v>
      </c>
      <c r="F36" s="449">
        <f>IF(C36=0,0,E36/C36)</f>
        <v>2.6589692605608822E-2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655</v>
      </c>
      <c r="C37" s="448">
        <f>C35-C36</f>
        <v>338102520</v>
      </c>
      <c r="D37" s="448">
        <f>LN_IA17-LN_IA18</f>
        <v>363587653</v>
      </c>
      <c r="E37" s="448">
        <f>D37-C37</f>
        <v>25485133</v>
      </c>
      <c r="F37" s="449">
        <f>IF(C37=0,0,E37/C37)</f>
        <v>7.5376938923732359E-2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656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657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637</v>
      </c>
      <c r="C42" s="448">
        <v>183085674</v>
      </c>
      <c r="D42" s="448">
        <v>181681956</v>
      </c>
      <c r="E42" s="448">
        <f t="shared" ref="E42:E53" si="4">D42-C42</f>
        <v>-1403718</v>
      </c>
      <c r="F42" s="449">
        <f t="shared" ref="F42:F53" si="5">IF(C42=0,0,E42/C42)</f>
        <v>-7.6670007506977307E-3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638</v>
      </c>
      <c r="C43" s="448">
        <v>108067227</v>
      </c>
      <c r="D43" s="448">
        <v>105934095</v>
      </c>
      <c r="E43" s="448">
        <f t="shared" si="4"/>
        <v>-2133132</v>
      </c>
      <c r="F43" s="449">
        <f t="shared" si="5"/>
        <v>-1.9738935283312119E-2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639</v>
      </c>
      <c r="C44" s="453">
        <f>IF(C42=0,0,C43/C42)</f>
        <v>0.59025495899804814</v>
      </c>
      <c r="D44" s="453">
        <f>IF(LN_IB1=0,0,LN_IB2/LN_IB1)</f>
        <v>0.58307438631935471</v>
      </c>
      <c r="E44" s="454">
        <f t="shared" si="4"/>
        <v>-7.180572678693431E-3</v>
      </c>
      <c r="F44" s="449">
        <f t="shared" si="5"/>
        <v>-1.2165205169783547E-2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7521</v>
      </c>
      <c r="D45" s="456">
        <v>6808</v>
      </c>
      <c r="E45" s="456">
        <f t="shared" si="4"/>
        <v>-713</v>
      </c>
      <c r="F45" s="449">
        <f t="shared" si="5"/>
        <v>-9.480122324159021E-2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640</v>
      </c>
      <c r="C46" s="459">
        <v>1.2112000000000001</v>
      </c>
      <c r="D46" s="459">
        <v>1.2166999999999999</v>
      </c>
      <c r="E46" s="460">
        <f t="shared" si="4"/>
        <v>5.4999999999998384E-3</v>
      </c>
      <c r="F46" s="449">
        <f t="shared" si="5"/>
        <v>4.5409511228532351E-3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641</v>
      </c>
      <c r="C47" s="463">
        <f>C45*C46</f>
        <v>9109.4351999999999</v>
      </c>
      <c r="D47" s="463">
        <f>LN_IB4*LN_IB5</f>
        <v>8283.2935999999991</v>
      </c>
      <c r="E47" s="463">
        <f t="shared" si="4"/>
        <v>-826.14160000000084</v>
      </c>
      <c r="F47" s="449">
        <f t="shared" si="5"/>
        <v>-9.0690759839863716E-2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642</v>
      </c>
      <c r="C48" s="465">
        <f>IF(C47=0,0,C43/C47)</f>
        <v>11863.219247665322</v>
      </c>
      <c r="D48" s="465">
        <f>IF(LN_IB6=0,0,LN_IB2/LN_IB6)</f>
        <v>12788.885691556317</v>
      </c>
      <c r="E48" s="465">
        <f t="shared" si="4"/>
        <v>925.66644389099565</v>
      </c>
      <c r="F48" s="449">
        <f t="shared" si="5"/>
        <v>7.8028267417646055E-2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658</v>
      </c>
      <c r="C49" s="465">
        <f>C21-C48</f>
        <v>-3523.5881772369994</v>
      </c>
      <c r="D49" s="465">
        <f>LN_IA7-LN_IB7</f>
        <v>-5265.8797654228556</v>
      </c>
      <c r="E49" s="465">
        <f t="shared" si="4"/>
        <v>-1742.2915881858562</v>
      </c>
      <c r="F49" s="449">
        <f t="shared" si="5"/>
        <v>0.49446515896533166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659</v>
      </c>
      <c r="C50" s="479">
        <f>C49*C47</f>
        <v>-32097898.17202656</v>
      </c>
      <c r="D50" s="479">
        <f>LN_IB8*LN_IB6</f>
        <v>-43618828.159296639</v>
      </c>
      <c r="E50" s="479">
        <f t="shared" si="4"/>
        <v>-11520929.98727008</v>
      </c>
      <c r="F50" s="449">
        <f t="shared" si="5"/>
        <v>0.35893097814456321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27864</v>
      </c>
      <c r="D51" s="456">
        <v>26571</v>
      </c>
      <c r="E51" s="456">
        <f t="shared" si="4"/>
        <v>-1293</v>
      </c>
      <c r="F51" s="449">
        <f t="shared" si="5"/>
        <v>-4.6403962101636519E-2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643</v>
      </c>
      <c r="C52" s="465">
        <f>IF(C51=0,0,C43/C51)</f>
        <v>3878.3816752799312</v>
      </c>
      <c r="D52" s="465">
        <f>IF(LN_IB10=0,0,LN_IB2/LN_IB10)</f>
        <v>3986.8313198599976</v>
      </c>
      <c r="E52" s="465">
        <f t="shared" si="4"/>
        <v>108.44964458006643</v>
      </c>
      <c r="F52" s="449">
        <f t="shared" si="5"/>
        <v>2.7962602358427971E-2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644</v>
      </c>
      <c r="C53" s="466">
        <f>IF(C45=0,0,C51/C45)</f>
        <v>3.7048264858396491</v>
      </c>
      <c r="D53" s="466">
        <f>IF(LN_IB4=0,0,LN_IB10/LN_IB4)</f>
        <v>3.9029083431257345</v>
      </c>
      <c r="E53" s="466">
        <f t="shared" si="4"/>
        <v>0.19808185728608541</v>
      </c>
      <c r="F53" s="449">
        <f t="shared" si="5"/>
        <v>5.346589321880018E-2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660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646</v>
      </c>
      <c r="C56" s="448">
        <v>337975393</v>
      </c>
      <c r="D56" s="448">
        <v>349151050</v>
      </c>
      <c r="E56" s="448">
        <f t="shared" ref="E56:E63" si="6">D56-C56</f>
        <v>11175657</v>
      </c>
      <c r="F56" s="449">
        <f t="shared" ref="F56:F63" si="7">IF(C56=0,0,E56/C56)</f>
        <v>3.3066481263030884E-2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647</v>
      </c>
      <c r="C57" s="448">
        <v>192273237</v>
      </c>
      <c r="D57" s="448">
        <v>197207019</v>
      </c>
      <c r="E57" s="448">
        <f t="shared" si="6"/>
        <v>4933782</v>
      </c>
      <c r="F57" s="449">
        <f t="shared" si="7"/>
        <v>2.5660263887896162E-2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648</v>
      </c>
      <c r="C58" s="453">
        <f>IF(C56=0,0,C57/C56)</f>
        <v>0.56889714749144471</v>
      </c>
      <c r="D58" s="453">
        <f>IF(LN_IB13=0,0,LN_IB14/LN_IB13)</f>
        <v>0.56481863365440255</v>
      </c>
      <c r="E58" s="454">
        <f t="shared" si="6"/>
        <v>-4.0785138370421636E-3</v>
      </c>
      <c r="F58" s="449">
        <f t="shared" si="7"/>
        <v>-7.169158528965023E-3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649</v>
      </c>
      <c r="C59" s="453">
        <f>IF(C42=0,0,C56/C42)</f>
        <v>1.8459958423617568</v>
      </c>
      <c r="D59" s="453">
        <f>IF(LN_IB1=0,0,LN_IB13/LN_IB1)</f>
        <v>1.9217706462825621</v>
      </c>
      <c r="E59" s="454">
        <f t="shared" si="6"/>
        <v>7.5774803920805267E-2</v>
      </c>
      <c r="F59" s="449">
        <f t="shared" si="7"/>
        <v>4.1048198583079905E-2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650</v>
      </c>
      <c r="C60" s="463">
        <f>C59*C45</f>
        <v>13883.734730402773</v>
      </c>
      <c r="D60" s="463">
        <f>LN_IB16*LN_IB4</f>
        <v>13083.414559891682</v>
      </c>
      <c r="E60" s="463">
        <f t="shared" si="6"/>
        <v>-800.32017051109142</v>
      </c>
      <c r="F60" s="449">
        <f t="shared" si="7"/>
        <v>-5.7644444096050067E-2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651</v>
      </c>
      <c r="C61" s="465">
        <f>IF(C60=0,0,C57/C60)</f>
        <v>13848.812350106178</v>
      </c>
      <c r="D61" s="465">
        <f>IF(LN_IB17=0,0,LN_IB14/LN_IB17)</f>
        <v>15073.054369503421</v>
      </c>
      <c r="E61" s="465">
        <f t="shared" si="6"/>
        <v>1224.242019397243</v>
      </c>
      <c r="F61" s="449">
        <f t="shared" si="7"/>
        <v>8.8400506010745158E-2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661</v>
      </c>
      <c r="C62" s="465">
        <f>C32-C61</f>
        <v>-2838.3280502613034</v>
      </c>
      <c r="D62" s="465">
        <f>LN_IA16-LN_IB18</f>
        <v>-3491.0068321294038</v>
      </c>
      <c r="E62" s="465">
        <f t="shared" si="6"/>
        <v>-652.67878186810049</v>
      </c>
      <c r="F62" s="449">
        <f t="shared" si="7"/>
        <v>0.2299518485215313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662</v>
      </c>
      <c r="C63" s="448">
        <f>C62*C60</f>
        <v>-39406593.727689244</v>
      </c>
      <c r="D63" s="448">
        <f>LN_IB19*LN_IB17</f>
        <v>-45674289.616163179</v>
      </c>
      <c r="E63" s="448">
        <f t="shared" si="6"/>
        <v>-6267695.8884739354</v>
      </c>
      <c r="F63" s="449">
        <f t="shared" si="7"/>
        <v>0.1590519579485985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663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653</v>
      </c>
      <c r="C66" s="448">
        <f>C42+C56</f>
        <v>521061067</v>
      </c>
      <c r="D66" s="448">
        <f>LN_IB1+LN_IB13</f>
        <v>530833006</v>
      </c>
      <c r="E66" s="448">
        <f>D66-C66</f>
        <v>9771939</v>
      </c>
      <c r="F66" s="449">
        <f>IF(C66=0,0,E66/C66)</f>
        <v>1.875392275278168E-2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654</v>
      </c>
      <c r="C67" s="448">
        <f>C43+C57</f>
        <v>300340464</v>
      </c>
      <c r="D67" s="448">
        <f>LN_IB2+LN_IB14</f>
        <v>303141114</v>
      </c>
      <c r="E67" s="448">
        <f>D67-C67</f>
        <v>2800650</v>
      </c>
      <c r="F67" s="449">
        <f>IF(C67=0,0,E67/C67)</f>
        <v>9.3249173378116643E-3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655</v>
      </c>
      <c r="C68" s="448">
        <f>C66-C67</f>
        <v>220720603</v>
      </c>
      <c r="D68" s="448">
        <f>LN_IB21-LN_IB22</f>
        <v>227691892</v>
      </c>
      <c r="E68" s="448">
        <f>D68-C68</f>
        <v>6971289</v>
      </c>
      <c r="F68" s="449">
        <f>IF(C68=0,0,E68/C68)</f>
        <v>3.1584224151471711E-2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664</v>
      </c>
      <c r="C70" s="441">
        <f>C50+C63</f>
        <v>-71504491.899715811</v>
      </c>
      <c r="D70" s="441">
        <f>LN_IB9+LN_IB20</f>
        <v>-89293117.775459826</v>
      </c>
      <c r="E70" s="448">
        <f>D70-C70</f>
        <v>-17788625.875744015</v>
      </c>
      <c r="F70" s="449">
        <f>IF(C70=0,0,E70/C70)</f>
        <v>0.24877634122192419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665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666</v>
      </c>
      <c r="C73" s="488">
        <v>457174326</v>
      </c>
      <c r="D73" s="488">
        <v>467423606</v>
      </c>
      <c r="E73" s="488">
        <f>D73-C73</f>
        <v>10249280</v>
      </c>
      <c r="F73" s="489">
        <f>IF(C73=0,0,E73/C73)</f>
        <v>2.2418756734821545E-2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667</v>
      </c>
      <c r="C74" s="488">
        <v>285461328</v>
      </c>
      <c r="D74" s="488">
        <v>286971340</v>
      </c>
      <c r="E74" s="488">
        <f>D74-C74</f>
        <v>1510012</v>
      </c>
      <c r="F74" s="489">
        <f>IF(C74=0,0,E74/C74)</f>
        <v>5.2897252688462234E-3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668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669</v>
      </c>
      <c r="C76" s="441">
        <f>C73-C74</f>
        <v>171712998</v>
      </c>
      <c r="D76" s="441">
        <f>LN_IB32-LN_IB33</f>
        <v>180452266</v>
      </c>
      <c r="E76" s="488">
        <f>D76-C76</f>
        <v>8739268</v>
      </c>
      <c r="F76" s="489">
        <f>IF(E76=0,0,E76/C76)</f>
        <v>5.0894621267983449E-2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670</v>
      </c>
      <c r="C77" s="453">
        <f>IF(C73=0,0,C76/C73)</f>
        <v>0.37559632777803886</v>
      </c>
      <c r="D77" s="453">
        <f>IF(LN_IB32=0,0,LN_IB34/LN_IB32)</f>
        <v>0.38605723734029812</v>
      </c>
      <c r="E77" s="493">
        <f>D77-C77</f>
        <v>1.0460909562259257E-2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671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672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637</v>
      </c>
      <c r="C83" s="448">
        <v>6349011</v>
      </c>
      <c r="D83" s="448">
        <v>5494250</v>
      </c>
      <c r="E83" s="448">
        <f t="shared" ref="E83:E95" si="8">D83-C83</f>
        <v>-854761</v>
      </c>
      <c r="F83" s="449">
        <f t="shared" ref="F83:F95" si="9">IF(C83=0,0,E83/C83)</f>
        <v>-0.13462899969774819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638</v>
      </c>
      <c r="C84" s="448">
        <v>1343992</v>
      </c>
      <c r="D84" s="448">
        <v>1444587</v>
      </c>
      <c r="E84" s="448">
        <f t="shared" si="8"/>
        <v>100595</v>
      </c>
      <c r="F84" s="449">
        <f t="shared" si="9"/>
        <v>7.4847915761403344E-2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639</v>
      </c>
      <c r="C85" s="453">
        <f>IF(C83=0,0,C84/C83)</f>
        <v>0.21168525302602248</v>
      </c>
      <c r="D85" s="453">
        <f>IF(LN_IC1=0,0,LN_IC2/LN_IC1)</f>
        <v>0.26292706010829503</v>
      </c>
      <c r="E85" s="454">
        <f t="shared" si="8"/>
        <v>5.124180708227255E-2</v>
      </c>
      <c r="F85" s="449">
        <f t="shared" si="9"/>
        <v>0.24206602184032816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197</v>
      </c>
      <c r="D86" s="456">
        <v>156</v>
      </c>
      <c r="E86" s="456">
        <f t="shared" si="8"/>
        <v>-41</v>
      </c>
      <c r="F86" s="449">
        <f t="shared" si="9"/>
        <v>-0.20812182741116753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640</v>
      </c>
      <c r="C87" s="459">
        <v>1.2902</v>
      </c>
      <c r="D87" s="459">
        <v>1.2056</v>
      </c>
      <c r="E87" s="460">
        <f t="shared" si="8"/>
        <v>-8.4600000000000009E-2</v>
      </c>
      <c r="F87" s="449">
        <f t="shared" si="9"/>
        <v>-6.5571229266780356E-2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641</v>
      </c>
      <c r="C88" s="463">
        <f>C86*C87</f>
        <v>254.1694</v>
      </c>
      <c r="D88" s="463">
        <f>LN_IC4*LN_IC5</f>
        <v>188.0736</v>
      </c>
      <c r="E88" s="463">
        <f t="shared" si="8"/>
        <v>-66.095799999999997</v>
      </c>
      <c r="F88" s="449">
        <f t="shared" si="9"/>
        <v>-0.26004625261734887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642</v>
      </c>
      <c r="C89" s="465">
        <f>IF(C88=0,0,C84/C88)</f>
        <v>5287.7805117374473</v>
      </c>
      <c r="D89" s="465">
        <f>IF(LN_IC6=0,0,LN_IC2/LN_IC6)</f>
        <v>7680.9663876269715</v>
      </c>
      <c r="E89" s="465">
        <f t="shared" si="8"/>
        <v>2393.1858758895241</v>
      </c>
      <c r="F89" s="449">
        <f t="shared" si="9"/>
        <v>0.45258797534755774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673</v>
      </c>
      <c r="C90" s="465">
        <f>C48-C89</f>
        <v>6575.4387359278744</v>
      </c>
      <c r="D90" s="465">
        <f>LN_IB7-LN_IC7</f>
        <v>5107.9193039293459</v>
      </c>
      <c r="E90" s="465">
        <f t="shared" si="8"/>
        <v>-1467.5194319985285</v>
      </c>
      <c r="F90" s="449">
        <f t="shared" si="9"/>
        <v>-0.22318197932254685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674</v>
      </c>
      <c r="C91" s="465">
        <f>C21-C89</f>
        <v>3051.850558690875</v>
      </c>
      <c r="D91" s="465">
        <f>LN_IA7-LN_IC7</f>
        <v>-157.96046149350968</v>
      </c>
      <c r="E91" s="465">
        <f t="shared" si="8"/>
        <v>-3209.8110201843847</v>
      </c>
      <c r="F91" s="449">
        <f t="shared" si="9"/>
        <v>-1.0517589110134109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659</v>
      </c>
      <c r="C92" s="441">
        <f>C91*C88</f>
        <v>775687.02539212443</v>
      </c>
      <c r="D92" s="441">
        <f>LN_IC9*LN_IC6</f>
        <v>-29708.192650745743</v>
      </c>
      <c r="E92" s="441">
        <f t="shared" si="8"/>
        <v>-805395.21804287017</v>
      </c>
      <c r="F92" s="449">
        <f t="shared" si="9"/>
        <v>-1.0382992001648186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751</v>
      </c>
      <c r="D93" s="456">
        <v>566</v>
      </c>
      <c r="E93" s="456">
        <f t="shared" si="8"/>
        <v>-185</v>
      </c>
      <c r="F93" s="449">
        <f t="shared" si="9"/>
        <v>-0.24633821571238348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643</v>
      </c>
      <c r="C94" s="499">
        <f>IF(C93=0,0,C84/C93)</f>
        <v>1789.6031957390146</v>
      </c>
      <c r="D94" s="499">
        <f>IF(LN_IC11=0,0,LN_IC2/LN_IC11)</f>
        <v>2552.273851590106</v>
      </c>
      <c r="E94" s="499">
        <f t="shared" si="8"/>
        <v>762.6706558510914</v>
      </c>
      <c r="F94" s="449">
        <f t="shared" si="9"/>
        <v>0.42616746419931789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644</v>
      </c>
      <c r="C95" s="466">
        <f>IF(C86=0,0,C93/C86)</f>
        <v>3.8121827411167515</v>
      </c>
      <c r="D95" s="466">
        <f>IF(LN_IC4=0,0,LN_IC11/LN_IC4)</f>
        <v>3.6282051282051282</v>
      </c>
      <c r="E95" s="466">
        <f t="shared" si="8"/>
        <v>-0.18397761291162329</v>
      </c>
      <c r="F95" s="449">
        <f t="shared" si="9"/>
        <v>-4.8260439072689461E-2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675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646</v>
      </c>
      <c r="C98" s="448">
        <v>30198901</v>
      </c>
      <c r="D98" s="448">
        <v>28950356</v>
      </c>
      <c r="E98" s="448">
        <f t="shared" ref="E98:E106" si="10">D98-C98</f>
        <v>-1248545</v>
      </c>
      <c r="F98" s="449">
        <f t="shared" ref="F98:F106" si="11">IF(C98=0,0,E98/C98)</f>
        <v>-4.1344054209125028E-2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647</v>
      </c>
      <c r="C99" s="448">
        <v>6392663</v>
      </c>
      <c r="D99" s="448">
        <v>7611833</v>
      </c>
      <c r="E99" s="448">
        <f t="shared" si="10"/>
        <v>1219170</v>
      </c>
      <c r="F99" s="449">
        <f t="shared" si="11"/>
        <v>0.19071394816213524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648</v>
      </c>
      <c r="C100" s="453">
        <f>IF(C98=0,0,C99/C98)</f>
        <v>0.21168528616322826</v>
      </c>
      <c r="D100" s="453">
        <f>IF(LN_IC14=0,0,LN_IC15/LN_IC14)</f>
        <v>0.26292709492069805</v>
      </c>
      <c r="E100" s="454">
        <f t="shared" si="10"/>
        <v>5.1241808757469781E-2</v>
      </c>
      <c r="F100" s="449">
        <f t="shared" si="11"/>
        <v>0.2420659918609448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649</v>
      </c>
      <c r="C101" s="453">
        <f>IF(C83=0,0,C98/C83)</f>
        <v>4.7564732522907898</v>
      </c>
      <c r="D101" s="453">
        <f>IF(LN_IC1=0,0,LN_IC14/LN_IC1)</f>
        <v>5.2692098102561769</v>
      </c>
      <c r="E101" s="454">
        <f t="shared" si="10"/>
        <v>0.51273655796538709</v>
      </c>
      <c r="F101" s="449">
        <f t="shared" si="11"/>
        <v>0.10779763298751767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650</v>
      </c>
      <c r="C102" s="463">
        <f>C101*C86</f>
        <v>937.02523070128564</v>
      </c>
      <c r="D102" s="463">
        <f>LN_IC17*LN_IC4</f>
        <v>821.99673039996355</v>
      </c>
      <c r="E102" s="463">
        <f t="shared" si="10"/>
        <v>-115.02850030132208</v>
      </c>
      <c r="F102" s="449">
        <f t="shared" si="11"/>
        <v>-0.12275923479161047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651</v>
      </c>
      <c r="C103" s="465">
        <f>IF(C102=0,0,C99/C102)</f>
        <v>6822.2954842055024</v>
      </c>
      <c r="D103" s="465">
        <f>IF(LN_IC18=0,0,LN_IC15/LN_IC18)</f>
        <v>9260.1743030002908</v>
      </c>
      <c r="E103" s="465">
        <f t="shared" si="10"/>
        <v>2437.8788187947885</v>
      </c>
      <c r="F103" s="449">
        <f t="shared" si="11"/>
        <v>0.35733996342415741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676</v>
      </c>
      <c r="C104" s="465">
        <f>C61-C103</f>
        <v>7026.5168659006758</v>
      </c>
      <c r="D104" s="465">
        <f>LN_IB18-LN_IC19</f>
        <v>5812.8800665031304</v>
      </c>
      <c r="E104" s="465">
        <f t="shared" si="10"/>
        <v>-1213.6367993975455</v>
      </c>
      <c r="F104" s="449">
        <f t="shared" si="11"/>
        <v>-0.17272239184214619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677</v>
      </c>
      <c r="C105" s="465">
        <f>C32-C103</f>
        <v>4188.1888156393725</v>
      </c>
      <c r="D105" s="465">
        <f>LN_IA16-LN_IC19</f>
        <v>2321.8732343737265</v>
      </c>
      <c r="E105" s="465">
        <f t="shared" si="10"/>
        <v>-1866.315581265646</v>
      </c>
      <c r="F105" s="449">
        <f t="shared" si="11"/>
        <v>-0.44561400247680394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662</v>
      </c>
      <c r="C106" s="448">
        <f>C105*C102</f>
        <v>3924438.5911950273</v>
      </c>
      <c r="D106" s="448">
        <f>LN_IC21*LN_IC18</f>
        <v>1908572.2070583915</v>
      </c>
      <c r="E106" s="448">
        <f t="shared" si="10"/>
        <v>-2015866.3841366358</v>
      </c>
      <c r="F106" s="449">
        <f t="shared" si="11"/>
        <v>-0.51367000331193513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678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653</v>
      </c>
      <c r="C109" s="448">
        <f>C83+C98</f>
        <v>36547912</v>
      </c>
      <c r="D109" s="448">
        <f>LN_IC1+LN_IC14</f>
        <v>34444606</v>
      </c>
      <c r="E109" s="448">
        <f>D109-C109</f>
        <v>-2103306</v>
      </c>
      <c r="F109" s="449">
        <f>IF(C109=0,0,E109/C109)</f>
        <v>-5.7549279422583706E-2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654</v>
      </c>
      <c r="C110" s="448">
        <f>C84+C99</f>
        <v>7736655</v>
      </c>
      <c r="D110" s="448">
        <f>LN_IC2+LN_IC15</f>
        <v>9056420</v>
      </c>
      <c r="E110" s="448">
        <f>D110-C110</f>
        <v>1319765</v>
      </c>
      <c r="F110" s="449">
        <f>IF(C110=0,0,E110/C110)</f>
        <v>0.17058599614432851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655</v>
      </c>
      <c r="C111" s="448">
        <f>C109-C110</f>
        <v>28811257</v>
      </c>
      <c r="D111" s="448">
        <f>LN_IC23-LN_IC24</f>
        <v>25388186</v>
      </c>
      <c r="E111" s="448">
        <f>D111-C111</f>
        <v>-3423071</v>
      </c>
      <c r="F111" s="449">
        <f>IF(C111=0,0,E111/C111)</f>
        <v>-0.1188101928353907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664</v>
      </c>
      <c r="C113" s="448">
        <f>C92+C106</f>
        <v>4700125.6165871518</v>
      </c>
      <c r="D113" s="448">
        <f>LN_IC10+LN_IC22</f>
        <v>1878864.0144076457</v>
      </c>
      <c r="E113" s="448">
        <f>D113-C113</f>
        <v>-2821261.6021795059</v>
      </c>
      <c r="F113" s="449">
        <f>IF(C113=0,0,E113/C113)</f>
        <v>-0.60025238309015161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679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680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637</v>
      </c>
      <c r="C118" s="448">
        <v>72740335</v>
      </c>
      <c r="D118" s="448">
        <v>76554491</v>
      </c>
      <c r="E118" s="448">
        <f t="shared" ref="E118:E130" si="12">D118-C118</f>
        <v>3814156</v>
      </c>
      <c r="F118" s="449">
        <f t="shared" ref="F118:F130" si="13">IF(C118=0,0,E118/C118)</f>
        <v>5.2435227305455773E-2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638</v>
      </c>
      <c r="C119" s="448">
        <v>18124266</v>
      </c>
      <c r="D119" s="448">
        <v>16870763</v>
      </c>
      <c r="E119" s="448">
        <f t="shared" si="12"/>
        <v>-1253503</v>
      </c>
      <c r="F119" s="449">
        <f t="shared" si="13"/>
        <v>-6.9161587012682338E-2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639</v>
      </c>
      <c r="C120" s="453">
        <f>IF(C118=0,0,C119/C118)</f>
        <v>0.2491639061051891</v>
      </c>
      <c r="D120" s="453">
        <f>IF(LN_ID1=0,0,LN_1D2/LN_ID1)</f>
        <v>0.22037587579283885</v>
      </c>
      <c r="E120" s="454">
        <f t="shared" si="12"/>
        <v>-2.8788030312350249E-2</v>
      </c>
      <c r="F120" s="449">
        <f t="shared" si="13"/>
        <v>-0.11553852547245289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3326</v>
      </c>
      <c r="D121" s="456">
        <v>3321</v>
      </c>
      <c r="E121" s="456">
        <f t="shared" si="12"/>
        <v>-5</v>
      </c>
      <c r="F121" s="449">
        <f t="shared" si="13"/>
        <v>-1.5033072760072159E-3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640</v>
      </c>
      <c r="C122" s="459">
        <v>0.99129999999999996</v>
      </c>
      <c r="D122" s="459">
        <v>1.034</v>
      </c>
      <c r="E122" s="460">
        <f t="shared" si="12"/>
        <v>4.2700000000000071E-2</v>
      </c>
      <c r="F122" s="449">
        <f t="shared" si="13"/>
        <v>4.3074750327852386E-2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641</v>
      </c>
      <c r="C123" s="463">
        <f>C121*C122</f>
        <v>3297.0637999999999</v>
      </c>
      <c r="D123" s="463">
        <f>LN_ID4*LN_ID5</f>
        <v>3433.9140000000002</v>
      </c>
      <c r="E123" s="463">
        <f t="shared" si="12"/>
        <v>136.85020000000031</v>
      </c>
      <c r="F123" s="449">
        <f t="shared" si="13"/>
        <v>4.1506688466265144E-2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642</v>
      </c>
      <c r="C124" s="465">
        <f>IF(C123=0,0,C119/C123)</f>
        <v>5497.0928982326641</v>
      </c>
      <c r="D124" s="465">
        <f>IF(LN_ID6=0,0,LN_1D2/LN_ID6)</f>
        <v>4912.9835517138745</v>
      </c>
      <c r="E124" s="465">
        <f t="shared" si="12"/>
        <v>-584.10934651878961</v>
      </c>
      <c r="F124" s="449">
        <f t="shared" si="13"/>
        <v>-0.10625786344389103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681</v>
      </c>
      <c r="C125" s="465">
        <f>C48-C124</f>
        <v>6366.1263494326577</v>
      </c>
      <c r="D125" s="465">
        <f>LN_IB7-LN_ID7</f>
        <v>7875.9021398424429</v>
      </c>
      <c r="E125" s="465">
        <f t="shared" si="12"/>
        <v>1509.7757904097853</v>
      </c>
      <c r="F125" s="449">
        <f t="shared" si="13"/>
        <v>0.23715768546509211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682</v>
      </c>
      <c r="C126" s="465">
        <f>C21-C124</f>
        <v>2842.5381721956583</v>
      </c>
      <c r="D126" s="465">
        <f>LN_IA7-LN_ID7</f>
        <v>2610.0223744195873</v>
      </c>
      <c r="E126" s="465">
        <f t="shared" si="12"/>
        <v>-232.51579777607094</v>
      </c>
      <c r="F126" s="449">
        <f t="shared" si="13"/>
        <v>-8.1798654473818039E-2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659</v>
      </c>
      <c r="C127" s="479">
        <f>C126*C123</f>
        <v>9372029.7076644711</v>
      </c>
      <c r="D127" s="479">
        <f>LN_ID9*LN_ID6</f>
        <v>8962592.3718326632</v>
      </c>
      <c r="E127" s="479">
        <f t="shared" si="12"/>
        <v>-409437.33583180793</v>
      </c>
      <c r="F127" s="449">
        <f t="shared" si="13"/>
        <v>-4.3687157275757352E-2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15198</v>
      </c>
      <c r="D128" s="456">
        <v>16180</v>
      </c>
      <c r="E128" s="456">
        <f t="shared" si="12"/>
        <v>982</v>
      </c>
      <c r="F128" s="449">
        <f t="shared" si="13"/>
        <v>6.461376496907488E-2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643</v>
      </c>
      <c r="C129" s="465">
        <f>IF(C128=0,0,C119/C128)</f>
        <v>1192.5428345834978</v>
      </c>
      <c r="D129" s="465">
        <f>IF(LN_ID11=0,0,LN_1D2/LN_ID11)</f>
        <v>1042.6923980222498</v>
      </c>
      <c r="E129" s="465">
        <f t="shared" si="12"/>
        <v>-149.85043656124799</v>
      </c>
      <c r="F129" s="449">
        <f t="shared" si="13"/>
        <v>-0.1256562298775491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644</v>
      </c>
      <c r="C130" s="466">
        <f>IF(C121=0,0,C128/C121)</f>
        <v>4.5694527961515332</v>
      </c>
      <c r="D130" s="466">
        <f>IF(LN_ID4=0,0,LN_ID11/LN_ID4)</f>
        <v>4.8720264980427581</v>
      </c>
      <c r="E130" s="466">
        <f t="shared" si="12"/>
        <v>0.3025737018912249</v>
      </c>
      <c r="F130" s="449">
        <f t="shared" si="13"/>
        <v>6.6216616165956976E-2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683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646</v>
      </c>
      <c r="C133" s="448">
        <v>71133372</v>
      </c>
      <c r="D133" s="448">
        <v>82631036</v>
      </c>
      <c r="E133" s="448">
        <f t="shared" ref="E133:E141" si="14">D133-C133</f>
        <v>11497664</v>
      </c>
      <c r="F133" s="449">
        <f t="shared" ref="F133:F141" si="15">IF(C133=0,0,E133/C133)</f>
        <v>0.16163530107921778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647</v>
      </c>
      <c r="C134" s="448">
        <v>17240567</v>
      </c>
      <c r="D134" s="448">
        <v>18209887</v>
      </c>
      <c r="E134" s="448">
        <f t="shared" si="14"/>
        <v>969320</v>
      </c>
      <c r="F134" s="449">
        <f t="shared" si="15"/>
        <v>5.6223208900264124E-2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648</v>
      </c>
      <c r="C135" s="453">
        <f>IF(C133=0,0,C134/C133)</f>
        <v>0.24236960114867043</v>
      </c>
      <c r="D135" s="453">
        <f>IF(LN_ID14=0,0,LN_ID15/LN_ID14)</f>
        <v>0.22037587668633368</v>
      </c>
      <c r="E135" s="454">
        <f t="shared" si="14"/>
        <v>-2.1993724462336744E-2</v>
      </c>
      <c r="F135" s="449">
        <f t="shared" si="15"/>
        <v>-9.0744566802524504E-2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649</v>
      </c>
      <c r="C136" s="453">
        <f>IF(C118=0,0,C133/C118)</f>
        <v>0.97790822657058152</v>
      </c>
      <c r="D136" s="453">
        <f>IF(LN_ID1=0,0,LN_ID14/LN_ID1)</f>
        <v>1.0793754216196147</v>
      </c>
      <c r="E136" s="454">
        <f t="shared" si="14"/>
        <v>0.10146719504903323</v>
      </c>
      <c r="F136" s="449">
        <f t="shared" si="15"/>
        <v>0.10375942475181717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650</v>
      </c>
      <c r="C137" s="463">
        <f>C136*C121</f>
        <v>3252.522761573754</v>
      </c>
      <c r="D137" s="463">
        <f>LN_ID17*LN_ID4</f>
        <v>3584.6057751987405</v>
      </c>
      <c r="E137" s="463">
        <f t="shared" si="14"/>
        <v>332.08301362498651</v>
      </c>
      <c r="F137" s="449">
        <f t="shared" si="15"/>
        <v>0.10210013517762624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651</v>
      </c>
      <c r="C138" s="465">
        <f>IF(C137=0,0,C134/C137)</f>
        <v>5300.6752800272616</v>
      </c>
      <c r="D138" s="465">
        <f>IF(LN_ID18=0,0,LN_ID15/LN_ID18)</f>
        <v>5080.0250130686663</v>
      </c>
      <c r="E138" s="465">
        <f t="shared" si="14"/>
        <v>-220.65026695859524</v>
      </c>
      <c r="F138" s="449">
        <f t="shared" si="15"/>
        <v>-4.1626822112646074E-2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684</v>
      </c>
      <c r="C139" s="465">
        <f>C61-C138</f>
        <v>8548.1370700789157</v>
      </c>
      <c r="D139" s="465">
        <f>LN_IB18-LN_ID19</f>
        <v>9993.0293564347558</v>
      </c>
      <c r="E139" s="465">
        <f t="shared" si="14"/>
        <v>1444.89228635584</v>
      </c>
      <c r="F139" s="449">
        <f t="shared" si="15"/>
        <v>0.16903007924538357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685</v>
      </c>
      <c r="C140" s="465">
        <f>C32-C138</f>
        <v>5709.8090198176133</v>
      </c>
      <c r="D140" s="465">
        <f>LN_IA16-LN_ID19</f>
        <v>6502.022524305351</v>
      </c>
      <c r="E140" s="465">
        <f t="shared" si="14"/>
        <v>792.21350448773774</v>
      </c>
      <c r="F140" s="449">
        <f t="shared" si="15"/>
        <v>0.13874605993617684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662</v>
      </c>
      <c r="C141" s="441">
        <f>C140*C137</f>
        <v>18571283.801195912</v>
      </c>
      <c r="D141" s="441">
        <f>LN_ID21*LN_ID18</f>
        <v>23307187.491097253</v>
      </c>
      <c r="E141" s="441">
        <f t="shared" si="14"/>
        <v>4735903.6899013408</v>
      </c>
      <c r="F141" s="449">
        <f t="shared" si="15"/>
        <v>0.25501218658864977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686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653</v>
      </c>
      <c r="C144" s="448">
        <f>C118+C133</f>
        <v>143873707</v>
      </c>
      <c r="D144" s="448">
        <f>LN_ID1+LN_ID14</f>
        <v>159185527</v>
      </c>
      <c r="E144" s="448">
        <f>D144-C144</f>
        <v>15311820</v>
      </c>
      <c r="F144" s="449">
        <f>IF(C144=0,0,E144/C144)</f>
        <v>0.10642542212386312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654</v>
      </c>
      <c r="C145" s="448">
        <f>C119+C134</f>
        <v>35364833</v>
      </c>
      <c r="D145" s="448">
        <f>LN_1D2+LN_ID15</f>
        <v>35080650</v>
      </c>
      <c r="E145" s="448">
        <f>D145-C145</f>
        <v>-284183</v>
      </c>
      <c r="F145" s="449">
        <f>IF(C145=0,0,E145/C145)</f>
        <v>-8.0357512221250985E-3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655</v>
      </c>
      <c r="C146" s="448">
        <f>C144-C145</f>
        <v>108508874</v>
      </c>
      <c r="D146" s="448">
        <f>LN_ID23-LN_ID24</f>
        <v>124104877</v>
      </c>
      <c r="E146" s="448">
        <f>D146-C146</f>
        <v>15596003</v>
      </c>
      <c r="F146" s="449">
        <f>IF(C146=0,0,E146/C146)</f>
        <v>0.14373020772476175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664</v>
      </c>
      <c r="C148" s="448">
        <f>C127+C141</f>
        <v>27943313.508860383</v>
      </c>
      <c r="D148" s="448">
        <f>LN_ID10+LN_ID22</f>
        <v>32269779.862929918</v>
      </c>
      <c r="E148" s="448">
        <f>D148-C148</f>
        <v>4326466.3540695347</v>
      </c>
      <c r="F148" s="503">
        <f>IF(C148=0,0,E148/C148)</f>
        <v>0.15483011177960984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687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688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637</v>
      </c>
      <c r="C153" s="448">
        <v>799376</v>
      </c>
      <c r="D153" s="448">
        <v>1083732</v>
      </c>
      <c r="E153" s="448">
        <f t="shared" ref="E153:E165" si="16">D153-C153</f>
        <v>284356</v>
      </c>
      <c r="F153" s="449">
        <f t="shared" ref="F153:F165" si="17">IF(C153=0,0,E153/C153)</f>
        <v>0.35572246352154679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638</v>
      </c>
      <c r="C154" s="448">
        <v>230040</v>
      </c>
      <c r="D154" s="448">
        <v>454694</v>
      </c>
      <c r="E154" s="448">
        <f t="shared" si="16"/>
        <v>224654</v>
      </c>
      <c r="F154" s="449">
        <f t="shared" si="17"/>
        <v>0.97658668057729092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639</v>
      </c>
      <c r="C155" s="453">
        <f>IF(C153=0,0,C154/C153)</f>
        <v>0.28777446408198393</v>
      </c>
      <c r="D155" s="453">
        <f>IF(LN_IE1=0,0,LN_IE2/LN_IE1)</f>
        <v>0.41956313922630317</v>
      </c>
      <c r="E155" s="454">
        <f t="shared" si="16"/>
        <v>0.13178867514431925</v>
      </c>
      <c r="F155" s="449">
        <f t="shared" si="17"/>
        <v>0.45795819849663255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51</v>
      </c>
      <c r="D156" s="506">
        <v>29</v>
      </c>
      <c r="E156" s="506">
        <f t="shared" si="16"/>
        <v>-22</v>
      </c>
      <c r="F156" s="449">
        <f t="shared" si="17"/>
        <v>-0.43137254901960786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640</v>
      </c>
      <c r="C157" s="459">
        <v>0.84919999999999995</v>
      </c>
      <c r="D157" s="459">
        <v>1.2048000000000001</v>
      </c>
      <c r="E157" s="460">
        <f t="shared" si="16"/>
        <v>0.35560000000000014</v>
      </c>
      <c r="F157" s="449">
        <f t="shared" si="17"/>
        <v>0.4187470560527557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641</v>
      </c>
      <c r="C158" s="463">
        <f>C156*C157</f>
        <v>43.309199999999997</v>
      </c>
      <c r="D158" s="463">
        <f>LN_IE4*LN_IE5</f>
        <v>34.9392</v>
      </c>
      <c r="E158" s="463">
        <f t="shared" si="16"/>
        <v>-8.3699999999999974</v>
      </c>
      <c r="F158" s="449">
        <f t="shared" si="17"/>
        <v>-0.19326147793078602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642</v>
      </c>
      <c r="C159" s="465">
        <f>IF(C158=0,0,C154/C158)</f>
        <v>5311.5735224848304</v>
      </c>
      <c r="D159" s="465">
        <f>IF(LN_IE6=0,0,LN_IE2/LN_IE6)</f>
        <v>13013.864083894308</v>
      </c>
      <c r="E159" s="465">
        <f t="shared" si="16"/>
        <v>7702.290561409478</v>
      </c>
      <c r="F159" s="449">
        <f t="shared" si="17"/>
        <v>1.450095819780018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689</v>
      </c>
      <c r="C160" s="465">
        <f>C48-C159</f>
        <v>6551.6457251804914</v>
      </c>
      <c r="D160" s="465">
        <f>LN_IB7-LN_IE7</f>
        <v>-224.97839233799095</v>
      </c>
      <c r="E160" s="465">
        <f t="shared" si="16"/>
        <v>-6776.6241175184823</v>
      </c>
      <c r="F160" s="449">
        <f t="shared" si="17"/>
        <v>-1.0343392182323461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690</v>
      </c>
      <c r="C161" s="465">
        <f>C21-C159</f>
        <v>3028.057547943492</v>
      </c>
      <c r="D161" s="465">
        <f>LN_IA7-LN_IE7</f>
        <v>-5490.8581577608466</v>
      </c>
      <c r="E161" s="465">
        <f t="shared" si="16"/>
        <v>-8518.9157057043376</v>
      </c>
      <c r="F161" s="449">
        <f t="shared" si="17"/>
        <v>-2.8133268839259569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659</v>
      </c>
      <c r="C162" s="479">
        <f>C161*C158</f>
        <v>131142.74995539428</v>
      </c>
      <c r="D162" s="479">
        <f>LN_IE9*LN_IE6</f>
        <v>-191846.19134563778</v>
      </c>
      <c r="E162" s="479">
        <f t="shared" si="16"/>
        <v>-322988.94130103209</v>
      </c>
      <c r="F162" s="449">
        <f t="shared" si="17"/>
        <v>-2.4628806503668002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252</v>
      </c>
      <c r="D163" s="456">
        <v>158</v>
      </c>
      <c r="E163" s="506">
        <f t="shared" si="16"/>
        <v>-94</v>
      </c>
      <c r="F163" s="449">
        <f t="shared" si="17"/>
        <v>-0.37301587301587302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643</v>
      </c>
      <c r="C164" s="465">
        <f>IF(C163=0,0,C154/C163)</f>
        <v>912.85714285714289</v>
      </c>
      <c r="D164" s="465">
        <f>IF(LN_IE11=0,0,LN_IE2/LN_IE11)</f>
        <v>2877.8101265822784</v>
      </c>
      <c r="E164" s="465">
        <f t="shared" si="16"/>
        <v>1964.9529837251355</v>
      </c>
      <c r="F164" s="449">
        <f t="shared" si="17"/>
        <v>2.1525306550979573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644</v>
      </c>
      <c r="C165" s="466">
        <f>IF(C156=0,0,C163/C156)</f>
        <v>4.9411764705882355</v>
      </c>
      <c r="D165" s="466">
        <f>IF(LN_IE4=0,0,LN_IE11/LN_IE4)</f>
        <v>5.4482758620689653</v>
      </c>
      <c r="E165" s="466">
        <f t="shared" si="16"/>
        <v>0.5070993914807298</v>
      </c>
      <c r="F165" s="449">
        <f t="shared" si="17"/>
        <v>0.10262725779967151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691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646</v>
      </c>
      <c r="C168" s="511">
        <v>1124628</v>
      </c>
      <c r="D168" s="511">
        <v>614280</v>
      </c>
      <c r="E168" s="511">
        <f t="shared" ref="E168:E176" si="18">D168-C168</f>
        <v>-510348</v>
      </c>
      <c r="F168" s="449">
        <f t="shared" ref="F168:F176" si="19">IF(C168=0,0,E168/C168)</f>
        <v>-0.45379272079300886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647</v>
      </c>
      <c r="C169" s="511">
        <v>295665</v>
      </c>
      <c r="D169" s="511">
        <v>257729</v>
      </c>
      <c r="E169" s="511">
        <f t="shared" si="18"/>
        <v>-37936</v>
      </c>
      <c r="F169" s="449">
        <f t="shared" si="19"/>
        <v>-0.1283073749006477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648</v>
      </c>
      <c r="C170" s="453">
        <f>IF(C168=0,0,C169/C168)</f>
        <v>0.26290026568785413</v>
      </c>
      <c r="D170" s="453">
        <f>IF(LN_IE14=0,0,LN_IE15/LN_IE14)</f>
        <v>0.41956274011851274</v>
      </c>
      <c r="E170" s="454">
        <f t="shared" si="18"/>
        <v>0.15666247443065862</v>
      </c>
      <c r="F170" s="449">
        <f t="shared" si="19"/>
        <v>0.59590078397511614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649</v>
      </c>
      <c r="C171" s="453">
        <f>IF(C153=0,0,C168/C153)</f>
        <v>1.4068823682472329</v>
      </c>
      <c r="D171" s="453">
        <f>IF(LN_IE1=0,0,LN_IE14/LN_IE1)</f>
        <v>0.56681910287783321</v>
      </c>
      <c r="E171" s="454">
        <f t="shared" si="18"/>
        <v>-0.84006326536939968</v>
      </c>
      <c r="F171" s="449">
        <f t="shared" si="19"/>
        <v>-0.5971098112601938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650</v>
      </c>
      <c r="C172" s="463">
        <f>C171*C156</f>
        <v>71.751000780608877</v>
      </c>
      <c r="D172" s="463">
        <f>LN_IE17*LN_IE4</f>
        <v>16.437753983457164</v>
      </c>
      <c r="E172" s="463">
        <f t="shared" si="18"/>
        <v>-55.313246797151713</v>
      </c>
      <c r="F172" s="449">
        <f t="shared" si="19"/>
        <v>-0.77090557895187484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651</v>
      </c>
      <c r="C173" s="465">
        <f>IF(C172=0,0,C169/C172)</f>
        <v>4120.7090742057662</v>
      </c>
      <c r="D173" s="465">
        <f>IF(LN_IE18=0,0,LN_IE15/LN_IE18)</f>
        <v>15679.088533590209</v>
      </c>
      <c r="E173" s="465">
        <f t="shared" si="18"/>
        <v>11558.379459384443</v>
      </c>
      <c r="F173" s="449">
        <f t="shared" si="19"/>
        <v>2.8049491607490462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692</v>
      </c>
      <c r="C174" s="465">
        <f>C61-C173</f>
        <v>9728.103275900412</v>
      </c>
      <c r="D174" s="465">
        <f>LN_IB18-LN_IE19</f>
        <v>-606.03416408678822</v>
      </c>
      <c r="E174" s="465">
        <f t="shared" si="18"/>
        <v>-10334.1374399872</v>
      </c>
      <c r="F174" s="449">
        <f t="shared" si="19"/>
        <v>-1.0622972584581958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693</v>
      </c>
      <c r="C175" s="465">
        <f>C32-C173</f>
        <v>6889.7752256391086</v>
      </c>
      <c r="D175" s="465">
        <f>LN_IA16-LN_IE19</f>
        <v>-4097.0409962161921</v>
      </c>
      <c r="E175" s="465">
        <f t="shared" si="18"/>
        <v>-10986.816221855301</v>
      </c>
      <c r="F175" s="449">
        <f t="shared" si="19"/>
        <v>-1.5946552481087861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662</v>
      </c>
      <c r="C176" s="441">
        <f>C175*C172</f>
        <v>494348.26759305137</v>
      </c>
      <c r="D176" s="441">
        <f>LN_IE21*LN_IE18</f>
        <v>-67346.151955940019</v>
      </c>
      <c r="E176" s="441">
        <f t="shared" si="18"/>
        <v>-561694.41954899137</v>
      </c>
      <c r="F176" s="449">
        <f t="shared" si="19"/>
        <v>-1.1362321997887115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694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653</v>
      </c>
      <c r="C179" s="448">
        <f>C153+C168</f>
        <v>1924004</v>
      </c>
      <c r="D179" s="448">
        <f>LN_IE1+LN_IE14</f>
        <v>1698012</v>
      </c>
      <c r="E179" s="448">
        <f>D179-C179</f>
        <v>-225992</v>
      </c>
      <c r="F179" s="449">
        <f>IF(C179=0,0,E179/C179)</f>
        <v>-0.11745921526150674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654</v>
      </c>
      <c r="C180" s="448">
        <f>C154+C169</f>
        <v>525705</v>
      </c>
      <c r="D180" s="448">
        <f>LN_IE15+LN_IE2</f>
        <v>712423</v>
      </c>
      <c r="E180" s="448">
        <f>D180-C180</f>
        <v>186718</v>
      </c>
      <c r="F180" s="449">
        <f>IF(C180=0,0,E180/C180)</f>
        <v>0.3551763821915333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655</v>
      </c>
      <c r="C181" s="448">
        <f>C179-C180</f>
        <v>1398299</v>
      </c>
      <c r="D181" s="448">
        <f>LN_IE23-LN_IE24</f>
        <v>985589</v>
      </c>
      <c r="E181" s="448">
        <f>D181-C181</f>
        <v>-412710</v>
      </c>
      <c r="F181" s="449">
        <f>IF(C181=0,0,E181/C181)</f>
        <v>-0.29515146617425886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695</v>
      </c>
      <c r="C183" s="448">
        <f>C162+C176</f>
        <v>625491.01754844561</v>
      </c>
      <c r="D183" s="448">
        <f>LN_IE10+LN_IE22</f>
        <v>-259192.34330157778</v>
      </c>
      <c r="E183" s="441">
        <f>D183-C183</f>
        <v>-884683.36085002334</v>
      </c>
      <c r="F183" s="449">
        <f>IF(C183=0,0,E183/C183)</f>
        <v>-1.4143821989921745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696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697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637</v>
      </c>
      <c r="C188" s="448">
        <f>C118+C153</f>
        <v>73539711</v>
      </c>
      <c r="D188" s="448">
        <f>LN_ID1+LN_IE1</f>
        <v>77638223</v>
      </c>
      <c r="E188" s="448">
        <f t="shared" ref="E188:E200" si="20">D188-C188</f>
        <v>4098512</v>
      </c>
      <c r="F188" s="449">
        <f t="shared" ref="F188:F200" si="21">IF(C188=0,0,E188/C188)</f>
        <v>5.5731956847097211E-2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638</v>
      </c>
      <c r="C189" s="448">
        <f>C119+C154</f>
        <v>18354306</v>
      </c>
      <c r="D189" s="448">
        <f>LN_1D2+LN_IE2</f>
        <v>17325457</v>
      </c>
      <c r="E189" s="448">
        <f t="shared" si="20"/>
        <v>-1028849</v>
      </c>
      <c r="F189" s="449">
        <f t="shared" si="21"/>
        <v>-5.605491158314567E-2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639</v>
      </c>
      <c r="C190" s="453">
        <f>IF(C188=0,0,C189/C188)</f>
        <v>0.24958360252462783</v>
      </c>
      <c r="D190" s="453">
        <f>IF(LN_IF1=0,0,LN_IF2/LN_IF1)</f>
        <v>0.22315627960727541</v>
      </c>
      <c r="E190" s="454">
        <f t="shared" si="20"/>
        <v>-2.6427322917352419E-2</v>
      </c>
      <c r="F190" s="449">
        <f t="shared" si="21"/>
        <v>-0.10588565374499988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3377</v>
      </c>
      <c r="D191" s="456">
        <f>LN_ID4+LN_IE4</f>
        <v>3350</v>
      </c>
      <c r="E191" s="456">
        <f t="shared" si="20"/>
        <v>-27</v>
      </c>
      <c r="F191" s="449">
        <f t="shared" si="21"/>
        <v>-7.9952620669233049E-3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640</v>
      </c>
      <c r="C192" s="459">
        <f>IF((C121+C156)=0,0,(C123+C158)/(C121+C156))</f>
        <v>0.98915398282499256</v>
      </c>
      <c r="D192" s="459">
        <f>IF((LN_ID4+LN_IE4)=0,0,(LN_ID6+LN_IE6)/(LN_ID4+LN_IE4))</f>
        <v>1.0354785671641791</v>
      </c>
      <c r="E192" s="460">
        <f t="shared" si="20"/>
        <v>4.6324584339186514E-2</v>
      </c>
      <c r="F192" s="449">
        <f t="shared" si="21"/>
        <v>4.6832530772291853E-2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641</v>
      </c>
      <c r="C193" s="463">
        <f>C123+C158</f>
        <v>3340.373</v>
      </c>
      <c r="D193" s="463">
        <f>LN_IF4*LN_IF5</f>
        <v>3468.8532</v>
      </c>
      <c r="E193" s="463">
        <f t="shared" si="20"/>
        <v>128.48019999999997</v>
      </c>
      <c r="F193" s="449">
        <f t="shared" si="21"/>
        <v>3.8462830348586809E-2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642</v>
      </c>
      <c r="C194" s="465">
        <f>IF(C193=0,0,C189/C193)</f>
        <v>5494.6875693223483</v>
      </c>
      <c r="D194" s="465">
        <f>IF(LN_IF6=0,0,LN_IF2/LN_IF6)</f>
        <v>4994.5777469049426</v>
      </c>
      <c r="E194" s="465">
        <f t="shared" si="20"/>
        <v>-500.10982241740567</v>
      </c>
      <c r="F194" s="449">
        <f t="shared" si="21"/>
        <v>-9.1016971594452906E-2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698</v>
      </c>
      <c r="C195" s="465">
        <f>C48-C194</f>
        <v>6368.5316783429735</v>
      </c>
      <c r="D195" s="465">
        <f>LN_IB7-LN_IF7</f>
        <v>7794.3079446513748</v>
      </c>
      <c r="E195" s="465">
        <f t="shared" si="20"/>
        <v>1425.7762663084013</v>
      </c>
      <c r="F195" s="449">
        <f t="shared" si="21"/>
        <v>0.22387833464924739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699</v>
      </c>
      <c r="C196" s="465">
        <f>C21-C194</f>
        <v>2844.9435011059741</v>
      </c>
      <c r="D196" s="465">
        <f>LN_IA7-LN_IF7</f>
        <v>2528.4281792285192</v>
      </c>
      <c r="E196" s="465">
        <f t="shared" si="20"/>
        <v>-316.51532187745488</v>
      </c>
      <c r="F196" s="449">
        <f t="shared" si="21"/>
        <v>-0.11125539813160061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659</v>
      </c>
      <c r="C197" s="479">
        <f>C127+C162</f>
        <v>9503172.4576198645</v>
      </c>
      <c r="D197" s="479">
        <f>LN_IF9*LN_IF6</f>
        <v>8770746.1804870218</v>
      </c>
      <c r="E197" s="479">
        <f t="shared" si="20"/>
        <v>-732426.27713284269</v>
      </c>
      <c r="F197" s="449">
        <f t="shared" si="21"/>
        <v>-7.7071765286713945E-2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15450</v>
      </c>
      <c r="D198" s="456">
        <f>LN_ID11+LN_IE11</f>
        <v>16338</v>
      </c>
      <c r="E198" s="456">
        <f t="shared" si="20"/>
        <v>888</v>
      </c>
      <c r="F198" s="449">
        <f t="shared" si="21"/>
        <v>5.7475728155339807E-2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643</v>
      </c>
      <c r="C199" s="519">
        <f>IF(C198=0,0,C189/C198)</f>
        <v>1187.9809708737864</v>
      </c>
      <c r="D199" s="519">
        <f>IF(LN_IF11=0,0,LN_IF2/LN_IF11)</f>
        <v>1060.4392826539356</v>
      </c>
      <c r="E199" s="519">
        <f t="shared" si="20"/>
        <v>-127.54168821985081</v>
      </c>
      <c r="F199" s="449">
        <f t="shared" si="21"/>
        <v>-0.10736004308725675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644</v>
      </c>
      <c r="C200" s="466">
        <f>IF(C191=0,0,C198/C191)</f>
        <v>4.5750666271838911</v>
      </c>
      <c r="D200" s="466">
        <f>IF(LN_IF4=0,0,LN_IF11/LN_IF4)</f>
        <v>4.8770149253731345</v>
      </c>
      <c r="E200" s="466">
        <f t="shared" si="20"/>
        <v>0.3019482981892434</v>
      </c>
      <c r="F200" s="449">
        <f t="shared" si="21"/>
        <v>6.5998666859875404E-2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700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646</v>
      </c>
      <c r="C203" s="448">
        <f>C133+C168</f>
        <v>72258000</v>
      </c>
      <c r="D203" s="448">
        <f>LN_ID14+LN_IE14</f>
        <v>83245316</v>
      </c>
      <c r="E203" s="448">
        <f t="shared" ref="E203:E211" si="22">D203-C203</f>
        <v>10987316</v>
      </c>
      <c r="F203" s="449">
        <f t="shared" ref="F203:F211" si="23">IF(C203=0,0,E203/C203)</f>
        <v>0.15205674112209028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647</v>
      </c>
      <c r="C204" s="448">
        <f>C134+C169</f>
        <v>17536232</v>
      </c>
      <c r="D204" s="448">
        <f>LN_ID15+LN_IE15</f>
        <v>18467616</v>
      </c>
      <c r="E204" s="448">
        <f t="shared" si="22"/>
        <v>931384</v>
      </c>
      <c r="F204" s="449">
        <f t="shared" si="23"/>
        <v>5.3111979814135672E-2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648</v>
      </c>
      <c r="C205" s="453">
        <f>IF(C203=0,0,C204/C203)</f>
        <v>0.24268914168673364</v>
      </c>
      <c r="D205" s="453">
        <f>IF(LN_IF14=0,0,LN_IF15/LN_IF14)</f>
        <v>0.22184570721072161</v>
      </c>
      <c r="E205" s="454">
        <f t="shared" si="22"/>
        <v>-2.0843434476012029E-2</v>
      </c>
      <c r="F205" s="449">
        <f t="shared" si="23"/>
        <v>-8.5885319512634034E-2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649</v>
      </c>
      <c r="C206" s="453">
        <f>IF(C188=0,0,C203/C188)</f>
        <v>0.98257117164901564</v>
      </c>
      <c r="D206" s="453">
        <f>IF(LN_IF1=0,0,LN_IF14/LN_IF1)</f>
        <v>1.0722207797053778</v>
      </c>
      <c r="E206" s="454">
        <f t="shared" si="22"/>
        <v>8.9649608056362129E-2</v>
      </c>
      <c r="F206" s="449">
        <f t="shared" si="23"/>
        <v>9.1239811062140422E-2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650</v>
      </c>
      <c r="C207" s="463">
        <f>C137+C172</f>
        <v>3324.273762354363</v>
      </c>
      <c r="D207" s="463">
        <f>LN_ID18+LN_IE18</f>
        <v>3601.0435291821977</v>
      </c>
      <c r="E207" s="463">
        <f t="shared" si="22"/>
        <v>276.7697668278347</v>
      </c>
      <c r="F207" s="449">
        <f t="shared" si="23"/>
        <v>8.325721243602302E-2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651</v>
      </c>
      <c r="C208" s="465">
        <f>IF(C207=0,0,C204/C207)</f>
        <v>5275.2069334928201</v>
      </c>
      <c r="D208" s="465">
        <f>IF(LN_IF18=0,0,LN_IF15/LN_IF18)</f>
        <v>5128.4067660781711</v>
      </c>
      <c r="E208" s="465">
        <f t="shared" si="22"/>
        <v>-146.80016741464897</v>
      </c>
      <c r="F208" s="449">
        <f t="shared" si="23"/>
        <v>-2.7828323943578388E-2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701</v>
      </c>
      <c r="C209" s="465">
        <f>C61-C208</f>
        <v>8573.6054166133581</v>
      </c>
      <c r="D209" s="465">
        <f>LN_IB18-LN_IF19</f>
        <v>9944.6476034252501</v>
      </c>
      <c r="E209" s="465">
        <f t="shared" si="22"/>
        <v>1371.042186811892</v>
      </c>
      <c r="F209" s="449">
        <f t="shared" si="23"/>
        <v>0.15991430911378057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702</v>
      </c>
      <c r="C210" s="465">
        <f>C32-C208</f>
        <v>5735.2773663520547</v>
      </c>
      <c r="D210" s="465">
        <f>LN_IA16-LN_IF19</f>
        <v>6453.6407712958462</v>
      </c>
      <c r="E210" s="465">
        <f t="shared" si="22"/>
        <v>718.36340494379147</v>
      </c>
      <c r="F210" s="449">
        <f t="shared" si="23"/>
        <v>0.12525347233567349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662</v>
      </c>
      <c r="C211" s="479">
        <f>C141+C176</f>
        <v>19065632.068788964</v>
      </c>
      <c r="D211" s="441">
        <f>LN_IF21*LN_IF18</f>
        <v>23239841.339141313</v>
      </c>
      <c r="E211" s="441">
        <f t="shared" si="22"/>
        <v>4174209.2703523487</v>
      </c>
      <c r="F211" s="449">
        <f t="shared" si="23"/>
        <v>0.21893893972629733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703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653</v>
      </c>
      <c r="C214" s="448">
        <f>C188+C203</f>
        <v>145797711</v>
      </c>
      <c r="D214" s="448">
        <f>LN_IF1+LN_IF14</f>
        <v>160883539</v>
      </c>
      <c r="E214" s="448">
        <f>D214-C214</f>
        <v>15085828</v>
      </c>
      <c r="F214" s="449">
        <f>IF(C214=0,0,E214/C214)</f>
        <v>0.10347095229773531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654</v>
      </c>
      <c r="C215" s="448">
        <f>C189+C204</f>
        <v>35890538</v>
      </c>
      <c r="D215" s="448">
        <f>LN_IF2+LN_IF15</f>
        <v>35793073</v>
      </c>
      <c r="E215" s="448">
        <f>D215-C215</f>
        <v>-97465</v>
      </c>
      <c r="F215" s="449">
        <f>IF(C215=0,0,E215/C215)</f>
        <v>-2.7156182501360108E-3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655</v>
      </c>
      <c r="C216" s="448">
        <f>C214-C215</f>
        <v>109907173</v>
      </c>
      <c r="D216" s="448">
        <f>LN_IF23-LN_IF24</f>
        <v>125090466</v>
      </c>
      <c r="E216" s="448">
        <f>D216-C216</f>
        <v>15183293</v>
      </c>
      <c r="F216" s="449">
        <f>IF(C216=0,0,E216/C216)</f>
        <v>0.13814651569647779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704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705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637</v>
      </c>
      <c r="C221" s="448">
        <v>494495</v>
      </c>
      <c r="D221" s="448">
        <v>545231</v>
      </c>
      <c r="E221" s="448">
        <f t="shared" ref="E221:E230" si="24">D221-C221</f>
        <v>50736</v>
      </c>
      <c r="F221" s="449">
        <f t="shared" ref="F221:F230" si="25">IF(C221=0,0,E221/C221)</f>
        <v>0.10260164410155816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638</v>
      </c>
      <c r="C222" s="448">
        <v>158895</v>
      </c>
      <c r="D222" s="448">
        <v>183218</v>
      </c>
      <c r="E222" s="448">
        <f t="shared" si="24"/>
        <v>24323</v>
      </c>
      <c r="F222" s="449">
        <f t="shared" si="25"/>
        <v>0.15307593064602409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639</v>
      </c>
      <c r="C223" s="453">
        <f>IF(C221=0,0,C222/C221)</f>
        <v>0.32132781929038717</v>
      </c>
      <c r="D223" s="453">
        <f>IF(LN_IG1=0,0,LN_IG2/LN_IG1)</f>
        <v>0.33603738598869104</v>
      </c>
      <c r="E223" s="454">
        <f t="shared" si="24"/>
        <v>1.4709566698303866E-2</v>
      </c>
      <c r="F223" s="449">
        <f t="shared" si="25"/>
        <v>4.5777445385177445E-2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34</v>
      </c>
      <c r="D224" s="456">
        <v>35</v>
      </c>
      <c r="E224" s="456">
        <f t="shared" si="24"/>
        <v>1</v>
      </c>
      <c r="F224" s="449">
        <f t="shared" si="25"/>
        <v>2.9411764705882353E-2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640</v>
      </c>
      <c r="C225" s="459">
        <v>0.96240000000000003</v>
      </c>
      <c r="D225" s="459">
        <v>0.87509999999999999</v>
      </c>
      <c r="E225" s="460">
        <f t="shared" si="24"/>
        <v>-8.7300000000000044E-2</v>
      </c>
      <c r="F225" s="449">
        <f t="shared" si="25"/>
        <v>-9.071072319201999E-2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641</v>
      </c>
      <c r="C226" s="463">
        <f>C224*C225</f>
        <v>32.721600000000002</v>
      </c>
      <c r="D226" s="463">
        <f>LN_IG3*LN_IG4</f>
        <v>30.628499999999999</v>
      </c>
      <c r="E226" s="463">
        <f t="shared" si="24"/>
        <v>-2.0931000000000033</v>
      </c>
      <c r="F226" s="449">
        <f t="shared" si="25"/>
        <v>-6.3966920932961815E-2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642</v>
      </c>
      <c r="C227" s="465">
        <f>IF(C226=0,0,C222/C226)</f>
        <v>4855.9667008948218</v>
      </c>
      <c r="D227" s="465">
        <f>IF(LN_IG5=0,0,LN_IG2/LN_IG5)</f>
        <v>5981.9449205805049</v>
      </c>
      <c r="E227" s="465">
        <f t="shared" si="24"/>
        <v>1125.9782196856831</v>
      </c>
      <c r="F227" s="449">
        <f t="shared" si="25"/>
        <v>0.2318751937648576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102</v>
      </c>
      <c r="D228" s="456">
        <v>99</v>
      </c>
      <c r="E228" s="456">
        <f t="shared" si="24"/>
        <v>-3</v>
      </c>
      <c r="F228" s="449">
        <f t="shared" si="25"/>
        <v>-2.9411764705882353E-2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643</v>
      </c>
      <c r="C229" s="465">
        <f>IF(C228=0,0,C222/C228)</f>
        <v>1557.7941176470588</v>
      </c>
      <c r="D229" s="465">
        <f>IF(LN_IG6=0,0,LN_IG2/LN_IG6)</f>
        <v>1850.6868686868686</v>
      </c>
      <c r="E229" s="465">
        <f t="shared" si="24"/>
        <v>292.89275103980981</v>
      </c>
      <c r="F229" s="449">
        <f t="shared" si="25"/>
        <v>0.18801762551408541</v>
      </c>
      <c r="Q229" s="421"/>
      <c r="U229" s="462"/>
    </row>
    <row r="230" spans="1:21" ht="15.75" customHeight="1" x14ac:dyDescent="0.2">
      <c r="A230" s="451">
        <v>10</v>
      </c>
      <c r="B230" s="447" t="s">
        <v>644</v>
      </c>
      <c r="C230" s="466">
        <f>IF(C224=0,0,C228/C224)</f>
        <v>3</v>
      </c>
      <c r="D230" s="466">
        <f>IF(LN_IG3=0,0,LN_IG6/LN_IG3)</f>
        <v>2.8285714285714287</v>
      </c>
      <c r="E230" s="466">
        <f t="shared" si="24"/>
        <v>-0.17142857142857126</v>
      </c>
      <c r="F230" s="449">
        <f t="shared" si="25"/>
        <v>-5.7142857142857086E-2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706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646</v>
      </c>
      <c r="C233" s="448">
        <v>987989</v>
      </c>
      <c r="D233" s="448">
        <v>869852</v>
      </c>
      <c r="E233" s="448">
        <f>D233-C233</f>
        <v>-118137</v>
      </c>
      <c r="F233" s="449">
        <f>IF(C233=0,0,E233/C233)</f>
        <v>-0.11957319362867401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647</v>
      </c>
      <c r="C234" s="448">
        <v>207161</v>
      </c>
      <c r="D234" s="448">
        <v>196969</v>
      </c>
      <c r="E234" s="448">
        <f>D234-C234</f>
        <v>-10192</v>
      </c>
      <c r="F234" s="449">
        <f>IF(C234=0,0,E234/C234)</f>
        <v>-4.9198449515111438E-2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707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653</v>
      </c>
      <c r="C237" s="448">
        <f>C221+C233</f>
        <v>1482484</v>
      </c>
      <c r="D237" s="448">
        <f>LN_IG1+LN_IG9</f>
        <v>1415083</v>
      </c>
      <c r="E237" s="448">
        <f>D237-C237</f>
        <v>-67401</v>
      </c>
      <c r="F237" s="449">
        <f>IF(C237=0,0,E237/C237)</f>
        <v>-4.5464908896149972E-2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654</v>
      </c>
      <c r="C238" s="448">
        <f>C222+C234</f>
        <v>366056</v>
      </c>
      <c r="D238" s="448">
        <f>LN_IG2+LN_IG10</f>
        <v>380187</v>
      </c>
      <c r="E238" s="448">
        <f>D238-C238</f>
        <v>14131</v>
      </c>
      <c r="F238" s="449">
        <f>IF(C238=0,0,E238/C238)</f>
        <v>3.8603383088926281E-2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655</v>
      </c>
      <c r="C239" s="448">
        <f>C237-C238</f>
        <v>1116428</v>
      </c>
      <c r="D239" s="448">
        <f>LN_IG13-LN_IG14</f>
        <v>1034896</v>
      </c>
      <c r="E239" s="448">
        <f>D239-C239</f>
        <v>-81532</v>
      </c>
      <c r="F239" s="449">
        <f>IF(C239=0,0,E239/C239)</f>
        <v>-7.3029340002221374E-2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708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709</v>
      </c>
      <c r="C243" s="448">
        <v>19598257</v>
      </c>
      <c r="D243" s="448">
        <v>15260805</v>
      </c>
      <c r="E243" s="441">
        <f>D243-C243</f>
        <v>-4337452</v>
      </c>
      <c r="F243" s="503">
        <f>IF(C243=0,0,E243/C243)</f>
        <v>-0.22131825294463686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710</v>
      </c>
      <c r="C244" s="448">
        <v>514797196</v>
      </c>
      <c r="D244" s="448">
        <v>486568594</v>
      </c>
      <c r="E244" s="441">
        <f>D244-C244</f>
        <v>-28228602</v>
      </c>
      <c r="F244" s="503">
        <f>IF(C244=0,0,E244/C244)</f>
        <v>-5.4834412889847986E-2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711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712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713</v>
      </c>
      <c r="C248" s="441">
        <v>13969782</v>
      </c>
      <c r="D248" s="441">
        <v>12948351</v>
      </c>
      <c r="E248" s="441">
        <f>D248-C248</f>
        <v>-1021431</v>
      </c>
      <c r="F248" s="449">
        <f>IF(C248=0,0,E248/C248)</f>
        <v>-7.3117175343180019E-2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714</v>
      </c>
      <c r="C249" s="441">
        <v>19413218</v>
      </c>
      <c r="D249" s="441">
        <v>17114070</v>
      </c>
      <c r="E249" s="441">
        <f>D249-C249</f>
        <v>-2299148</v>
      </c>
      <c r="F249" s="449">
        <f>IF(C249=0,0,E249/C249)</f>
        <v>-0.11843209095988104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715</v>
      </c>
      <c r="C250" s="441">
        <f>C248+C249</f>
        <v>33383000</v>
      </c>
      <c r="D250" s="441">
        <f>LN_IH4+LN_IH5</f>
        <v>30062421</v>
      </c>
      <c r="E250" s="441">
        <f>D250-C250</f>
        <v>-3320579</v>
      </c>
      <c r="F250" s="449">
        <f>IF(C250=0,0,E250/C250)</f>
        <v>-9.9469160950184224E-2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716</v>
      </c>
      <c r="C251" s="441">
        <f>C250*C313</f>
        <v>14353877.23883325</v>
      </c>
      <c r="D251" s="441">
        <f>LN_IH6*LN_III10</f>
        <v>12529988.689364675</v>
      </c>
      <c r="E251" s="441">
        <f>D251-C251</f>
        <v>-1823888.549468575</v>
      </c>
      <c r="F251" s="449">
        <f>IF(C251=0,0,E251/C251)</f>
        <v>-0.12706591530086328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717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653</v>
      </c>
      <c r="C254" s="441">
        <f>C188+C203</f>
        <v>145797711</v>
      </c>
      <c r="D254" s="441">
        <f>LN_IF23</f>
        <v>160883539</v>
      </c>
      <c r="E254" s="441">
        <f>D254-C254</f>
        <v>15085828</v>
      </c>
      <c r="F254" s="449">
        <f>IF(C254=0,0,E254/C254)</f>
        <v>0.10347095229773531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654</v>
      </c>
      <c r="C255" s="441">
        <f>C189+C204</f>
        <v>35890538</v>
      </c>
      <c r="D255" s="441">
        <f>LN_IF24</f>
        <v>35793073</v>
      </c>
      <c r="E255" s="441">
        <f>D255-C255</f>
        <v>-97465</v>
      </c>
      <c r="F255" s="449">
        <f>IF(C255=0,0,E255/C255)</f>
        <v>-2.7156182501360108E-3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718</v>
      </c>
      <c r="C256" s="441">
        <f>C254*C313</f>
        <v>62689466.057481006</v>
      </c>
      <c r="D256" s="441">
        <f>LN_IH8*LN_III10</f>
        <v>67056107.157003775</v>
      </c>
      <c r="E256" s="441">
        <f>D256-C256</f>
        <v>4366641.0995227695</v>
      </c>
      <c r="F256" s="449">
        <f>IF(C256=0,0,E256/C256)</f>
        <v>6.9655101153978952E-2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719</v>
      </c>
      <c r="C257" s="441">
        <f>C256-C255</f>
        <v>26798928.057481006</v>
      </c>
      <c r="D257" s="441">
        <f>LN_IH10-LN_IH9</f>
        <v>31263034.157003775</v>
      </c>
      <c r="E257" s="441">
        <f>D257-C257</f>
        <v>4464106.0995227695</v>
      </c>
      <c r="F257" s="449">
        <f>IF(C257=0,0,E257/C257)</f>
        <v>0.16657778587067776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720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721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544000785</v>
      </c>
      <c r="D261" s="448">
        <f>LN_IA1+LN_IB1+LN_IF1+LN_IG1</f>
        <v>558157414</v>
      </c>
      <c r="E261" s="448">
        <f t="shared" ref="E261:E274" si="26">D261-C261</f>
        <v>14156629</v>
      </c>
      <c r="F261" s="503">
        <f t="shared" ref="F261:F274" si="27">IF(C261=0,0,E261/C261)</f>
        <v>2.6023177521701555E-2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222829191</v>
      </c>
      <c r="D262" s="448">
        <f>+LN_IA2+LN_IB2+LN_IF2+LN_IG2</f>
        <v>220474260</v>
      </c>
      <c r="E262" s="448">
        <f t="shared" si="26"/>
        <v>-2354931</v>
      </c>
      <c r="F262" s="503">
        <f t="shared" si="27"/>
        <v>-1.0568323608911724E-2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722</v>
      </c>
      <c r="C263" s="453">
        <f>IF(C261=0,0,C262/C261)</f>
        <v>0.40961189237989792</v>
      </c>
      <c r="D263" s="453">
        <f>IF(LN_IIA1=0,0,LN_IIA2/LN_IIA1)</f>
        <v>0.39500372918095827</v>
      </c>
      <c r="E263" s="454">
        <f t="shared" si="26"/>
        <v>-1.460816319893965E-2</v>
      </c>
      <c r="F263" s="458">
        <f t="shared" si="27"/>
        <v>-3.5663425478357907E-2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19668</v>
      </c>
      <c r="D264" s="456">
        <f>LN_IA4+LN_IB4+LN_IF4+LN_IG3</f>
        <v>18562</v>
      </c>
      <c r="E264" s="456">
        <f t="shared" si="26"/>
        <v>-1106</v>
      </c>
      <c r="F264" s="503">
        <f t="shared" si="27"/>
        <v>-5.6233475696562944E-2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723</v>
      </c>
      <c r="C265" s="525">
        <f>IF(C264=0,0,C266/C264)</f>
        <v>1.2214591925971121</v>
      </c>
      <c r="D265" s="525">
        <f>IF(LN_IIA4=0,0,LN_IIA6/LN_IIA4)</f>
        <v>1.3296381499838379</v>
      </c>
      <c r="E265" s="525">
        <f t="shared" si="26"/>
        <v>0.10817895738672578</v>
      </c>
      <c r="F265" s="503">
        <f t="shared" si="27"/>
        <v>8.8565347121185148E-2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724</v>
      </c>
      <c r="C266" s="463">
        <f>C20+C47+C193+C226</f>
        <v>24023.6594</v>
      </c>
      <c r="D266" s="463">
        <f>LN_IA6+LN_IB6+LN_IF6+LN_IG5</f>
        <v>24680.743340000001</v>
      </c>
      <c r="E266" s="463">
        <f t="shared" si="26"/>
        <v>657.08394000000044</v>
      </c>
      <c r="F266" s="503">
        <f t="shared" si="27"/>
        <v>2.7351534129725484E-2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633077275</v>
      </c>
      <c r="D267" s="448">
        <f>LN_IA11+LN_IB13+LN_IF14+LN_IG9</f>
        <v>673733258</v>
      </c>
      <c r="E267" s="448">
        <f t="shared" si="26"/>
        <v>40655983</v>
      </c>
      <c r="F267" s="503">
        <f t="shared" si="27"/>
        <v>6.4219621530404794E-2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649</v>
      </c>
      <c r="C268" s="453">
        <f>IF(C261=0,0,C267/C261)</f>
        <v>1.1637433115101112</v>
      </c>
      <c r="D268" s="453">
        <f>IF(LN_IIA1=0,0,LN_IIA7/LN_IIA1)</f>
        <v>1.2070667541110545</v>
      </c>
      <c r="E268" s="454">
        <f t="shared" si="26"/>
        <v>4.3323442600943229E-2</v>
      </c>
      <c r="F268" s="458">
        <f t="shared" si="27"/>
        <v>3.7227661952982841E-2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284402145</v>
      </c>
      <c r="D269" s="448">
        <f>LN_IA12+LN_IB14+LN_IF15+LN_IG10</f>
        <v>294011505</v>
      </c>
      <c r="E269" s="448">
        <f t="shared" si="26"/>
        <v>9609360</v>
      </c>
      <c r="F269" s="503">
        <f t="shared" si="27"/>
        <v>3.3787930818876211E-2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648</v>
      </c>
      <c r="C270" s="453">
        <f>IF(C267=0,0,C269/C267)</f>
        <v>0.4492376463836899</v>
      </c>
      <c r="D270" s="453">
        <f>IF(LN_IIA7=0,0,LN_IIA9/LN_IIA7)</f>
        <v>0.43639155631530363</v>
      </c>
      <c r="E270" s="454">
        <f t="shared" si="26"/>
        <v>-1.2846090068386273E-2</v>
      </c>
      <c r="F270" s="458">
        <f t="shared" si="27"/>
        <v>-2.8595310681987104E-2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725</v>
      </c>
      <c r="C271" s="441">
        <f>C261+C267</f>
        <v>1177078060</v>
      </c>
      <c r="D271" s="441">
        <f>LN_IIA1+LN_IIA7</f>
        <v>1231890672</v>
      </c>
      <c r="E271" s="441">
        <f t="shared" si="26"/>
        <v>54812612</v>
      </c>
      <c r="F271" s="503">
        <f t="shared" si="27"/>
        <v>4.6566675450564428E-2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726</v>
      </c>
      <c r="C272" s="441">
        <f>C262+C269</f>
        <v>507231336</v>
      </c>
      <c r="D272" s="441">
        <f>LN_IIA2+LN_IIA9</f>
        <v>514485765</v>
      </c>
      <c r="E272" s="441">
        <f t="shared" si="26"/>
        <v>7254429</v>
      </c>
      <c r="F272" s="503">
        <f t="shared" si="27"/>
        <v>1.4302012681645521E-2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727</v>
      </c>
      <c r="C273" s="453">
        <f>IF(C271=0,0,C272/C271)</f>
        <v>0.43092412749584341</v>
      </c>
      <c r="D273" s="453">
        <f>IF(LN_IIA11=0,0,LN_IIA12/LN_IIA11)</f>
        <v>0.41763914338658131</v>
      </c>
      <c r="E273" s="454">
        <f t="shared" si="26"/>
        <v>-1.3284984109262099E-2</v>
      </c>
      <c r="F273" s="458">
        <f t="shared" si="27"/>
        <v>-3.0829056118214786E-2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92010</v>
      </c>
      <c r="D274" s="508">
        <f>LN_IA8+LN_IB10+LN_IF11+LN_IG6</f>
        <v>91003</v>
      </c>
      <c r="E274" s="528">
        <f t="shared" si="26"/>
        <v>-1007</v>
      </c>
      <c r="F274" s="458">
        <f t="shared" si="27"/>
        <v>-1.0944462558417562E-2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728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729</v>
      </c>
      <c r="C277" s="448">
        <f>C15+C188+C221</f>
        <v>360915111</v>
      </c>
      <c r="D277" s="448">
        <f>LN_IA1+LN_IF1+LN_IG1</f>
        <v>376475458</v>
      </c>
      <c r="E277" s="448">
        <f t="shared" ref="E277:E291" si="28">D277-C277</f>
        <v>15560347</v>
      </c>
      <c r="F277" s="503">
        <f t="shared" ref="F277:F291" si="29">IF(C277=0,0,E277/C277)</f>
        <v>4.3113592436976128E-2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730</v>
      </c>
      <c r="C278" s="448">
        <f>C16+C189+C222</f>
        <v>114761964</v>
      </c>
      <c r="D278" s="448">
        <f>LN_IA2+LN_IF2+LN_IG2</f>
        <v>114540165</v>
      </c>
      <c r="E278" s="448">
        <f t="shared" si="28"/>
        <v>-221799</v>
      </c>
      <c r="F278" s="503">
        <f t="shared" si="29"/>
        <v>-1.9326873841231927E-3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731</v>
      </c>
      <c r="C279" s="453">
        <f>IF(C277=0,0,C278/C277)</f>
        <v>0.31797494896244455</v>
      </c>
      <c r="D279" s="453">
        <f>IF(D277=0,0,LN_IIB2/D277)</f>
        <v>0.30424337779808214</v>
      </c>
      <c r="E279" s="454">
        <f t="shared" si="28"/>
        <v>-1.3731571164362411E-2</v>
      </c>
      <c r="F279" s="458">
        <f t="shared" si="29"/>
        <v>-4.3184443331679631E-2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732</v>
      </c>
      <c r="C280" s="456">
        <f>C18+C191+C224</f>
        <v>12147</v>
      </c>
      <c r="D280" s="456">
        <f>LN_IA4+LN_IF4+LN_IG3</f>
        <v>11754</v>
      </c>
      <c r="E280" s="456">
        <f t="shared" si="28"/>
        <v>-393</v>
      </c>
      <c r="F280" s="503">
        <f t="shared" si="29"/>
        <v>-3.2353667572240057E-2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733</v>
      </c>
      <c r="C281" s="525">
        <f>IF(C280=0,0,C282/C280)</f>
        <v>1.227811327899893</v>
      </c>
      <c r="D281" s="525">
        <f>IF(LN_IIB4=0,0,LN_IIB6/LN_IIB4)</f>
        <v>1.3950527258805514</v>
      </c>
      <c r="E281" s="525">
        <f t="shared" si="28"/>
        <v>0.1672413979806584</v>
      </c>
      <c r="F281" s="503">
        <f t="shared" si="29"/>
        <v>0.13621099120067254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734</v>
      </c>
      <c r="C282" s="463">
        <f>C20+C193+C226</f>
        <v>14914.224200000001</v>
      </c>
      <c r="D282" s="463">
        <f>LN_IA6+LN_IF6+LN_IG5</f>
        <v>16397.44974</v>
      </c>
      <c r="E282" s="463">
        <f t="shared" si="28"/>
        <v>1483.2255399999995</v>
      </c>
      <c r="F282" s="503">
        <f t="shared" si="29"/>
        <v>9.9450398499440512E-2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735</v>
      </c>
      <c r="C283" s="448">
        <f>C27+C203+C233</f>
        <v>295101882</v>
      </c>
      <c r="D283" s="448">
        <f>LN_IA11+LN_IF14+LN_IG9</f>
        <v>324582208</v>
      </c>
      <c r="E283" s="448">
        <f t="shared" si="28"/>
        <v>29480326</v>
      </c>
      <c r="F283" s="503">
        <f t="shared" si="29"/>
        <v>9.989880715162637E-2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736</v>
      </c>
      <c r="C284" s="453">
        <f>IF(C277=0,0,C283/C277)</f>
        <v>0.81764900666627949</v>
      </c>
      <c r="D284" s="453">
        <f>IF(D277=0,0,LN_IIB7/D277)</f>
        <v>0.86216033768660694</v>
      </c>
      <c r="E284" s="454">
        <f t="shared" si="28"/>
        <v>4.4511331020327449E-2</v>
      </c>
      <c r="F284" s="458">
        <f t="shared" si="29"/>
        <v>5.4438188828491524E-2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737</v>
      </c>
      <c r="C285" s="448">
        <f>C28+C204+C234</f>
        <v>92128908</v>
      </c>
      <c r="D285" s="448">
        <f>LN_IA12+LN_IF15+LN_IG10</f>
        <v>96804486</v>
      </c>
      <c r="E285" s="448">
        <f t="shared" si="28"/>
        <v>4675578</v>
      </c>
      <c r="F285" s="503">
        <f t="shared" si="29"/>
        <v>5.0750389877626687E-2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738</v>
      </c>
      <c r="C286" s="453">
        <f>IF(C283=0,0,C285/C283)</f>
        <v>0.312193563035291</v>
      </c>
      <c r="D286" s="453">
        <f>IF(LN_IIB7=0,0,LN_IIB9/LN_IIB7)</f>
        <v>0.29824335288273102</v>
      </c>
      <c r="E286" s="454">
        <f t="shared" si="28"/>
        <v>-1.3950210152559983E-2</v>
      </c>
      <c r="F286" s="458">
        <f t="shared" si="29"/>
        <v>-4.4684490022566616E-2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739</v>
      </c>
      <c r="C287" s="441">
        <f>C277+C283</f>
        <v>656016993</v>
      </c>
      <c r="D287" s="441">
        <f>D277+LN_IIB7</f>
        <v>701057666</v>
      </c>
      <c r="E287" s="441">
        <f t="shared" si="28"/>
        <v>45040673</v>
      </c>
      <c r="F287" s="503">
        <f t="shared" si="29"/>
        <v>6.8657783991275353E-2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740</v>
      </c>
      <c r="C288" s="441">
        <f>C278+C285</f>
        <v>206890872</v>
      </c>
      <c r="D288" s="441">
        <f>LN_IIB2+LN_IIB9</f>
        <v>211344651</v>
      </c>
      <c r="E288" s="441">
        <f t="shared" si="28"/>
        <v>4453779</v>
      </c>
      <c r="F288" s="503">
        <f t="shared" si="29"/>
        <v>2.1527189464405176E-2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741</v>
      </c>
      <c r="C289" s="453">
        <f>IF(C287=0,0,C288/C287)</f>
        <v>0.31537425738604302</v>
      </c>
      <c r="D289" s="453">
        <f>IF(LN_IIB11=0,0,LN_IIB12/LN_IIB11)</f>
        <v>0.3014654303773065</v>
      </c>
      <c r="E289" s="454">
        <f t="shared" si="28"/>
        <v>-1.3908827008736524E-2</v>
      </c>
      <c r="F289" s="458">
        <f t="shared" si="29"/>
        <v>-4.4102607245178609E-2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64146</v>
      </c>
      <c r="D290" s="508">
        <f>LN_IA8+LN_IF11+LN_IG6</f>
        <v>64432</v>
      </c>
      <c r="E290" s="528">
        <f t="shared" si="28"/>
        <v>286</v>
      </c>
      <c r="F290" s="458">
        <f t="shared" si="29"/>
        <v>4.4585788669597483E-3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742</v>
      </c>
      <c r="C291" s="448">
        <f>C287-C288</f>
        <v>449126121</v>
      </c>
      <c r="D291" s="516">
        <f>LN_IIB11-LN_IIB12</f>
        <v>489713015</v>
      </c>
      <c r="E291" s="441">
        <f t="shared" si="28"/>
        <v>40586894</v>
      </c>
      <c r="F291" s="503">
        <f t="shared" si="29"/>
        <v>9.0368589361116233E-2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644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635</v>
      </c>
      <c r="C294" s="466">
        <f>IF(C18=0,0,C22/C18)</f>
        <v>5.5625</v>
      </c>
      <c r="D294" s="466">
        <f>IF(LN_IA4=0,0,LN_IA8/LN_IA4)</f>
        <v>5.7348548213645598</v>
      </c>
      <c r="E294" s="466">
        <f t="shared" ref="E294:E300" si="30">D294-C294</f>
        <v>0.17235482136455982</v>
      </c>
      <c r="F294" s="503">
        <f t="shared" ref="F294:F300" si="31">IF(C294=0,0,E294/C294)</f>
        <v>3.0985136425089405E-2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656</v>
      </c>
      <c r="C295" s="466">
        <f>IF(C45=0,0,C51/C45)</f>
        <v>3.7048264858396491</v>
      </c>
      <c r="D295" s="466">
        <f>IF(LN_IB4=0,0,(LN_IB10)/(LN_IB4))</f>
        <v>3.9029083431257345</v>
      </c>
      <c r="E295" s="466">
        <f t="shared" si="30"/>
        <v>0.19808185728608541</v>
      </c>
      <c r="F295" s="503">
        <f t="shared" si="31"/>
        <v>5.346589321880018E-2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671</v>
      </c>
      <c r="C296" s="466">
        <f>IF(C86=0,0,C93/C86)</f>
        <v>3.8121827411167515</v>
      </c>
      <c r="D296" s="466">
        <f>IF(LN_IC4=0,0,LN_IC11/LN_IC4)</f>
        <v>3.6282051282051282</v>
      </c>
      <c r="E296" s="466">
        <f t="shared" si="30"/>
        <v>-0.18397761291162329</v>
      </c>
      <c r="F296" s="503">
        <f t="shared" si="31"/>
        <v>-4.8260439072689461E-2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4.5694527961515332</v>
      </c>
      <c r="D297" s="466">
        <f>IF(LN_ID4=0,0,LN_ID11/LN_ID4)</f>
        <v>4.8720264980427581</v>
      </c>
      <c r="E297" s="466">
        <f t="shared" si="30"/>
        <v>0.3025737018912249</v>
      </c>
      <c r="F297" s="503">
        <f t="shared" si="31"/>
        <v>6.6216616165956976E-2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743</v>
      </c>
      <c r="C298" s="466">
        <f>IF(C156=0,0,C163/C156)</f>
        <v>4.9411764705882355</v>
      </c>
      <c r="D298" s="466">
        <f>IF(LN_IE4=0,0,LN_IE11/LN_IE4)</f>
        <v>5.4482758620689653</v>
      </c>
      <c r="E298" s="466">
        <f t="shared" si="30"/>
        <v>0.5070993914807298</v>
      </c>
      <c r="F298" s="503">
        <f t="shared" si="31"/>
        <v>0.10262725779967151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</v>
      </c>
      <c r="D299" s="466">
        <f>IF(LN_IG3=0,0,LN_IG6/LN_IG3)</f>
        <v>2.8285714285714287</v>
      </c>
      <c r="E299" s="466">
        <f t="shared" si="30"/>
        <v>-0.17142857142857126</v>
      </c>
      <c r="F299" s="503">
        <f t="shared" si="31"/>
        <v>-5.7142857142857086E-2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744</v>
      </c>
      <c r="C300" s="466">
        <f>IF(C264=0,0,C274/C264)</f>
        <v>4.6781574130567423</v>
      </c>
      <c r="D300" s="466">
        <f>IF(LN_IIA4=0,0,LN_IIA14/LN_IIA4)</f>
        <v>4.9026505764465034</v>
      </c>
      <c r="E300" s="466">
        <f t="shared" si="30"/>
        <v>0.22449316338976111</v>
      </c>
      <c r="F300" s="503">
        <f t="shared" si="31"/>
        <v>4.7987518069229664E-2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745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739</v>
      </c>
      <c r="C304" s="441">
        <f>C35+C66+C214+C221+C233</f>
        <v>1177078060</v>
      </c>
      <c r="D304" s="441">
        <f>LN_IIA11</f>
        <v>1231890672</v>
      </c>
      <c r="E304" s="441">
        <f t="shared" ref="E304:E316" si="32">D304-C304</f>
        <v>54812612</v>
      </c>
      <c r="F304" s="449">
        <f>IF(C304=0,0,E304/C304)</f>
        <v>4.6566675450564428E-2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742</v>
      </c>
      <c r="C305" s="441">
        <f>C291</f>
        <v>449126121</v>
      </c>
      <c r="D305" s="441">
        <f>LN_IIB14</f>
        <v>489713015</v>
      </c>
      <c r="E305" s="441">
        <f t="shared" si="32"/>
        <v>40586894</v>
      </c>
      <c r="F305" s="449">
        <f>IF(C305=0,0,E305/C305)</f>
        <v>9.0368589361116233E-2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746</v>
      </c>
      <c r="C306" s="441">
        <f>C250</f>
        <v>33383000</v>
      </c>
      <c r="D306" s="441">
        <f>LN_IH6</f>
        <v>30062421</v>
      </c>
      <c r="E306" s="441">
        <f t="shared" si="32"/>
        <v>-3320579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747</v>
      </c>
      <c r="C307" s="441">
        <f>C73-C74</f>
        <v>171712998</v>
      </c>
      <c r="D307" s="441">
        <f>LN_IB32-LN_IB33</f>
        <v>180452266</v>
      </c>
      <c r="E307" s="441">
        <f t="shared" si="32"/>
        <v>8739268</v>
      </c>
      <c r="F307" s="449">
        <f t="shared" ref="F307:F316" si="33">IF(C307=0,0,E307/C307)</f>
        <v>5.0894621267983449E-2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748</v>
      </c>
      <c r="C308" s="441">
        <v>16741033</v>
      </c>
      <c r="D308" s="441">
        <v>18212101</v>
      </c>
      <c r="E308" s="441">
        <f t="shared" si="32"/>
        <v>1471068</v>
      </c>
      <c r="F308" s="449">
        <f t="shared" si="33"/>
        <v>8.7871996907239833E-2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749</v>
      </c>
      <c r="C309" s="441">
        <f>C305+C307+C308+C306</f>
        <v>670963152</v>
      </c>
      <c r="D309" s="441">
        <f>LN_III2+LN_III3+LN_III4+LN_III5</f>
        <v>718439803</v>
      </c>
      <c r="E309" s="441">
        <f t="shared" si="32"/>
        <v>47476651</v>
      </c>
      <c r="F309" s="449">
        <f t="shared" si="33"/>
        <v>7.0758954286061895E-2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750</v>
      </c>
      <c r="C310" s="441">
        <f>C304-C309</f>
        <v>506114908</v>
      </c>
      <c r="D310" s="441">
        <f>LN_III1-LN_III6</f>
        <v>513450869</v>
      </c>
      <c r="E310" s="441">
        <f t="shared" si="32"/>
        <v>7335961</v>
      </c>
      <c r="F310" s="449">
        <f t="shared" si="33"/>
        <v>1.4494655035927138E-2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751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752</v>
      </c>
      <c r="C312" s="441">
        <f>C310+C311</f>
        <v>506114908</v>
      </c>
      <c r="D312" s="441">
        <f>LN_III7+LN_III8</f>
        <v>513450869</v>
      </c>
      <c r="E312" s="441">
        <f t="shared" si="32"/>
        <v>7335961</v>
      </c>
      <c r="F312" s="449">
        <f t="shared" si="33"/>
        <v>1.4494655035927138E-2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753</v>
      </c>
      <c r="C313" s="532">
        <f>IF(C304=0,0,C312/C304)</f>
        <v>0.4299756534413699</v>
      </c>
      <c r="D313" s="532">
        <f>IF(LN_III1=0,0,LN_III9/LN_III1)</f>
        <v>0.41679905584998211</v>
      </c>
      <c r="E313" s="532">
        <f t="shared" si="32"/>
        <v>-1.3176597591387784E-2</v>
      </c>
      <c r="F313" s="449">
        <f t="shared" si="33"/>
        <v>-3.0644985328650714E-2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716</v>
      </c>
      <c r="C314" s="441">
        <f>C306*C313</f>
        <v>14353877.23883325</v>
      </c>
      <c r="D314" s="441">
        <f>D313*LN_III5</f>
        <v>12529988.689364675</v>
      </c>
      <c r="E314" s="441">
        <f t="shared" si="32"/>
        <v>-1823888.549468575</v>
      </c>
      <c r="F314" s="449">
        <f t="shared" si="33"/>
        <v>-0.12706591530086328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719</v>
      </c>
      <c r="C315" s="441">
        <f>(C214*C313)-C215</f>
        <v>26798928.057481006</v>
      </c>
      <c r="D315" s="441">
        <f>D313*LN_IH8-LN_IH9</f>
        <v>31263034.157003775</v>
      </c>
      <c r="E315" s="441">
        <f t="shared" si="32"/>
        <v>4464106.0995227695</v>
      </c>
      <c r="F315" s="449">
        <f t="shared" si="33"/>
        <v>0.16657778587067776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754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755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756</v>
      </c>
      <c r="C318" s="441">
        <f>C314+C315+C316</f>
        <v>41152805.296314254</v>
      </c>
      <c r="D318" s="441">
        <f>D314+D315+D316</f>
        <v>43793022.846368447</v>
      </c>
      <c r="E318" s="441">
        <f>D318-C318</f>
        <v>2640217.5500541925</v>
      </c>
      <c r="F318" s="449">
        <f>IF(C318=0,0,E318/C318)</f>
        <v>6.4156441609356255E-2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757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18571283.801195912</v>
      </c>
      <c r="D322" s="441">
        <f>LN_ID22</f>
        <v>23307187.491097253</v>
      </c>
      <c r="E322" s="441">
        <f>LN_IV2-C322</f>
        <v>4735903.6899013408</v>
      </c>
      <c r="F322" s="449">
        <f>IF(C322=0,0,E322/C322)</f>
        <v>0.25501218658864977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743</v>
      </c>
      <c r="C323" s="441">
        <f>C162+C176</f>
        <v>625491.01754844561</v>
      </c>
      <c r="D323" s="441">
        <f>LN_IE10+LN_IE22</f>
        <v>-259192.34330157778</v>
      </c>
      <c r="E323" s="441">
        <f>LN_IV3-C323</f>
        <v>-884683.36085002334</v>
      </c>
      <c r="F323" s="449">
        <f>IF(C323=0,0,E323/C323)</f>
        <v>-1.4143821989921745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758</v>
      </c>
      <c r="C324" s="441">
        <f>C92+C106</f>
        <v>4700125.6165871518</v>
      </c>
      <c r="D324" s="441">
        <f>LN_IC10+LN_IC22</f>
        <v>1878864.0144076457</v>
      </c>
      <c r="E324" s="441">
        <f>LN_IV1-C324</f>
        <v>-2821261.6021795059</v>
      </c>
      <c r="F324" s="449">
        <f>IF(C324=0,0,E324/C324)</f>
        <v>-0.60025238309015161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759</v>
      </c>
      <c r="C325" s="516">
        <f>C324+C322+C323</f>
        <v>23896900.435331509</v>
      </c>
      <c r="D325" s="516">
        <f>LN_IV1+LN_IV2+LN_IV3</f>
        <v>24926859.162203319</v>
      </c>
      <c r="E325" s="441">
        <f>LN_IV4-C325</f>
        <v>1029958.7268718109</v>
      </c>
      <c r="F325" s="449">
        <f>IF(C325=0,0,E325/C325)</f>
        <v>4.3100097004589742E-2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760</v>
      </c>
      <c r="B327" s="530" t="s">
        <v>761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762</v>
      </c>
      <c r="C329" s="518">
        <v>27997903</v>
      </c>
      <c r="D329" s="518">
        <v>29497532</v>
      </c>
      <c r="E329" s="518">
        <f t="shared" ref="E329:E335" si="34">D329-C329</f>
        <v>1499629</v>
      </c>
      <c r="F329" s="542">
        <f t="shared" ref="F329:F335" si="35">IF(C329=0,0,E329/C329)</f>
        <v>5.3562189996872268E-2</v>
      </c>
    </row>
    <row r="330" spans="1:22" s="420" customFormat="1" ht="15.75" customHeight="1" x14ac:dyDescent="0.2">
      <c r="A330" s="451">
        <v>2</v>
      </c>
      <c r="B330" s="447" t="s">
        <v>763</v>
      </c>
      <c r="C330" s="516">
        <v>14604664</v>
      </c>
      <c r="D330" s="516">
        <v>-12622526</v>
      </c>
      <c r="E330" s="518">
        <f t="shared" si="34"/>
        <v>-27227190</v>
      </c>
      <c r="F330" s="543">
        <f t="shared" si="35"/>
        <v>-1.864280479167477</v>
      </c>
    </row>
    <row r="331" spans="1:22" s="420" customFormat="1" ht="15.75" customHeight="1" x14ac:dyDescent="0.2">
      <c r="A331" s="427">
        <v>3</v>
      </c>
      <c r="B331" s="447" t="s">
        <v>764</v>
      </c>
      <c r="C331" s="516">
        <v>521836000</v>
      </c>
      <c r="D331" s="516">
        <v>501863239</v>
      </c>
      <c r="E331" s="518">
        <f t="shared" si="34"/>
        <v>-19972761</v>
      </c>
      <c r="F331" s="542">
        <f t="shared" si="35"/>
        <v>-3.8274019040464818E-2</v>
      </c>
    </row>
    <row r="332" spans="1:22" s="420" customFormat="1" ht="27" customHeight="1" x14ac:dyDescent="0.2">
      <c r="A332" s="451">
        <v>4</v>
      </c>
      <c r="B332" s="447" t="s">
        <v>765</v>
      </c>
      <c r="C332" s="516">
        <v>0</v>
      </c>
      <c r="D332" s="516">
        <v>0</v>
      </c>
      <c r="E332" s="518">
        <f t="shared" si="34"/>
        <v>0</v>
      </c>
      <c r="F332" s="543">
        <f t="shared" si="35"/>
        <v>0</v>
      </c>
    </row>
    <row r="333" spans="1:22" s="420" customFormat="1" ht="15.75" customHeight="1" x14ac:dyDescent="0.2">
      <c r="A333" s="451">
        <v>5</v>
      </c>
      <c r="B333" s="447" t="s">
        <v>766</v>
      </c>
      <c r="C333" s="516">
        <v>1177078060</v>
      </c>
      <c r="D333" s="516">
        <v>1231890672</v>
      </c>
      <c r="E333" s="518">
        <f t="shared" si="34"/>
        <v>54812612</v>
      </c>
      <c r="F333" s="542">
        <f t="shared" si="35"/>
        <v>4.6566675450564428E-2</v>
      </c>
    </row>
    <row r="334" spans="1:22" s="420" customFormat="1" ht="15.75" customHeight="1" x14ac:dyDescent="0.2">
      <c r="A334" s="427">
        <v>6</v>
      </c>
      <c r="B334" s="447" t="s">
        <v>767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768</v>
      </c>
      <c r="C335" s="516">
        <v>33383000</v>
      </c>
      <c r="D335" s="516">
        <v>30062421</v>
      </c>
      <c r="E335" s="516">
        <f t="shared" si="34"/>
        <v>-3320579</v>
      </c>
      <c r="F335" s="542">
        <f t="shared" si="35"/>
        <v>-9.9469160950184224E-2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81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sqref="A1:E1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629</v>
      </c>
      <c r="B3" s="820"/>
      <c r="C3" s="820"/>
      <c r="D3" s="820"/>
      <c r="E3" s="820"/>
    </row>
    <row r="4" spans="1:5" s="428" customFormat="1" ht="15.75" customHeight="1" x14ac:dyDescent="0.25">
      <c r="A4" s="820" t="s">
        <v>769</v>
      </c>
      <c r="B4" s="820"/>
      <c r="C4" s="820"/>
      <c r="D4" s="820"/>
      <c r="E4" s="820"/>
    </row>
    <row r="5" spans="1:5" s="428" customFormat="1" ht="15.75" customHeight="1" x14ac:dyDescent="0.25">
      <c r="A5" s="820" t="s">
        <v>770</v>
      </c>
      <c r="B5" s="820"/>
      <c r="C5" s="820"/>
      <c r="D5" s="820"/>
      <c r="E5" s="820"/>
    </row>
    <row r="6" spans="1:5" s="428" customFormat="1" ht="15.75" customHeight="1" x14ac:dyDescent="0.25">
      <c r="A6" s="820" t="s">
        <v>771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772</v>
      </c>
      <c r="D9" s="573" t="s">
        <v>773</v>
      </c>
      <c r="E9" s="573" t="s">
        <v>774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775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776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656</v>
      </c>
      <c r="C14" s="589">
        <v>183085674</v>
      </c>
      <c r="D14" s="589">
        <v>181681956</v>
      </c>
      <c r="E14" s="590">
        <f t="shared" ref="E14:E22" si="0">D14-C14</f>
        <v>-1403718</v>
      </c>
    </row>
    <row r="15" spans="1:5" s="421" customFormat="1" x14ac:dyDescent="0.2">
      <c r="A15" s="588">
        <v>2</v>
      </c>
      <c r="B15" s="587" t="s">
        <v>635</v>
      </c>
      <c r="C15" s="589">
        <v>286880905</v>
      </c>
      <c r="D15" s="591">
        <v>298292004</v>
      </c>
      <c r="E15" s="590">
        <f t="shared" si="0"/>
        <v>11411099</v>
      </c>
    </row>
    <row r="16" spans="1:5" s="421" customFormat="1" x14ac:dyDescent="0.2">
      <c r="A16" s="588">
        <v>3</v>
      </c>
      <c r="B16" s="587" t="s">
        <v>777</v>
      </c>
      <c r="C16" s="589">
        <v>73539711</v>
      </c>
      <c r="D16" s="591">
        <v>77638223</v>
      </c>
      <c r="E16" s="590">
        <f t="shared" si="0"/>
        <v>4098512</v>
      </c>
    </row>
    <row r="17" spans="1:5" s="421" customFormat="1" x14ac:dyDescent="0.2">
      <c r="A17" s="588">
        <v>4</v>
      </c>
      <c r="B17" s="587" t="s">
        <v>115</v>
      </c>
      <c r="C17" s="589">
        <v>72740335</v>
      </c>
      <c r="D17" s="591">
        <v>76554491</v>
      </c>
      <c r="E17" s="590">
        <f t="shared" si="0"/>
        <v>3814156</v>
      </c>
    </row>
    <row r="18" spans="1:5" s="421" customFormat="1" x14ac:dyDescent="0.2">
      <c r="A18" s="588">
        <v>5</v>
      </c>
      <c r="B18" s="587" t="s">
        <v>743</v>
      </c>
      <c r="C18" s="589">
        <v>799376</v>
      </c>
      <c r="D18" s="591">
        <v>1083732</v>
      </c>
      <c r="E18" s="590">
        <f t="shared" si="0"/>
        <v>284356</v>
      </c>
    </row>
    <row r="19" spans="1:5" s="421" customFormat="1" x14ac:dyDescent="0.2">
      <c r="A19" s="588">
        <v>6</v>
      </c>
      <c r="B19" s="587" t="s">
        <v>424</v>
      </c>
      <c r="C19" s="589">
        <v>494495</v>
      </c>
      <c r="D19" s="591">
        <v>545231</v>
      </c>
      <c r="E19" s="590">
        <f t="shared" si="0"/>
        <v>50736</v>
      </c>
    </row>
    <row r="20" spans="1:5" s="421" customFormat="1" x14ac:dyDescent="0.2">
      <c r="A20" s="588">
        <v>7</v>
      </c>
      <c r="B20" s="587" t="s">
        <v>758</v>
      </c>
      <c r="C20" s="589">
        <v>6349011</v>
      </c>
      <c r="D20" s="591">
        <v>5494250</v>
      </c>
      <c r="E20" s="590">
        <f t="shared" si="0"/>
        <v>-854761</v>
      </c>
    </row>
    <row r="21" spans="1:5" s="421" customFormat="1" x14ac:dyDescent="0.2">
      <c r="A21" s="588"/>
      <c r="B21" s="592" t="s">
        <v>778</v>
      </c>
      <c r="C21" s="593">
        <f>SUM(C15+C16+C19)</f>
        <v>360915111</v>
      </c>
      <c r="D21" s="593">
        <f>SUM(D15+D16+D19)</f>
        <v>376475458</v>
      </c>
      <c r="E21" s="593">
        <f t="shared" si="0"/>
        <v>15560347</v>
      </c>
    </row>
    <row r="22" spans="1:5" s="421" customFormat="1" x14ac:dyDescent="0.2">
      <c r="A22" s="588"/>
      <c r="B22" s="592" t="s">
        <v>465</v>
      </c>
      <c r="C22" s="593">
        <f>SUM(C14+C21)</f>
        <v>544000785</v>
      </c>
      <c r="D22" s="593">
        <f>SUM(D14+D21)</f>
        <v>558157414</v>
      </c>
      <c r="E22" s="593">
        <f t="shared" si="0"/>
        <v>14156629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779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656</v>
      </c>
      <c r="C25" s="589">
        <v>337975393</v>
      </c>
      <c r="D25" s="589">
        <v>349151050</v>
      </c>
      <c r="E25" s="590">
        <f t="shared" ref="E25:E33" si="1">D25-C25</f>
        <v>11175657</v>
      </c>
    </row>
    <row r="26" spans="1:5" s="421" customFormat="1" x14ac:dyDescent="0.2">
      <c r="A26" s="588">
        <v>2</v>
      </c>
      <c r="B26" s="587" t="s">
        <v>635</v>
      </c>
      <c r="C26" s="589">
        <v>221855893</v>
      </c>
      <c r="D26" s="591">
        <v>240467040</v>
      </c>
      <c r="E26" s="590">
        <f t="shared" si="1"/>
        <v>18611147</v>
      </c>
    </row>
    <row r="27" spans="1:5" s="421" customFormat="1" x14ac:dyDescent="0.2">
      <c r="A27" s="588">
        <v>3</v>
      </c>
      <c r="B27" s="587" t="s">
        <v>777</v>
      </c>
      <c r="C27" s="589">
        <v>72258000</v>
      </c>
      <c r="D27" s="591">
        <v>83245316</v>
      </c>
      <c r="E27" s="590">
        <f t="shared" si="1"/>
        <v>10987316</v>
      </c>
    </row>
    <row r="28" spans="1:5" s="421" customFormat="1" x14ac:dyDescent="0.2">
      <c r="A28" s="588">
        <v>4</v>
      </c>
      <c r="B28" s="587" t="s">
        <v>115</v>
      </c>
      <c r="C28" s="589">
        <v>71133372</v>
      </c>
      <c r="D28" s="591">
        <v>82631036</v>
      </c>
      <c r="E28" s="590">
        <f t="shared" si="1"/>
        <v>11497664</v>
      </c>
    </row>
    <row r="29" spans="1:5" s="421" customFormat="1" x14ac:dyDescent="0.2">
      <c r="A29" s="588">
        <v>5</v>
      </c>
      <c r="B29" s="587" t="s">
        <v>743</v>
      </c>
      <c r="C29" s="589">
        <v>1124628</v>
      </c>
      <c r="D29" s="591">
        <v>614280</v>
      </c>
      <c r="E29" s="590">
        <f t="shared" si="1"/>
        <v>-510348</v>
      </c>
    </row>
    <row r="30" spans="1:5" s="421" customFormat="1" x14ac:dyDescent="0.2">
      <c r="A30" s="588">
        <v>6</v>
      </c>
      <c r="B30" s="587" t="s">
        <v>424</v>
      </c>
      <c r="C30" s="589">
        <v>987989</v>
      </c>
      <c r="D30" s="591">
        <v>869852</v>
      </c>
      <c r="E30" s="590">
        <f t="shared" si="1"/>
        <v>-118137</v>
      </c>
    </row>
    <row r="31" spans="1:5" s="421" customFormat="1" x14ac:dyDescent="0.2">
      <c r="A31" s="588">
        <v>7</v>
      </c>
      <c r="B31" s="587" t="s">
        <v>758</v>
      </c>
      <c r="C31" s="590">
        <v>30198901</v>
      </c>
      <c r="D31" s="594">
        <v>28950356</v>
      </c>
      <c r="E31" s="590">
        <f t="shared" si="1"/>
        <v>-1248545</v>
      </c>
    </row>
    <row r="32" spans="1:5" s="421" customFormat="1" x14ac:dyDescent="0.2">
      <c r="A32" s="588"/>
      <c r="B32" s="592" t="s">
        <v>780</v>
      </c>
      <c r="C32" s="593">
        <f>SUM(C26+C27+C30)</f>
        <v>295101882</v>
      </c>
      <c r="D32" s="593">
        <f>SUM(D26+D27+D30)</f>
        <v>324582208</v>
      </c>
      <c r="E32" s="593">
        <f t="shared" si="1"/>
        <v>29480326</v>
      </c>
    </row>
    <row r="33" spans="1:5" s="421" customFormat="1" x14ac:dyDescent="0.2">
      <c r="A33" s="588"/>
      <c r="B33" s="592" t="s">
        <v>467</v>
      </c>
      <c r="C33" s="593">
        <f>SUM(C25+C32)</f>
        <v>633077275</v>
      </c>
      <c r="D33" s="593">
        <f>SUM(D25+D32)</f>
        <v>673733258</v>
      </c>
      <c r="E33" s="593">
        <f t="shared" si="1"/>
        <v>40655983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653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781</v>
      </c>
      <c r="C36" s="590">
        <f t="shared" ref="C36:D42" si="2">C14+C25</f>
        <v>521061067</v>
      </c>
      <c r="D36" s="590">
        <f t="shared" si="2"/>
        <v>530833006</v>
      </c>
      <c r="E36" s="590">
        <f t="shared" ref="E36:E44" si="3">D36-C36</f>
        <v>9771939</v>
      </c>
    </row>
    <row r="37" spans="1:5" s="421" customFormat="1" x14ac:dyDescent="0.2">
      <c r="A37" s="588">
        <v>2</v>
      </c>
      <c r="B37" s="587" t="s">
        <v>782</v>
      </c>
      <c r="C37" s="590">
        <f t="shared" si="2"/>
        <v>508736798</v>
      </c>
      <c r="D37" s="590">
        <f t="shared" si="2"/>
        <v>538759044</v>
      </c>
      <c r="E37" s="590">
        <f t="shared" si="3"/>
        <v>30022246</v>
      </c>
    </row>
    <row r="38" spans="1:5" s="421" customFormat="1" x14ac:dyDescent="0.2">
      <c r="A38" s="588">
        <v>3</v>
      </c>
      <c r="B38" s="587" t="s">
        <v>783</v>
      </c>
      <c r="C38" s="590">
        <f t="shared" si="2"/>
        <v>145797711</v>
      </c>
      <c r="D38" s="590">
        <f t="shared" si="2"/>
        <v>160883539</v>
      </c>
      <c r="E38" s="590">
        <f t="shared" si="3"/>
        <v>15085828</v>
      </c>
    </row>
    <row r="39" spans="1:5" s="421" customFormat="1" x14ac:dyDescent="0.2">
      <c r="A39" s="588">
        <v>4</v>
      </c>
      <c r="B39" s="587" t="s">
        <v>784</v>
      </c>
      <c r="C39" s="590">
        <f t="shared" si="2"/>
        <v>143873707</v>
      </c>
      <c r="D39" s="590">
        <f t="shared" si="2"/>
        <v>159185527</v>
      </c>
      <c r="E39" s="590">
        <f t="shared" si="3"/>
        <v>15311820</v>
      </c>
    </row>
    <row r="40" spans="1:5" s="421" customFormat="1" x14ac:dyDescent="0.2">
      <c r="A40" s="588">
        <v>5</v>
      </c>
      <c r="B40" s="587" t="s">
        <v>785</v>
      </c>
      <c r="C40" s="590">
        <f t="shared" si="2"/>
        <v>1924004</v>
      </c>
      <c r="D40" s="590">
        <f t="shared" si="2"/>
        <v>1698012</v>
      </c>
      <c r="E40" s="590">
        <f t="shared" si="3"/>
        <v>-225992</v>
      </c>
    </row>
    <row r="41" spans="1:5" s="421" customFormat="1" x14ac:dyDescent="0.2">
      <c r="A41" s="588">
        <v>6</v>
      </c>
      <c r="B41" s="587" t="s">
        <v>786</v>
      </c>
      <c r="C41" s="590">
        <f t="shared" si="2"/>
        <v>1482484</v>
      </c>
      <c r="D41" s="590">
        <f t="shared" si="2"/>
        <v>1415083</v>
      </c>
      <c r="E41" s="590">
        <f t="shared" si="3"/>
        <v>-67401</v>
      </c>
    </row>
    <row r="42" spans="1:5" s="421" customFormat="1" x14ac:dyDescent="0.2">
      <c r="A42" s="588">
        <v>7</v>
      </c>
      <c r="B42" s="587" t="s">
        <v>787</v>
      </c>
      <c r="C42" s="590">
        <f t="shared" si="2"/>
        <v>36547912</v>
      </c>
      <c r="D42" s="590">
        <f t="shared" si="2"/>
        <v>34444606</v>
      </c>
      <c r="E42" s="590">
        <f t="shared" si="3"/>
        <v>-2103306</v>
      </c>
    </row>
    <row r="43" spans="1:5" s="421" customFormat="1" x14ac:dyDescent="0.2">
      <c r="A43" s="588"/>
      <c r="B43" s="592" t="s">
        <v>788</v>
      </c>
      <c r="C43" s="593">
        <f>SUM(C37+C38+C41)</f>
        <v>656016993</v>
      </c>
      <c r="D43" s="593">
        <f>SUM(D37+D38+D41)</f>
        <v>701057666</v>
      </c>
      <c r="E43" s="593">
        <f t="shared" si="3"/>
        <v>45040673</v>
      </c>
    </row>
    <row r="44" spans="1:5" s="421" customFormat="1" x14ac:dyDescent="0.2">
      <c r="A44" s="588"/>
      <c r="B44" s="592" t="s">
        <v>725</v>
      </c>
      <c r="C44" s="593">
        <f>SUM(C36+C43)</f>
        <v>1177078060</v>
      </c>
      <c r="D44" s="593">
        <f>SUM(D36+D43)</f>
        <v>1231890672</v>
      </c>
      <c r="E44" s="593">
        <f t="shared" si="3"/>
        <v>54812612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789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656</v>
      </c>
      <c r="C47" s="589">
        <v>108067227</v>
      </c>
      <c r="D47" s="589">
        <v>105934095</v>
      </c>
      <c r="E47" s="590">
        <f t="shared" ref="E47:E55" si="4">D47-C47</f>
        <v>-2133132</v>
      </c>
    </row>
    <row r="48" spans="1:5" s="421" customFormat="1" x14ac:dyDescent="0.2">
      <c r="A48" s="588">
        <v>2</v>
      </c>
      <c r="B48" s="587" t="s">
        <v>635</v>
      </c>
      <c r="C48" s="589">
        <v>96248763</v>
      </c>
      <c r="D48" s="591">
        <v>97031490</v>
      </c>
      <c r="E48" s="590">
        <f t="shared" si="4"/>
        <v>782727</v>
      </c>
    </row>
    <row r="49" spans="1:5" s="421" customFormat="1" x14ac:dyDescent="0.2">
      <c r="A49" s="588">
        <v>3</v>
      </c>
      <c r="B49" s="587" t="s">
        <v>777</v>
      </c>
      <c r="C49" s="589">
        <v>18354306</v>
      </c>
      <c r="D49" s="591">
        <v>17325457</v>
      </c>
      <c r="E49" s="590">
        <f t="shared" si="4"/>
        <v>-1028849</v>
      </c>
    </row>
    <row r="50" spans="1:5" s="421" customFormat="1" x14ac:dyDescent="0.2">
      <c r="A50" s="588">
        <v>4</v>
      </c>
      <c r="B50" s="587" t="s">
        <v>115</v>
      </c>
      <c r="C50" s="589">
        <v>18124266</v>
      </c>
      <c r="D50" s="591">
        <v>16870763</v>
      </c>
      <c r="E50" s="590">
        <f t="shared" si="4"/>
        <v>-1253503</v>
      </c>
    </row>
    <row r="51" spans="1:5" s="421" customFormat="1" x14ac:dyDescent="0.2">
      <c r="A51" s="588">
        <v>5</v>
      </c>
      <c r="B51" s="587" t="s">
        <v>743</v>
      </c>
      <c r="C51" s="589">
        <v>230040</v>
      </c>
      <c r="D51" s="591">
        <v>454694</v>
      </c>
      <c r="E51" s="590">
        <f t="shared" si="4"/>
        <v>224654</v>
      </c>
    </row>
    <row r="52" spans="1:5" s="421" customFormat="1" x14ac:dyDescent="0.2">
      <c r="A52" s="588">
        <v>6</v>
      </c>
      <c r="B52" s="587" t="s">
        <v>424</v>
      </c>
      <c r="C52" s="589">
        <v>158895</v>
      </c>
      <c r="D52" s="591">
        <v>183218</v>
      </c>
      <c r="E52" s="590">
        <f t="shared" si="4"/>
        <v>24323</v>
      </c>
    </row>
    <row r="53" spans="1:5" s="421" customFormat="1" x14ac:dyDescent="0.2">
      <c r="A53" s="588">
        <v>7</v>
      </c>
      <c r="B53" s="587" t="s">
        <v>758</v>
      </c>
      <c r="C53" s="589">
        <v>1343992</v>
      </c>
      <c r="D53" s="591">
        <v>1444587</v>
      </c>
      <c r="E53" s="590">
        <f t="shared" si="4"/>
        <v>100595</v>
      </c>
    </row>
    <row r="54" spans="1:5" s="421" customFormat="1" x14ac:dyDescent="0.2">
      <c r="A54" s="588"/>
      <c r="B54" s="592" t="s">
        <v>790</v>
      </c>
      <c r="C54" s="593">
        <f>SUM(C48+C49+C52)</f>
        <v>114761964</v>
      </c>
      <c r="D54" s="593">
        <f>SUM(D48+D49+D52)</f>
        <v>114540165</v>
      </c>
      <c r="E54" s="593">
        <f t="shared" si="4"/>
        <v>-221799</v>
      </c>
    </row>
    <row r="55" spans="1:5" s="421" customFormat="1" x14ac:dyDescent="0.2">
      <c r="A55" s="588"/>
      <c r="B55" s="592" t="s">
        <v>466</v>
      </c>
      <c r="C55" s="593">
        <f>SUM(C47+C54)</f>
        <v>222829191</v>
      </c>
      <c r="D55" s="593">
        <f>SUM(D47+D54)</f>
        <v>220474260</v>
      </c>
      <c r="E55" s="593">
        <f t="shared" si="4"/>
        <v>-2354931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791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656</v>
      </c>
      <c r="C58" s="589">
        <v>192273237</v>
      </c>
      <c r="D58" s="589">
        <v>197207019</v>
      </c>
      <c r="E58" s="590">
        <f t="shared" ref="E58:E66" si="5">D58-C58</f>
        <v>4933782</v>
      </c>
    </row>
    <row r="59" spans="1:5" s="421" customFormat="1" x14ac:dyDescent="0.2">
      <c r="A59" s="588">
        <v>2</v>
      </c>
      <c r="B59" s="587" t="s">
        <v>635</v>
      </c>
      <c r="C59" s="589">
        <v>74385515</v>
      </c>
      <c r="D59" s="591">
        <v>78139901</v>
      </c>
      <c r="E59" s="590">
        <f t="shared" si="5"/>
        <v>3754386</v>
      </c>
    </row>
    <row r="60" spans="1:5" s="421" customFormat="1" x14ac:dyDescent="0.2">
      <c r="A60" s="588">
        <v>3</v>
      </c>
      <c r="B60" s="587" t="s">
        <v>777</v>
      </c>
      <c r="C60" s="589">
        <f>C61+C62</f>
        <v>17536232</v>
      </c>
      <c r="D60" s="591">
        <f>D61+D62</f>
        <v>18467616</v>
      </c>
      <c r="E60" s="590">
        <f t="shared" si="5"/>
        <v>931384</v>
      </c>
    </row>
    <row r="61" spans="1:5" s="421" customFormat="1" x14ac:dyDescent="0.2">
      <c r="A61" s="588">
        <v>4</v>
      </c>
      <c r="B61" s="587" t="s">
        <v>115</v>
      </c>
      <c r="C61" s="589">
        <v>17240567</v>
      </c>
      <c r="D61" s="591">
        <v>18209887</v>
      </c>
      <c r="E61" s="590">
        <f t="shared" si="5"/>
        <v>969320</v>
      </c>
    </row>
    <row r="62" spans="1:5" s="421" customFormat="1" x14ac:dyDescent="0.2">
      <c r="A62" s="588">
        <v>5</v>
      </c>
      <c r="B62" s="587" t="s">
        <v>743</v>
      </c>
      <c r="C62" s="589">
        <v>295665</v>
      </c>
      <c r="D62" s="591">
        <v>257729</v>
      </c>
      <c r="E62" s="590">
        <f t="shared" si="5"/>
        <v>-37936</v>
      </c>
    </row>
    <row r="63" spans="1:5" s="421" customFormat="1" x14ac:dyDescent="0.2">
      <c r="A63" s="588">
        <v>6</v>
      </c>
      <c r="B63" s="587" t="s">
        <v>424</v>
      </c>
      <c r="C63" s="589">
        <v>207161</v>
      </c>
      <c r="D63" s="591">
        <v>196969</v>
      </c>
      <c r="E63" s="590">
        <f t="shared" si="5"/>
        <v>-10192</v>
      </c>
    </row>
    <row r="64" spans="1:5" s="421" customFormat="1" x14ac:dyDescent="0.2">
      <c r="A64" s="588">
        <v>7</v>
      </c>
      <c r="B64" s="587" t="s">
        <v>758</v>
      </c>
      <c r="C64" s="589">
        <v>6392663</v>
      </c>
      <c r="D64" s="591">
        <v>7611833</v>
      </c>
      <c r="E64" s="590">
        <f t="shared" si="5"/>
        <v>1219170</v>
      </c>
    </row>
    <row r="65" spans="1:5" s="421" customFormat="1" x14ac:dyDescent="0.2">
      <c r="A65" s="588"/>
      <c r="B65" s="592" t="s">
        <v>792</v>
      </c>
      <c r="C65" s="593">
        <f>SUM(C59+C60+C63)</f>
        <v>92128908</v>
      </c>
      <c r="D65" s="593">
        <f>SUM(D59+D60+D63)</f>
        <v>96804486</v>
      </c>
      <c r="E65" s="593">
        <f t="shared" si="5"/>
        <v>4675578</v>
      </c>
    </row>
    <row r="66" spans="1:5" s="421" customFormat="1" x14ac:dyDescent="0.2">
      <c r="A66" s="588"/>
      <c r="B66" s="592" t="s">
        <v>468</v>
      </c>
      <c r="C66" s="593">
        <f>SUM(C58+C65)</f>
        <v>284402145</v>
      </c>
      <c r="D66" s="593">
        <f>SUM(D58+D65)</f>
        <v>294011505</v>
      </c>
      <c r="E66" s="593">
        <f t="shared" si="5"/>
        <v>9609360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654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781</v>
      </c>
      <c r="C69" s="590">
        <f t="shared" ref="C69:D75" si="6">C47+C58</f>
        <v>300340464</v>
      </c>
      <c r="D69" s="590">
        <f t="shared" si="6"/>
        <v>303141114</v>
      </c>
      <c r="E69" s="590">
        <f t="shared" ref="E69:E77" si="7">D69-C69</f>
        <v>2800650</v>
      </c>
    </row>
    <row r="70" spans="1:5" s="421" customFormat="1" x14ac:dyDescent="0.2">
      <c r="A70" s="588">
        <v>2</v>
      </c>
      <c r="B70" s="587" t="s">
        <v>782</v>
      </c>
      <c r="C70" s="590">
        <f t="shared" si="6"/>
        <v>170634278</v>
      </c>
      <c r="D70" s="590">
        <f t="shared" si="6"/>
        <v>175171391</v>
      </c>
      <c r="E70" s="590">
        <f t="shared" si="7"/>
        <v>4537113</v>
      </c>
    </row>
    <row r="71" spans="1:5" s="421" customFormat="1" x14ac:dyDescent="0.2">
      <c r="A71" s="588">
        <v>3</v>
      </c>
      <c r="B71" s="587" t="s">
        <v>783</v>
      </c>
      <c r="C71" s="590">
        <f t="shared" si="6"/>
        <v>35890538</v>
      </c>
      <c r="D71" s="590">
        <f t="shared" si="6"/>
        <v>35793073</v>
      </c>
      <c r="E71" s="590">
        <f t="shared" si="7"/>
        <v>-97465</v>
      </c>
    </row>
    <row r="72" spans="1:5" s="421" customFormat="1" x14ac:dyDescent="0.2">
      <c r="A72" s="588">
        <v>4</v>
      </c>
      <c r="B72" s="587" t="s">
        <v>784</v>
      </c>
      <c r="C72" s="590">
        <f t="shared" si="6"/>
        <v>35364833</v>
      </c>
      <c r="D72" s="590">
        <f t="shared" si="6"/>
        <v>35080650</v>
      </c>
      <c r="E72" s="590">
        <f t="shared" si="7"/>
        <v>-284183</v>
      </c>
    </row>
    <row r="73" spans="1:5" s="421" customFormat="1" x14ac:dyDescent="0.2">
      <c r="A73" s="588">
        <v>5</v>
      </c>
      <c r="B73" s="587" t="s">
        <v>785</v>
      </c>
      <c r="C73" s="590">
        <f t="shared" si="6"/>
        <v>525705</v>
      </c>
      <c r="D73" s="590">
        <f t="shared" si="6"/>
        <v>712423</v>
      </c>
      <c r="E73" s="590">
        <f t="shared" si="7"/>
        <v>186718</v>
      </c>
    </row>
    <row r="74" spans="1:5" s="421" customFormat="1" x14ac:dyDescent="0.2">
      <c r="A74" s="588">
        <v>6</v>
      </c>
      <c r="B74" s="587" t="s">
        <v>786</v>
      </c>
      <c r="C74" s="590">
        <f t="shared" si="6"/>
        <v>366056</v>
      </c>
      <c r="D74" s="590">
        <f t="shared" si="6"/>
        <v>380187</v>
      </c>
      <c r="E74" s="590">
        <f t="shared" si="7"/>
        <v>14131</v>
      </c>
    </row>
    <row r="75" spans="1:5" s="421" customFormat="1" x14ac:dyDescent="0.2">
      <c r="A75" s="588">
        <v>7</v>
      </c>
      <c r="B75" s="587" t="s">
        <v>787</v>
      </c>
      <c r="C75" s="590">
        <f t="shared" si="6"/>
        <v>7736655</v>
      </c>
      <c r="D75" s="590">
        <f t="shared" si="6"/>
        <v>9056420</v>
      </c>
      <c r="E75" s="590">
        <f t="shared" si="7"/>
        <v>1319765</v>
      </c>
    </row>
    <row r="76" spans="1:5" s="421" customFormat="1" x14ac:dyDescent="0.2">
      <c r="A76" s="588"/>
      <c r="B76" s="592" t="s">
        <v>793</v>
      </c>
      <c r="C76" s="593">
        <f>SUM(C70+C71+C74)</f>
        <v>206890872</v>
      </c>
      <c r="D76" s="593">
        <f>SUM(D70+D71+D74)</f>
        <v>211344651</v>
      </c>
      <c r="E76" s="593">
        <f t="shared" si="7"/>
        <v>4453779</v>
      </c>
    </row>
    <row r="77" spans="1:5" s="421" customFormat="1" x14ac:dyDescent="0.2">
      <c r="A77" s="588"/>
      <c r="B77" s="592" t="s">
        <v>726</v>
      </c>
      <c r="C77" s="593">
        <f>SUM(C69+C76)</f>
        <v>507231336</v>
      </c>
      <c r="D77" s="593">
        <f>SUM(D69+D76)</f>
        <v>514485765</v>
      </c>
      <c r="E77" s="593">
        <f t="shared" si="7"/>
        <v>7254429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794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795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656</v>
      </c>
      <c r="C83" s="599">
        <f t="shared" ref="C83:D89" si="8">IF(C$44=0,0,C14/C$44)</f>
        <v>0.15554250837026051</v>
      </c>
      <c r="D83" s="599">
        <f t="shared" si="8"/>
        <v>0.14748220773929199</v>
      </c>
      <c r="E83" s="599">
        <f t="shared" ref="E83:E91" si="9">D83-C83</f>
        <v>-8.0603006309685199E-3</v>
      </c>
    </row>
    <row r="84" spans="1:5" s="421" customFormat="1" x14ac:dyDescent="0.2">
      <c r="A84" s="588">
        <v>2</v>
      </c>
      <c r="B84" s="587" t="s">
        <v>635</v>
      </c>
      <c r="C84" s="599">
        <f t="shared" si="8"/>
        <v>0.24372292267515377</v>
      </c>
      <c r="D84" s="599">
        <f t="shared" si="8"/>
        <v>0.24214162082720925</v>
      </c>
      <c r="E84" s="599">
        <f t="shared" si="9"/>
        <v>-1.5813018479445273E-3</v>
      </c>
    </row>
    <row r="85" spans="1:5" s="421" customFormat="1" x14ac:dyDescent="0.2">
      <c r="A85" s="588">
        <v>3</v>
      </c>
      <c r="B85" s="587" t="s">
        <v>777</v>
      </c>
      <c r="C85" s="599">
        <f t="shared" si="8"/>
        <v>6.247649454956284E-2</v>
      </c>
      <c r="D85" s="599">
        <f t="shared" si="8"/>
        <v>6.302363088272496E-2</v>
      </c>
      <c r="E85" s="599">
        <f t="shared" si="9"/>
        <v>5.4713633316211957E-4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6.1797375613304693E-2</v>
      </c>
      <c r="D86" s="599">
        <f t="shared" si="8"/>
        <v>6.2143900217794652E-2</v>
      </c>
      <c r="E86" s="599">
        <f t="shared" si="9"/>
        <v>3.4652460448995892E-4</v>
      </c>
    </row>
    <row r="87" spans="1:5" s="421" customFormat="1" x14ac:dyDescent="0.2">
      <c r="A87" s="588">
        <v>5</v>
      </c>
      <c r="B87" s="587" t="s">
        <v>743</v>
      </c>
      <c r="C87" s="599">
        <f t="shared" si="8"/>
        <v>6.7911893625814419E-4</v>
      </c>
      <c r="D87" s="599">
        <f t="shared" si="8"/>
        <v>8.7973066493030484E-4</v>
      </c>
      <c r="E87" s="599">
        <f t="shared" si="9"/>
        <v>2.0061172867216065E-4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4.2010382896780864E-4</v>
      </c>
      <c r="D88" s="599">
        <f t="shared" si="8"/>
        <v>4.425969060345316E-4</v>
      </c>
      <c r="E88" s="599">
        <f t="shared" si="9"/>
        <v>2.2493077066722961E-5</v>
      </c>
    </row>
    <row r="89" spans="1:5" s="421" customFormat="1" x14ac:dyDescent="0.2">
      <c r="A89" s="588">
        <v>7</v>
      </c>
      <c r="B89" s="587" t="s">
        <v>758</v>
      </c>
      <c r="C89" s="599">
        <f t="shared" si="8"/>
        <v>5.3938742176538402E-3</v>
      </c>
      <c r="D89" s="599">
        <f t="shared" si="8"/>
        <v>4.4600142893199864E-3</v>
      </c>
      <c r="E89" s="599">
        <f t="shared" si="9"/>
        <v>-9.3385992833385379E-4</v>
      </c>
    </row>
    <row r="90" spans="1:5" s="421" customFormat="1" x14ac:dyDescent="0.2">
      <c r="A90" s="588"/>
      <c r="B90" s="592" t="s">
        <v>796</v>
      </c>
      <c r="C90" s="600">
        <f>SUM(C84+C85+C88)</f>
        <v>0.3066195210536844</v>
      </c>
      <c r="D90" s="600">
        <f>SUM(D84+D85+D88)</f>
        <v>0.30560784861596874</v>
      </c>
      <c r="E90" s="601">
        <f t="shared" si="9"/>
        <v>-1.0116724377156605E-3</v>
      </c>
    </row>
    <row r="91" spans="1:5" s="421" customFormat="1" x14ac:dyDescent="0.2">
      <c r="A91" s="588"/>
      <c r="B91" s="592" t="s">
        <v>797</v>
      </c>
      <c r="C91" s="600">
        <f>SUM(C83+C90)</f>
        <v>0.46216202942394491</v>
      </c>
      <c r="D91" s="600">
        <f>SUM(D83+D90)</f>
        <v>0.45309005635526073</v>
      </c>
      <c r="E91" s="601">
        <f t="shared" si="9"/>
        <v>-9.0719730686841804E-3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798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656</v>
      </c>
      <c r="C95" s="599">
        <f t="shared" ref="C95:D101" si="10">IF(C$44=0,0,C25/C$44)</f>
        <v>0.28713082376201965</v>
      </c>
      <c r="D95" s="599">
        <f t="shared" si="10"/>
        <v>0.28342697768231823</v>
      </c>
      <c r="E95" s="599">
        <f t="shared" ref="E95:E103" si="11">D95-C95</f>
        <v>-3.7038460797014228E-3</v>
      </c>
    </row>
    <row r="96" spans="1:5" s="421" customFormat="1" x14ac:dyDescent="0.2">
      <c r="A96" s="588">
        <v>2</v>
      </c>
      <c r="B96" s="587" t="s">
        <v>635</v>
      </c>
      <c r="C96" s="599">
        <f t="shared" si="10"/>
        <v>0.18848018711690201</v>
      </c>
      <c r="D96" s="599">
        <f t="shared" si="10"/>
        <v>0.19520160795567743</v>
      </c>
      <c r="E96" s="599">
        <f t="shared" si="11"/>
        <v>6.721420838775416E-3</v>
      </c>
    </row>
    <row r="97" spans="1:5" s="421" customFormat="1" x14ac:dyDescent="0.2">
      <c r="A97" s="588">
        <v>3</v>
      </c>
      <c r="B97" s="587" t="s">
        <v>777</v>
      </c>
      <c r="C97" s="599">
        <f t="shared" si="10"/>
        <v>6.1387602450087293E-2</v>
      </c>
      <c r="D97" s="599">
        <f t="shared" si="10"/>
        <v>6.7575246644939288E-2</v>
      </c>
      <c r="E97" s="599">
        <f t="shared" si="11"/>
        <v>6.1876441948519947E-3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6.0432161992722895E-2</v>
      </c>
      <c r="D98" s="599">
        <f t="shared" si="10"/>
        <v>6.7076598498669371E-2</v>
      </c>
      <c r="E98" s="599">
        <f t="shared" si="11"/>
        <v>6.6444365059464758E-3</v>
      </c>
    </row>
    <row r="99" spans="1:5" s="421" customFormat="1" x14ac:dyDescent="0.2">
      <c r="A99" s="588">
        <v>5</v>
      </c>
      <c r="B99" s="587" t="s">
        <v>743</v>
      </c>
      <c r="C99" s="599">
        <f t="shared" si="10"/>
        <v>9.5544045736439939E-4</v>
      </c>
      <c r="D99" s="599">
        <f t="shared" si="10"/>
        <v>4.986481462699151E-4</v>
      </c>
      <c r="E99" s="599">
        <f t="shared" si="11"/>
        <v>-4.5679231109448429E-4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8.3935724704613051E-4</v>
      </c>
      <c r="D100" s="599">
        <f t="shared" si="10"/>
        <v>7.0611136180435334E-4</v>
      </c>
      <c r="E100" s="599">
        <f t="shared" si="11"/>
        <v>-1.3324588524177717E-4</v>
      </c>
    </row>
    <row r="101" spans="1:5" s="421" customFormat="1" x14ac:dyDescent="0.2">
      <c r="A101" s="588">
        <v>7</v>
      </c>
      <c r="B101" s="587" t="s">
        <v>758</v>
      </c>
      <c r="C101" s="599">
        <f t="shared" si="10"/>
        <v>2.5655818442491402E-2</v>
      </c>
      <c r="D101" s="599">
        <f t="shared" si="10"/>
        <v>2.35007510471676E-2</v>
      </c>
      <c r="E101" s="599">
        <f t="shared" si="11"/>
        <v>-2.1550673953238016E-3</v>
      </c>
    </row>
    <row r="102" spans="1:5" s="421" customFormat="1" x14ac:dyDescent="0.2">
      <c r="A102" s="588"/>
      <c r="B102" s="592" t="s">
        <v>799</v>
      </c>
      <c r="C102" s="600">
        <f>SUM(C96+C97+C100)</f>
        <v>0.25070714681403544</v>
      </c>
      <c r="D102" s="600">
        <f>SUM(D96+D97+D100)</f>
        <v>0.2634829659624211</v>
      </c>
      <c r="E102" s="601">
        <f t="shared" si="11"/>
        <v>1.2775819148385659E-2</v>
      </c>
    </row>
    <row r="103" spans="1:5" s="421" customFormat="1" x14ac:dyDescent="0.2">
      <c r="A103" s="588"/>
      <c r="B103" s="592" t="s">
        <v>800</v>
      </c>
      <c r="C103" s="600">
        <f>SUM(C95+C102)</f>
        <v>0.53783797057605509</v>
      </c>
      <c r="D103" s="600">
        <f>SUM(D95+D102)</f>
        <v>0.54690994364473933</v>
      </c>
      <c r="E103" s="601">
        <f t="shared" si="11"/>
        <v>9.0719730686842359E-3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801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802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656</v>
      </c>
      <c r="C109" s="599">
        <f t="shared" ref="C109:D115" si="12">IF(C$77=0,0,C47/C$77)</f>
        <v>0.21305313637010787</v>
      </c>
      <c r="D109" s="599">
        <f t="shared" si="12"/>
        <v>0.20590286885780018</v>
      </c>
      <c r="E109" s="599">
        <f t="shared" ref="E109:E117" si="13">D109-C109</f>
        <v>-7.1502675123076842E-3</v>
      </c>
    </row>
    <row r="110" spans="1:5" s="421" customFormat="1" x14ac:dyDescent="0.2">
      <c r="A110" s="588">
        <v>2</v>
      </c>
      <c r="B110" s="587" t="s">
        <v>635</v>
      </c>
      <c r="C110" s="599">
        <f t="shared" si="12"/>
        <v>0.18975318788269815</v>
      </c>
      <c r="D110" s="599">
        <f t="shared" si="12"/>
        <v>0.18859897902131462</v>
      </c>
      <c r="E110" s="599">
        <f t="shared" si="13"/>
        <v>-1.1542088613835377E-3</v>
      </c>
    </row>
    <row r="111" spans="1:5" s="421" customFormat="1" x14ac:dyDescent="0.2">
      <c r="A111" s="588">
        <v>3</v>
      </c>
      <c r="B111" s="587" t="s">
        <v>777</v>
      </c>
      <c r="C111" s="599">
        <f t="shared" si="12"/>
        <v>3.6185276218817834E-2</v>
      </c>
      <c r="D111" s="599">
        <f t="shared" si="12"/>
        <v>3.367528934449722E-2</v>
      </c>
      <c r="E111" s="599">
        <f t="shared" si="13"/>
        <v>-2.5099868743206147E-3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3.5731755342497215E-2</v>
      </c>
      <c r="D112" s="599">
        <f t="shared" si="12"/>
        <v>3.2791505902986448E-2</v>
      </c>
      <c r="E112" s="599">
        <f t="shared" si="13"/>
        <v>-2.940249439510767E-3</v>
      </c>
    </row>
    <row r="113" spans="1:5" s="421" customFormat="1" x14ac:dyDescent="0.2">
      <c r="A113" s="588">
        <v>5</v>
      </c>
      <c r="B113" s="587" t="s">
        <v>743</v>
      </c>
      <c r="C113" s="599">
        <f t="shared" si="12"/>
        <v>4.5352087632062225E-4</v>
      </c>
      <c r="D113" s="599">
        <f t="shared" si="12"/>
        <v>8.8378344151076758E-4</v>
      </c>
      <c r="E113" s="599">
        <f t="shared" si="13"/>
        <v>4.3026256519014533E-4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3.1325943159000731E-4</v>
      </c>
      <c r="D114" s="599">
        <f t="shared" si="12"/>
        <v>3.561186965007671E-4</v>
      </c>
      <c r="E114" s="599">
        <f t="shared" si="13"/>
        <v>4.2859264910759796E-5</v>
      </c>
    </row>
    <row r="115" spans="1:5" s="421" customFormat="1" x14ac:dyDescent="0.2">
      <c r="A115" s="588">
        <v>7</v>
      </c>
      <c r="B115" s="587" t="s">
        <v>758</v>
      </c>
      <c r="C115" s="599">
        <f t="shared" si="12"/>
        <v>2.6496627960698391E-3</v>
      </c>
      <c r="D115" s="599">
        <f t="shared" si="12"/>
        <v>2.8078269570782004E-3</v>
      </c>
      <c r="E115" s="599">
        <f t="shared" si="13"/>
        <v>1.5816416100836129E-4</v>
      </c>
    </row>
    <row r="116" spans="1:5" s="421" customFormat="1" x14ac:dyDescent="0.2">
      <c r="A116" s="588"/>
      <c r="B116" s="592" t="s">
        <v>796</v>
      </c>
      <c r="C116" s="600">
        <f>SUM(C110+C111+C114)</f>
        <v>0.22625172353310599</v>
      </c>
      <c r="D116" s="600">
        <f>SUM(D110+D111+D114)</f>
        <v>0.22263038706231258</v>
      </c>
      <c r="E116" s="601">
        <f t="shared" si="13"/>
        <v>-3.621336470793407E-3</v>
      </c>
    </row>
    <row r="117" spans="1:5" s="421" customFormat="1" x14ac:dyDescent="0.2">
      <c r="A117" s="588"/>
      <c r="B117" s="592" t="s">
        <v>797</v>
      </c>
      <c r="C117" s="600">
        <f>SUM(C109+C116)</f>
        <v>0.43930485990321388</v>
      </c>
      <c r="D117" s="600">
        <f>SUM(D109+D116)</f>
        <v>0.42853325592011277</v>
      </c>
      <c r="E117" s="601">
        <f t="shared" si="13"/>
        <v>-1.0771603983101119E-2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803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656</v>
      </c>
      <c r="C121" s="599">
        <f t="shared" ref="C121:D127" si="14">IF(C$77=0,0,C58/C$77)</f>
        <v>0.3790641929109837</v>
      </c>
      <c r="D121" s="599">
        <f t="shared" si="14"/>
        <v>0.38330899009421571</v>
      </c>
      <c r="E121" s="599">
        <f t="shared" ref="E121:E129" si="15">D121-C121</f>
        <v>4.2447971832320075E-3</v>
      </c>
    </row>
    <row r="122" spans="1:5" s="421" customFormat="1" x14ac:dyDescent="0.2">
      <c r="A122" s="588">
        <v>2</v>
      </c>
      <c r="B122" s="587" t="s">
        <v>635</v>
      </c>
      <c r="C122" s="599">
        <f t="shared" si="14"/>
        <v>0.1466500780227821</v>
      </c>
      <c r="D122" s="599">
        <f t="shared" si="14"/>
        <v>0.15187961711632586</v>
      </c>
      <c r="E122" s="599">
        <f t="shared" si="15"/>
        <v>5.2295390935437613E-3</v>
      </c>
    </row>
    <row r="123" spans="1:5" s="421" customFormat="1" x14ac:dyDescent="0.2">
      <c r="A123" s="588">
        <v>3</v>
      </c>
      <c r="B123" s="587" t="s">
        <v>777</v>
      </c>
      <c r="C123" s="599">
        <f t="shared" si="14"/>
        <v>3.4572453938453047E-2</v>
      </c>
      <c r="D123" s="599">
        <f t="shared" si="14"/>
        <v>3.5895290514014515E-2</v>
      </c>
      <c r="E123" s="599">
        <f t="shared" si="15"/>
        <v>1.3228365755614674E-3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3.3989554225805955E-2</v>
      </c>
      <c r="D124" s="599">
        <f t="shared" si="14"/>
        <v>3.5394345653081381E-2</v>
      </c>
      <c r="E124" s="599">
        <f t="shared" si="15"/>
        <v>1.4047914272754258E-3</v>
      </c>
    </row>
    <row r="125" spans="1:5" s="421" customFormat="1" x14ac:dyDescent="0.2">
      <c r="A125" s="588">
        <v>5</v>
      </c>
      <c r="B125" s="587" t="s">
        <v>743</v>
      </c>
      <c r="C125" s="599">
        <f t="shared" si="14"/>
        <v>5.8289971264709087E-4</v>
      </c>
      <c r="D125" s="599">
        <f t="shared" si="14"/>
        <v>5.0094486093313004E-4</v>
      </c>
      <c r="E125" s="599">
        <f t="shared" si="15"/>
        <v>-8.1954851713960828E-5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4.0841522456727713E-4</v>
      </c>
      <c r="D126" s="599">
        <f t="shared" si="14"/>
        <v>3.8284635533113339E-4</v>
      </c>
      <c r="E126" s="599">
        <f t="shared" si="15"/>
        <v>-2.556886923614374E-5</v>
      </c>
    </row>
    <row r="127" spans="1:5" s="421" customFormat="1" x14ac:dyDescent="0.2">
      <c r="A127" s="588">
        <v>7</v>
      </c>
      <c r="B127" s="587" t="s">
        <v>758</v>
      </c>
      <c r="C127" s="599">
        <f t="shared" si="14"/>
        <v>1.2603052189977475E-2</v>
      </c>
      <c r="D127" s="599">
        <f t="shared" si="14"/>
        <v>1.4795031306648493E-2</v>
      </c>
      <c r="E127" s="599">
        <f t="shared" si="15"/>
        <v>2.1919791166710185E-3</v>
      </c>
    </row>
    <row r="128" spans="1:5" s="421" customFormat="1" x14ac:dyDescent="0.2">
      <c r="A128" s="588"/>
      <c r="B128" s="592" t="s">
        <v>799</v>
      </c>
      <c r="C128" s="600">
        <f>SUM(C122+C123+C126)</f>
        <v>0.18163094718580242</v>
      </c>
      <c r="D128" s="600">
        <f>SUM(D122+D123+D126)</f>
        <v>0.18815775398567153</v>
      </c>
      <c r="E128" s="601">
        <f t="shared" si="15"/>
        <v>6.5268067998691115E-3</v>
      </c>
    </row>
    <row r="129" spans="1:5" s="421" customFormat="1" x14ac:dyDescent="0.2">
      <c r="A129" s="588"/>
      <c r="B129" s="592" t="s">
        <v>800</v>
      </c>
      <c r="C129" s="600">
        <f>SUM(C121+C128)</f>
        <v>0.56069514009678612</v>
      </c>
      <c r="D129" s="600">
        <f>SUM(D121+D128)</f>
        <v>0.57146674407988729</v>
      </c>
      <c r="E129" s="601">
        <f t="shared" si="15"/>
        <v>1.0771603983101175E-2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804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805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806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656</v>
      </c>
      <c r="C137" s="606">
        <v>7521</v>
      </c>
      <c r="D137" s="606">
        <v>6808</v>
      </c>
      <c r="E137" s="607">
        <f t="shared" ref="E137:E145" si="16">D137-C137</f>
        <v>-713</v>
      </c>
    </row>
    <row r="138" spans="1:5" s="421" customFormat="1" x14ac:dyDescent="0.2">
      <c r="A138" s="588">
        <v>2</v>
      </c>
      <c r="B138" s="587" t="s">
        <v>635</v>
      </c>
      <c r="C138" s="606">
        <v>8736</v>
      </c>
      <c r="D138" s="606">
        <v>8369</v>
      </c>
      <c r="E138" s="607">
        <f t="shared" si="16"/>
        <v>-367</v>
      </c>
    </row>
    <row r="139" spans="1:5" s="421" customFormat="1" x14ac:dyDescent="0.2">
      <c r="A139" s="588">
        <v>3</v>
      </c>
      <c r="B139" s="587" t="s">
        <v>777</v>
      </c>
      <c r="C139" s="606">
        <f>C140+C141</f>
        <v>3377</v>
      </c>
      <c r="D139" s="606">
        <f>D140+D141</f>
        <v>3350</v>
      </c>
      <c r="E139" s="607">
        <f t="shared" si="16"/>
        <v>-27</v>
      </c>
    </row>
    <row r="140" spans="1:5" s="421" customFormat="1" x14ac:dyDescent="0.2">
      <c r="A140" s="588">
        <v>4</v>
      </c>
      <c r="B140" s="587" t="s">
        <v>115</v>
      </c>
      <c r="C140" s="606">
        <v>3326</v>
      </c>
      <c r="D140" s="606">
        <v>3321</v>
      </c>
      <c r="E140" s="607">
        <f t="shared" si="16"/>
        <v>-5</v>
      </c>
    </row>
    <row r="141" spans="1:5" s="421" customFormat="1" x14ac:dyDescent="0.2">
      <c r="A141" s="588">
        <v>5</v>
      </c>
      <c r="B141" s="587" t="s">
        <v>743</v>
      </c>
      <c r="C141" s="606">
        <v>51</v>
      </c>
      <c r="D141" s="606">
        <v>29</v>
      </c>
      <c r="E141" s="607">
        <f t="shared" si="16"/>
        <v>-22</v>
      </c>
    </row>
    <row r="142" spans="1:5" s="421" customFormat="1" x14ac:dyDescent="0.2">
      <c r="A142" s="588">
        <v>6</v>
      </c>
      <c r="B142" s="587" t="s">
        <v>424</v>
      </c>
      <c r="C142" s="606">
        <v>34</v>
      </c>
      <c r="D142" s="606">
        <v>35</v>
      </c>
      <c r="E142" s="607">
        <f t="shared" si="16"/>
        <v>1</v>
      </c>
    </row>
    <row r="143" spans="1:5" s="421" customFormat="1" x14ac:dyDescent="0.2">
      <c r="A143" s="588">
        <v>7</v>
      </c>
      <c r="B143" s="587" t="s">
        <v>758</v>
      </c>
      <c r="C143" s="606">
        <v>197</v>
      </c>
      <c r="D143" s="606">
        <v>156</v>
      </c>
      <c r="E143" s="607">
        <f t="shared" si="16"/>
        <v>-41</v>
      </c>
    </row>
    <row r="144" spans="1:5" s="421" customFormat="1" x14ac:dyDescent="0.2">
      <c r="A144" s="588"/>
      <c r="B144" s="592" t="s">
        <v>807</v>
      </c>
      <c r="C144" s="608">
        <f>SUM(C138+C139+C142)</f>
        <v>12147</v>
      </c>
      <c r="D144" s="608">
        <f>SUM(D138+D139+D142)</f>
        <v>11754</v>
      </c>
      <c r="E144" s="609">
        <f t="shared" si="16"/>
        <v>-393</v>
      </c>
    </row>
    <row r="145" spans="1:5" s="421" customFormat="1" x14ac:dyDescent="0.2">
      <c r="A145" s="588"/>
      <c r="B145" s="592" t="s">
        <v>138</v>
      </c>
      <c r="C145" s="608">
        <f>SUM(C137+C144)</f>
        <v>19668</v>
      </c>
      <c r="D145" s="608">
        <f>SUM(D137+D144)</f>
        <v>18562</v>
      </c>
      <c r="E145" s="609">
        <f t="shared" si="16"/>
        <v>-1106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656</v>
      </c>
      <c r="C149" s="610">
        <v>27864</v>
      </c>
      <c r="D149" s="610">
        <v>26571</v>
      </c>
      <c r="E149" s="607">
        <f t="shared" ref="E149:E157" si="17">D149-C149</f>
        <v>-1293</v>
      </c>
    </row>
    <row r="150" spans="1:5" s="421" customFormat="1" x14ac:dyDescent="0.2">
      <c r="A150" s="588">
        <v>2</v>
      </c>
      <c r="B150" s="587" t="s">
        <v>635</v>
      </c>
      <c r="C150" s="610">
        <v>48594</v>
      </c>
      <c r="D150" s="610">
        <v>47995</v>
      </c>
      <c r="E150" s="607">
        <f t="shared" si="17"/>
        <v>-599</v>
      </c>
    </row>
    <row r="151" spans="1:5" s="421" customFormat="1" x14ac:dyDescent="0.2">
      <c r="A151" s="588">
        <v>3</v>
      </c>
      <c r="B151" s="587" t="s">
        <v>777</v>
      </c>
      <c r="C151" s="610">
        <f>C152+C153</f>
        <v>15450</v>
      </c>
      <c r="D151" s="610">
        <f>D152+D153</f>
        <v>16338</v>
      </c>
      <c r="E151" s="607">
        <f t="shared" si="17"/>
        <v>888</v>
      </c>
    </row>
    <row r="152" spans="1:5" s="421" customFormat="1" x14ac:dyDescent="0.2">
      <c r="A152" s="588">
        <v>4</v>
      </c>
      <c r="B152" s="587" t="s">
        <v>115</v>
      </c>
      <c r="C152" s="610">
        <v>15198</v>
      </c>
      <c r="D152" s="610">
        <v>16180</v>
      </c>
      <c r="E152" s="607">
        <f t="shared" si="17"/>
        <v>982</v>
      </c>
    </row>
    <row r="153" spans="1:5" s="421" customFormat="1" x14ac:dyDescent="0.2">
      <c r="A153" s="588">
        <v>5</v>
      </c>
      <c r="B153" s="587" t="s">
        <v>743</v>
      </c>
      <c r="C153" s="611">
        <v>252</v>
      </c>
      <c r="D153" s="610">
        <v>158</v>
      </c>
      <c r="E153" s="607">
        <f t="shared" si="17"/>
        <v>-94</v>
      </c>
    </row>
    <row r="154" spans="1:5" s="421" customFormat="1" x14ac:dyDescent="0.2">
      <c r="A154" s="588">
        <v>6</v>
      </c>
      <c r="B154" s="587" t="s">
        <v>424</v>
      </c>
      <c r="C154" s="610">
        <v>102</v>
      </c>
      <c r="D154" s="610">
        <v>99</v>
      </c>
      <c r="E154" s="607">
        <f t="shared" si="17"/>
        <v>-3</v>
      </c>
    </row>
    <row r="155" spans="1:5" s="421" customFormat="1" x14ac:dyDescent="0.2">
      <c r="A155" s="588">
        <v>7</v>
      </c>
      <c r="B155" s="587" t="s">
        <v>758</v>
      </c>
      <c r="C155" s="610">
        <v>751</v>
      </c>
      <c r="D155" s="610">
        <v>566</v>
      </c>
      <c r="E155" s="607">
        <f t="shared" si="17"/>
        <v>-185</v>
      </c>
    </row>
    <row r="156" spans="1:5" s="421" customFormat="1" x14ac:dyDescent="0.2">
      <c r="A156" s="588"/>
      <c r="B156" s="592" t="s">
        <v>808</v>
      </c>
      <c r="C156" s="608">
        <f>SUM(C150+C151+C154)</f>
        <v>64146</v>
      </c>
      <c r="D156" s="608">
        <f>SUM(D150+D151+D154)</f>
        <v>64432</v>
      </c>
      <c r="E156" s="609">
        <f t="shared" si="17"/>
        <v>286</v>
      </c>
    </row>
    <row r="157" spans="1:5" s="421" customFormat="1" x14ac:dyDescent="0.2">
      <c r="A157" s="588"/>
      <c r="B157" s="592" t="s">
        <v>140</v>
      </c>
      <c r="C157" s="608">
        <f>SUM(C149+C156)</f>
        <v>92010</v>
      </c>
      <c r="D157" s="608">
        <f>SUM(D149+D156)</f>
        <v>91003</v>
      </c>
      <c r="E157" s="609">
        <f t="shared" si="17"/>
        <v>-1007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809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656</v>
      </c>
      <c r="C161" s="612">
        <f t="shared" ref="C161:D169" si="18">IF(C137=0,0,C149/C137)</f>
        <v>3.7048264858396491</v>
      </c>
      <c r="D161" s="612">
        <f t="shared" si="18"/>
        <v>3.9029083431257345</v>
      </c>
      <c r="E161" s="613">
        <f t="shared" ref="E161:E169" si="19">D161-C161</f>
        <v>0.19808185728608541</v>
      </c>
    </row>
    <row r="162" spans="1:5" s="421" customFormat="1" x14ac:dyDescent="0.2">
      <c r="A162" s="588">
        <v>2</v>
      </c>
      <c r="B162" s="587" t="s">
        <v>635</v>
      </c>
      <c r="C162" s="612">
        <f t="shared" si="18"/>
        <v>5.5625</v>
      </c>
      <c r="D162" s="612">
        <f t="shared" si="18"/>
        <v>5.7348548213645598</v>
      </c>
      <c r="E162" s="613">
        <f t="shared" si="19"/>
        <v>0.17235482136455982</v>
      </c>
    </row>
    <row r="163" spans="1:5" s="421" customFormat="1" x14ac:dyDescent="0.2">
      <c r="A163" s="588">
        <v>3</v>
      </c>
      <c r="B163" s="587" t="s">
        <v>777</v>
      </c>
      <c r="C163" s="612">
        <f t="shared" si="18"/>
        <v>4.5750666271838911</v>
      </c>
      <c r="D163" s="612">
        <f t="shared" si="18"/>
        <v>4.8770149253731345</v>
      </c>
      <c r="E163" s="613">
        <f t="shared" si="19"/>
        <v>0.3019482981892434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4.5694527961515332</v>
      </c>
      <c r="D164" s="612">
        <f t="shared" si="18"/>
        <v>4.8720264980427581</v>
      </c>
      <c r="E164" s="613">
        <f t="shared" si="19"/>
        <v>0.3025737018912249</v>
      </c>
    </row>
    <row r="165" spans="1:5" s="421" customFormat="1" x14ac:dyDescent="0.2">
      <c r="A165" s="588">
        <v>5</v>
      </c>
      <c r="B165" s="587" t="s">
        <v>743</v>
      </c>
      <c r="C165" s="612">
        <f t="shared" si="18"/>
        <v>4.9411764705882355</v>
      </c>
      <c r="D165" s="612">
        <f t="shared" si="18"/>
        <v>5.4482758620689653</v>
      </c>
      <c r="E165" s="613">
        <f t="shared" si="19"/>
        <v>0.5070993914807298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</v>
      </c>
      <c r="D166" s="612">
        <f t="shared" si="18"/>
        <v>2.8285714285714287</v>
      </c>
      <c r="E166" s="613">
        <f t="shared" si="19"/>
        <v>-0.17142857142857126</v>
      </c>
    </row>
    <row r="167" spans="1:5" s="421" customFormat="1" x14ac:dyDescent="0.2">
      <c r="A167" s="588">
        <v>7</v>
      </c>
      <c r="B167" s="587" t="s">
        <v>758</v>
      </c>
      <c r="C167" s="612">
        <f t="shared" si="18"/>
        <v>3.8121827411167515</v>
      </c>
      <c r="D167" s="612">
        <f t="shared" si="18"/>
        <v>3.6282051282051282</v>
      </c>
      <c r="E167" s="613">
        <f t="shared" si="19"/>
        <v>-0.18397761291162329</v>
      </c>
    </row>
    <row r="168" spans="1:5" s="421" customFormat="1" x14ac:dyDescent="0.2">
      <c r="A168" s="588"/>
      <c r="B168" s="592" t="s">
        <v>810</v>
      </c>
      <c r="C168" s="614">
        <f t="shared" si="18"/>
        <v>5.2808100765621138</v>
      </c>
      <c r="D168" s="614">
        <f t="shared" si="18"/>
        <v>5.4817083546026888</v>
      </c>
      <c r="E168" s="615">
        <f t="shared" si="19"/>
        <v>0.20089827804057503</v>
      </c>
    </row>
    <row r="169" spans="1:5" s="421" customFormat="1" x14ac:dyDescent="0.2">
      <c r="A169" s="588"/>
      <c r="B169" s="592" t="s">
        <v>744</v>
      </c>
      <c r="C169" s="614">
        <f t="shared" si="18"/>
        <v>4.6781574130567423</v>
      </c>
      <c r="D169" s="614">
        <f t="shared" si="18"/>
        <v>4.9026505764465034</v>
      </c>
      <c r="E169" s="615">
        <f t="shared" si="19"/>
        <v>0.22449316338976111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811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656</v>
      </c>
      <c r="C173" s="617">
        <f t="shared" ref="C173:D181" si="20">IF(C137=0,0,C203/C137)</f>
        <v>1.2112000000000001</v>
      </c>
      <c r="D173" s="617">
        <f t="shared" si="20"/>
        <v>1.2166999999999999</v>
      </c>
      <c r="E173" s="618">
        <f t="shared" ref="E173:E181" si="21">D173-C173</f>
        <v>5.4999999999998384E-3</v>
      </c>
    </row>
    <row r="174" spans="1:5" s="421" customFormat="1" x14ac:dyDescent="0.2">
      <c r="A174" s="588">
        <v>2</v>
      </c>
      <c r="B174" s="587" t="s">
        <v>635</v>
      </c>
      <c r="C174" s="617">
        <f t="shared" si="20"/>
        <v>1.3210999999999999</v>
      </c>
      <c r="D174" s="617">
        <f t="shared" si="20"/>
        <v>1.5411600000000001</v>
      </c>
      <c r="E174" s="618">
        <f t="shared" si="21"/>
        <v>0.22006000000000014</v>
      </c>
    </row>
    <row r="175" spans="1:5" s="421" customFormat="1" x14ac:dyDescent="0.2">
      <c r="A175" s="588">
        <v>3</v>
      </c>
      <c r="B175" s="587" t="s">
        <v>777</v>
      </c>
      <c r="C175" s="617">
        <f t="shared" si="20"/>
        <v>0.98915398282499256</v>
      </c>
      <c r="D175" s="617">
        <f t="shared" si="20"/>
        <v>1.0354785671641791</v>
      </c>
      <c r="E175" s="618">
        <f t="shared" si="21"/>
        <v>4.6324584339186514E-2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0.99129999999999996</v>
      </c>
      <c r="D176" s="617">
        <f t="shared" si="20"/>
        <v>1.034</v>
      </c>
      <c r="E176" s="618">
        <f t="shared" si="21"/>
        <v>4.2700000000000071E-2</v>
      </c>
    </row>
    <row r="177" spans="1:5" s="421" customFormat="1" x14ac:dyDescent="0.2">
      <c r="A177" s="588">
        <v>5</v>
      </c>
      <c r="B177" s="587" t="s">
        <v>743</v>
      </c>
      <c r="C177" s="617">
        <f t="shared" si="20"/>
        <v>0.84919999999999995</v>
      </c>
      <c r="D177" s="617">
        <f t="shared" si="20"/>
        <v>1.2048000000000001</v>
      </c>
      <c r="E177" s="618">
        <f t="shared" si="21"/>
        <v>0.35560000000000014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0.96240000000000003</v>
      </c>
      <c r="D178" s="617">
        <f t="shared" si="20"/>
        <v>0.87509999999999999</v>
      </c>
      <c r="E178" s="618">
        <f t="shared" si="21"/>
        <v>-8.7300000000000044E-2</v>
      </c>
    </row>
    <row r="179" spans="1:5" s="421" customFormat="1" x14ac:dyDescent="0.2">
      <c r="A179" s="588">
        <v>7</v>
      </c>
      <c r="B179" s="587" t="s">
        <v>758</v>
      </c>
      <c r="C179" s="617">
        <f t="shared" si="20"/>
        <v>1.2902</v>
      </c>
      <c r="D179" s="617">
        <f t="shared" si="20"/>
        <v>1.2056</v>
      </c>
      <c r="E179" s="618">
        <f t="shared" si="21"/>
        <v>-8.4600000000000009E-2</v>
      </c>
    </row>
    <row r="180" spans="1:5" s="421" customFormat="1" x14ac:dyDescent="0.2">
      <c r="A180" s="588"/>
      <c r="B180" s="592" t="s">
        <v>812</v>
      </c>
      <c r="C180" s="619">
        <f t="shared" si="20"/>
        <v>1.227811327899893</v>
      </c>
      <c r="D180" s="619">
        <f t="shared" si="20"/>
        <v>1.3950527258805514</v>
      </c>
      <c r="E180" s="620">
        <f t="shared" si="21"/>
        <v>0.1672413979806584</v>
      </c>
    </row>
    <row r="181" spans="1:5" s="421" customFormat="1" x14ac:dyDescent="0.2">
      <c r="A181" s="588"/>
      <c r="B181" s="592" t="s">
        <v>723</v>
      </c>
      <c r="C181" s="619">
        <f t="shared" si="20"/>
        <v>1.2214591925971121</v>
      </c>
      <c r="D181" s="619">
        <f t="shared" si="20"/>
        <v>1.3296381499838379</v>
      </c>
      <c r="E181" s="620">
        <f t="shared" si="21"/>
        <v>0.10817895738672578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813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814</v>
      </c>
      <c r="C185" s="589">
        <v>457174326</v>
      </c>
      <c r="D185" s="589">
        <v>467423606</v>
      </c>
      <c r="E185" s="590">
        <f>D185-C185</f>
        <v>10249280</v>
      </c>
    </row>
    <row r="186" spans="1:5" s="421" customFormat="1" ht="25.5" x14ac:dyDescent="0.2">
      <c r="A186" s="588">
        <v>2</v>
      </c>
      <c r="B186" s="587" t="s">
        <v>815</v>
      </c>
      <c r="C186" s="589">
        <v>285461328</v>
      </c>
      <c r="D186" s="589">
        <v>286971340</v>
      </c>
      <c r="E186" s="590">
        <f>D186-C186</f>
        <v>1510012</v>
      </c>
    </row>
    <row r="187" spans="1:5" s="421" customFormat="1" x14ac:dyDescent="0.2">
      <c r="A187" s="588"/>
      <c r="B187" s="587" t="s">
        <v>668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747</v>
      </c>
      <c r="C188" s="622">
        <f>+C185-C186</f>
        <v>171712998</v>
      </c>
      <c r="D188" s="622">
        <f>+D185-D186</f>
        <v>180452266</v>
      </c>
      <c r="E188" s="590">
        <f t="shared" ref="E188:E197" si="22">D188-C188</f>
        <v>8739268</v>
      </c>
    </row>
    <row r="189" spans="1:5" s="421" customFormat="1" x14ac:dyDescent="0.2">
      <c r="A189" s="588">
        <v>4</v>
      </c>
      <c r="B189" s="587" t="s">
        <v>670</v>
      </c>
      <c r="C189" s="623">
        <f>IF(C185=0,0,+C188/C185)</f>
        <v>0.37559632777803886</v>
      </c>
      <c r="D189" s="623">
        <f>IF(D185=0,0,+D188/D185)</f>
        <v>0.38605723734029812</v>
      </c>
      <c r="E189" s="599">
        <f t="shared" si="22"/>
        <v>1.0460909562259257E-2</v>
      </c>
    </row>
    <row r="190" spans="1:5" s="421" customFormat="1" x14ac:dyDescent="0.2">
      <c r="A190" s="588">
        <v>5</v>
      </c>
      <c r="B190" s="587" t="s">
        <v>762</v>
      </c>
      <c r="C190" s="589">
        <v>27997903</v>
      </c>
      <c r="D190" s="589">
        <v>29497532</v>
      </c>
      <c r="E190" s="622">
        <f t="shared" si="22"/>
        <v>1499629</v>
      </c>
    </row>
    <row r="191" spans="1:5" s="421" customFormat="1" x14ac:dyDescent="0.2">
      <c r="A191" s="588">
        <v>6</v>
      </c>
      <c r="B191" s="587" t="s">
        <v>748</v>
      </c>
      <c r="C191" s="589">
        <v>16741033</v>
      </c>
      <c r="D191" s="589">
        <v>18212101</v>
      </c>
      <c r="E191" s="622">
        <f t="shared" si="22"/>
        <v>1471068</v>
      </c>
    </row>
    <row r="192" spans="1:5" ht="29.25" x14ac:dyDescent="0.2">
      <c r="A192" s="588">
        <v>7</v>
      </c>
      <c r="B192" s="624" t="s">
        <v>816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817</v>
      </c>
      <c r="C193" s="589">
        <v>13969782</v>
      </c>
      <c r="D193" s="589">
        <v>12948351</v>
      </c>
      <c r="E193" s="622">
        <f t="shared" si="22"/>
        <v>-1021431</v>
      </c>
    </row>
    <row r="194" spans="1:5" s="421" customFormat="1" x14ac:dyDescent="0.2">
      <c r="A194" s="588">
        <v>9</v>
      </c>
      <c r="B194" s="587" t="s">
        <v>818</v>
      </c>
      <c r="C194" s="589">
        <v>19413218</v>
      </c>
      <c r="D194" s="589">
        <v>17114070</v>
      </c>
      <c r="E194" s="622">
        <f t="shared" si="22"/>
        <v>-2299148</v>
      </c>
    </row>
    <row r="195" spans="1:5" s="421" customFormat="1" x14ac:dyDescent="0.2">
      <c r="A195" s="588">
        <v>10</v>
      </c>
      <c r="B195" s="587" t="s">
        <v>819</v>
      </c>
      <c r="C195" s="589">
        <f>+C193+C194</f>
        <v>33383000</v>
      </c>
      <c r="D195" s="589">
        <f>+D193+D194</f>
        <v>30062421</v>
      </c>
      <c r="E195" s="625">
        <f t="shared" si="22"/>
        <v>-3320579</v>
      </c>
    </row>
    <row r="196" spans="1:5" s="421" customFormat="1" x14ac:dyDescent="0.2">
      <c r="A196" s="588">
        <v>11</v>
      </c>
      <c r="B196" s="587" t="s">
        <v>820</v>
      </c>
      <c r="C196" s="589">
        <v>19598257</v>
      </c>
      <c r="D196" s="589">
        <v>15260805</v>
      </c>
      <c r="E196" s="622">
        <f t="shared" si="22"/>
        <v>-4337452</v>
      </c>
    </row>
    <row r="197" spans="1:5" s="421" customFormat="1" x14ac:dyDescent="0.2">
      <c r="A197" s="588">
        <v>12</v>
      </c>
      <c r="B197" s="587" t="s">
        <v>710</v>
      </c>
      <c r="C197" s="589">
        <v>514797196</v>
      </c>
      <c r="D197" s="589">
        <v>486568594</v>
      </c>
      <c r="E197" s="622">
        <f t="shared" si="22"/>
        <v>-28228602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821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822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656</v>
      </c>
      <c r="C203" s="629">
        <v>9109.4351999999999</v>
      </c>
      <c r="D203" s="629">
        <v>8283.2935999999991</v>
      </c>
      <c r="E203" s="630">
        <f t="shared" ref="E203:E211" si="23">D203-C203</f>
        <v>-826.14160000000084</v>
      </c>
    </row>
    <row r="204" spans="1:5" s="421" customFormat="1" x14ac:dyDescent="0.2">
      <c r="A204" s="588">
        <v>2</v>
      </c>
      <c r="B204" s="587" t="s">
        <v>635</v>
      </c>
      <c r="C204" s="629">
        <v>11541.1296</v>
      </c>
      <c r="D204" s="629">
        <v>12897.968040000002</v>
      </c>
      <c r="E204" s="630">
        <f t="shared" si="23"/>
        <v>1356.8384400000014</v>
      </c>
    </row>
    <row r="205" spans="1:5" s="421" customFormat="1" x14ac:dyDescent="0.2">
      <c r="A205" s="588">
        <v>3</v>
      </c>
      <c r="B205" s="587" t="s">
        <v>777</v>
      </c>
      <c r="C205" s="629">
        <f>C206+C207</f>
        <v>3340.373</v>
      </c>
      <c r="D205" s="629">
        <f>D206+D207</f>
        <v>3468.8532</v>
      </c>
      <c r="E205" s="630">
        <f t="shared" si="23"/>
        <v>128.48019999999997</v>
      </c>
    </row>
    <row r="206" spans="1:5" s="421" customFormat="1" x14ac:dyDescent="0.2">
      <c r="A206" s="588">
        <v>4</v>
      </c>
      <c r="B206" s="587" t="s">
        <v>115</v>
      </c>
      <c r="C206" s="629">
        <v>3297.0637999999999</v>
      </c>
      <c r="D206" s="629">
        <v>3433.9140000000002</v>
      </c>
      <c r="E206" s="630">
        <f t="shared" si="23"/>
        <v>136.85020000000031</v>
      </c>
    </row>
    <row r="207" spans="1:5" s="421" customFormat="1" x14ac:dyDescent="0.2">
      <c r="A207" s="588">
        <v>5</v>
      </c>
      <c r="B207" s="587" t="s">
        <v>743</v>
      </c>
      <c r="C207" s="629">
        <v>43.309199999999997</v>
      </c>
      <c r="D207" s="629">
        <v>34.9392</v>
      </c>
      <c r="E207" s="630">
        <f t="shared" si="23"/>
        <v>-8.3699999999999974</v>
      </c>
    </row>
    <row r="208" spans="1:5" s="421" customFormat="1" x14ac:dyDescent="0.2">
      <c r="A208" s="588">
        <v>6</v>
      </c>
      <c r="B208" s="587" t="s">
        <v>424</v>
      </c>
      <c r="C208" s="629">
        <v>32.721600000000002</v>
      </c>
      <c r="D208" s="629">
        <v>30.628499999999999</v>
      </c>
      <c r="E208" s="630">
        <f t="shared" si="23"/>
        <v>-2.0931000000000033</v>
      </c>
    </row>
    <row r="209" spans="1:5" s="421" customFormat="1" x14ac:dyDescent="0.2">
      <c r="A209" s="588">
        <v>7</v>
      </c>
      <c r="B209" s="587" t="s">
        <v>758</v>
      </c>
      <c r="C209" s="629">
        <v>254.1694</v>
      </c>
      <c r="D209" s="629">
        <v>188.0736</v>
      </c>
      <c r="E209" s="630">
        <f t="shared" si="23"/>
        <v>-66.095799999999997</v>
      </c>
    </row>
    <row r="210" spans="1:5" s="421" customFormat="1" x14ac:dyDescent="0.2">
      <c r="A210" s="588"/>
      <c r="B210" s="592" t="s">
        <v>823</v>
      </c>
      <c r="C210" s="631">
        <f>C204+C205+C208</f>
        <v>14914.224200000001</v>
      </c>
      <c r="D210" s="631">
        <f>D204+D205+D208</f>
        <v>16397.44974</v>
      </c>
      <c r="E210" s="632">
        <f t="shared" si="23"/>
        <v>1483.2255399999995</v>
      </c>
    </row>
    <row r="211" spans="1:5" s="421" customFormat="1" x14ac:dyDescent="0.2">
      <c r="A211" s="588"/>
      <c r="B211" s="592" t="s">
        <v>724</v>
      </c>
      <c r="C211" s="631">
        <f>C210+C203</f>
        <v>24023.6594</v>
      </c>
      <c r="D211" s="631">
        <f>D210+D203</f>
        <v>24680.743340000001</v>
      </c>
      <c r="E211" s="632">
        <f t="shared" si="23"/>
        <v>657.08394000000044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824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656</v>
      </c>
      <c r="C215" s="633">
        <f>IF(C14*C137=0,0,C25/C14*C137)</f>
        <v>13883.734730402773</v>
      </c>
      <c r="D215" s="633">
        <f>IF(D14*D137=0,0,D25/D14*D137)</f>
        <v>13083.414559891682</v>
      </c>
      <c r="E215" s="633">
        <f t="shared" ref="E215:E223" si="24">D215-C215</f>
        <v>-800.32017051109142</v>
      </c>
    </row>
    <row r="216" spans="1:5" s="421" customFormat="1" x14ac:dyDescent="0.2">
      <c r="A216" s="588">
        <v>2</v>
      </c>
      <c r="B216" s="587" t="s">
        <v>635</v>
      </c>
      <c r="C216" s="633">
        <f>IF(C15*C138=0,0,C26/C15*C138)</f>
        <v>6755.8803931129542</v>
      </c>
      <c r="D216" s="633">
        <f>IF(D15*D138=0,0,D26/D15*D138)</f>
        <v>6746.6396375814356</v>
      </c>
      <c r="E216" s="633">
        <f t="shared" si="24"/>
        <v>-9.2407555315185164</v>
      </c>
    </row>
    <row r="217" spans="1:5" s="421" customFormat="1" x14ac:dyDescent="0.2">
      <c r="A217" s="588">
        <v>3</v>
      </c>
      <c r="B217" s="587" t="s">
        <v>777</v>
      </c>
      <c r="C217" s="633">
        <f>C218+C219</f>
        <v>3324.273762354363</v>
      </c>
      <c r="D217" s="633">
        <f>D218+D219</f>
        <v>3601.0435291821977</v>
      </c>
      <c r="E217" s="633">
        <f t="shared" si="24"/>
        <v>276.7697668278347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3252.522761573754</v>
      </c>
      <c r="D218" s="633">
        <f t="shared" si="25"/>
        <v>3584.6057751987405</v>
      </c>
      <c r="E218" s="633">
        <f t="shared" si="24"/>
        <v>332.08301362498651</v>
      </c>
    </row>
    <row r="219" spans="1:5" s="421" customFormat="1" x14ac:dyDescent="0.2">
      <c r="A219" s="588">
        <v>5</v>
      </c>
      <c r="B219" s="587" t="s">
        <v>743</v>
      </c>
      <c r="C219" s="633">
        <f t="shared" si="25"/>
        <v>71.751000780608877</v>
      </c>
      <c r="D219" s="633">
        <f t="shared" si="25"/>
        <v>16.437753983457164</v>
      </c>
      <c r="E219" s="633">
        <f t="shared" si="24"/>
        <v>-55.313246797151713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67.93117422825307</v>
      </c>
      <c r="D220" s="633">
        <f t="shared" si="25"/>
        <v>55.8383877659194</v>
      </c>
      <c r="E220" s="633">
        <f t="shared" si="24"/>
        <v>-12.09278646233367</v>
      </c>
    </row>
    <row r="221" spans="1:5" s="421" customFormat="1" x14ac:dyDescent="0.2">
      <c r="A221" s="588">
        <v>7</v>
      </c>
      <c r="B221" s="587" t="s">
        <v>758</v>
      </c>
      <c r="C221" s="633">
        <f t="shared" si="25"/>
        <v>937.02523070128564</v>
      </c>
      <c r="D221" s="633">
        <f t="shared" si="25"/>
        <v>821.99673039996355</v>
      </c>
      <c r="E221" s="633">
        <f t="shared" si="24"/>
        <v>-115.02850030132208</v>
      </c>
    </row>
    <row r="222" spans="1:5" s="421" customFormat="1" x14ac:dyDescent="0.2">
      <c r="A222" s="588"/>
      <c r="B222" s="592" t="s">
        <v>825</v>
      </c>
      <c r="C222" s="634">
        <f>C216+C218+C219+C220</f>
        <v>10148.08532969557</v>
      </c>
      <c r="D222" s="634">
        <f>D216+D218+D219+D220</f>
        <v>10403.521554529552</v>
      </c>
      <c r="E222" s="634">
        <f t="shared" si="24"/>
        <v>255.43622483398212</v>
      </c>
    </row>
    <row r="223" spans="1:5" s="421" customFormat="1" x14ac:dyDescent="0.2">
      <c r="A223" s="588"/>
      <c r="B223" s="592" t="s">
        <v>826</v>
      </c>
      <c r="C223" s="634">
        <f>C215+C222</f>
        <v>24031.820060098344</v>
      </c>
      <c r="D223" s="634">
        <f>D215+D222</f>
        <v>23486.936114421234</v>
      </c>
      <c r="E223" s="634">
        <f t="shared" si="24"/>
        <v>-544.8839456771093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827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656</v>
      </c>
      <c r="C227" s="636">
        <f t="shared" ref="C227:D235" si="26">IF(C203=0,0,C47/C203)</f>
        <v>11863.219247665322</v>
      </c>
      <c r="D227" s="636">
        <f t="shared" si="26"/>
        <v>12788.885691556317</v>
      </c>
      <c r="E227" s="636">
        <f t="shared" ref="E227:E235" si="27">D227-C227</f>
        <v>925.66644389099565</v>
      </c>
    </row>
    <row r="228" spans="1:5" s="421" customFormat="1" x14ac:dyDescent="0.2">
      <c r="A228" s="588">
        <v>2</v>
      </c>
      <c r="B228" s="587" t="s">
        <v>635</v>
      </c>
      <c r="C228" s="636">
        <f t="shared" si="26"/>
        <v>8339.6310704283223</v>
      </c>
      <c r="D228" s="636">
        <f t="shared" si="26"/>
        <v>7523.0059261334618</v>
      </c>
      <c r="E228" s="636">
        <f t="shared" si="27"/>
        <v>-816.62514429486055</v>
      </c>
    </row>
    <row r="229" spans="1:5" s="421" customFormat="1" x14ac:dyDescent="0.2">
      <c r="A229" s="588">
        <v>3</v>
      </c>
      <c r="B229" s="587" t="s">
        <v>777</v>
      </c>
      <c r="C229" s="636">
        <f t="shared" si="26"/>
        <v>5494.6875693223483</v>
      </c>
      <c r="D229" s="636">
        <f t="shared" si="26"/>
        <v>4994.5777469049426</v>
      </c>
      <c r="E229" s="636">
        <f t="shared" si="27"/>
        <v>-500.10982241740567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5497.0928982326641</v>
      </c>
      <c r="D230" s="636">
        <f t="shared" si="26"/>
        <v>4912.9835517138745</v>
      </c>
      <c r="E230" s="636">
        <f t="shared" si="27"/>
        <v>-584.10934651878961</v>
      </c>
    </row>
    <row r="231" spans="1:5" s="421" customFormat="1" x14ac:dyDescent="0.2">
      <c r="A231" s="588">
        <v>5</v>
      </c>
      <c r="B231" s="587" t="s">
        <v>743</v>
      </c>
      <c r="C231" s="636">
        <f t="shared" si="26"/>
        <v>5311.5735224848304</v>
      </c>
      <c r="D231" s="636">
        <f t="shared" si="26"/>
        <v>13013.864083894308</v>
      </c>
      <c r="E231" s="636">
        <f t="shared" si="27"/>
        <v>7702.290561409478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4855.9667008948218</v>
      </c>
      <c r="D232" s="636">
        <f t="shared" si="26"/>
        <v>5981.9449205805049</v>
      </c>
      <c r="E232" s="636">
        <f t="shared" si="27"/>
        <v>1125.9782196856831</v>
      </c>
    </row>
    <row r="233" spans="1:5" s="421" customFormat="1" x14ac:dyDescent="0.2">
      <c r="A233" s="588">
        <v>7</v>
      </c>
      <c r="B233" s="587" t="s">
        <v>758</v>
      </c>
      <c r="C233" s="636">
        <f t="shared" si="26"/>
        <v>5287.7805117374473</v>
      </c>
      <c r="D233" s="636">
        <f t="shared" si="26"/>
        <v>7680.9663876269715</v>
      </c>
      <c r="E233" s="636">
        <f t="shared" si="27"/>
        <v>2393.1858758895241</v>
      </c>
    </row>
    <row r="234" spans="1:5" x14ac:dyDescent="0.2">
      <c r="A234" s="588"/>
      <c r="B234" s="592" t="s">
        <v>828</v>
      </c>
      <c r="C234" s="637">
        <f t="shared" si="26"/>
        <v>7694.79943851186</v>
      </c>
      <c r="D234" s="637">
        <f t="shared" si="26"/>
        <v>6985.2426332242567</v>
      </c>
      <c r="E234" s="637">
        <f t="shared" si="27"/>
        <v>-709.55680528760331</v>
      </c>
    </row>
    <row r="235" spans="1:5" s="421" customFormat="1" x14ac:dyDescent="0.2">
      <c r="A235" s="588"/>
      <c r="B235" s="592" t="s">
        <v>829</v>
      </c>
      <c r="C235" s="637">
        <f t="shared" si="26"/>
        <v>9275.4058526154422</v>
      </c>
      <c r="D235" s="637">
        <f t="shared" si="26"/>
        <v>8933.0478001721312</v>
      </c>
      <c r="E235" s="637">
        <f t="shared" si="27"/>
        <v>-342.35805244331095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830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656</v>
      </c>
      <c r="C239" s="636">
        <f t="shared" ref="C239:D247" si="28">IF(C215=0,0,C58/C215)</f>
        <v>13848.812350106178</v>
      </c>
      <c r="D239" s="636">
        <f t="shared" si="28"/>
        <v>15073.054369503421</v>
      </c>
      <c r="E239" s="638">
        <f t="shared" ref="E239:E247" si="29">D239-C239</f>
        <v>1224.242019397243</v>
      </c>
    </row>
    <row r="240" spans="1:5" s="421" customFormat="1" x14ac:dyDescent="0.2">
      <c r="A240" s="588">
        <v>2</v>
      </c>
      <c r="B240" s="587" t="s">
        <v>635</v>
      </c>
      <c r="C240" s="636">
        <f t="shared" si="28"/>
        <v>11010.484299844875</v>
      </c>
      <c r="D240" s="636">
        <f t="shared" si="28"/>
        <v>11582.047537374017</v>
      </c>
      <c r="E240" s="638">
        <f t="shared" si="29"/>
        <v>571.5632375291425</v>
      </c>
    </row>
    <row r="241" spans="1:5" x14ac:dyDescent="0.2">
      <c r="A241" s="588">
        <v>3</v>
      </c>
      <c r="B241" s="587" t="s">
        <v>777</v>
      </c>
      <c r="C241" s="636">
        <f t="shared" si="28"/>
        <v>5275.2069334928201</v>
      </c>
      <c r="D241" s="636">
        <f t="shared" si="28"/>
        <v>5128.4067660781711</v>
      </c>
      <c r="E241" s="638">
        <f t="shared" si="29"/>
        <v>-146.80016741464897</v>
      </c>
    </row>
    <row r="242" spans="1:5" x14ac:dyDescent="0.2">
      <c r="A242" s="588">
        <v>4</v>
      </c>
      <c r="B242" s="587" t="s">
        <v>115</v>
      </c>
      <c r="C242" s="636">
        <f t="shared" si="28"/>
        <v>5300.6752800272616</v>
      </c>
      <c r="D242" s="636">
        <f t="shared" si="28"/>
        <v>5080.0250130686663</v>
      </c>
      <c r="E242" s="638">
        <f t="shared" si="29"/>
        <v>-220.65026695859524</v>
      </c>
    </row>
    <row r="243" spans="1:5" x14ac:dyDescent="0.2">
      <c r="A243" s="588">
        <v>5</v>
      </c>
      <c r="B243" s="587" t="s">
        <v>743</v>
      </c>
      <c r="C243" s="636">
        <f t="shared" si="28"/>
        <v>4120.7090742057662</v>
      </c>
      <c r="D243" s="636">
        <f t="shared" si="28"/>
        <v>15679.088533590209</v>
      </c>
      <c r="E243" s="638">
        <f t="shared" si="29"/>
        <v>11558.379459384443</v>
      </c>
    </row>
    <row r="244" spans="1:5" x14ac:dyDescent="0.2">
      <c r="A244" s="588">
        <v>6</v>
      </c>
      <c r="B244" s="587" t="s">
        <v>424</v>
      </c>
      <c r="C244" s="636">
        <f t="shared" si="28"/>
        <v>3049.5718991096173</v>
      </c>
      <c r="D244" s="636">
        <f t="shared" si="28"/>
        <v>3527.4836520301319</v>
      </c>
      <c r="E244" s="638">
        <f t="shared" si="29"/>
        <v>477.91175292051457</v>
      </c>
    </row>
    <row r="245" spans="1:5" x14ac:dyDescent="0.2">
      <c r="A245" s="588">
        <v>7</v>
      </c>
      <c r="B245" s="587" t="s">
        <v>758</v>
      </c>
      <c r="C245" s="636">
        <f t="shared" si="28"/>
        <v>6822.2954842055024</v>
      </c>
      <c r="D245" s="636">
        <f t="shared" si="28"/>
        <v>9260.1743030002908</v>
      </c>
      <c r="E245" s="638">
        <f t="shared" si="29"/>
        <v>2437.8788187947885</v>
      </c>
    </row>
    <row r="246" spans="1:5" ht="25.5" x14ac:dyDescent="0.2">
      <c r="A246" s="588"/>
      <c r="B246" s="592" t="s">
        <v>831</v>
      </c>
      <c r="C246" s="637">
        <f t="shared" si="28"/>
        <v>9078.4522406813212</v>
      </c>
      <c r="D246" s="637">
        <f t="shared" si="28"/>
        <v>9304.9728875558139</v>
      </c>
      <c r="E246" s="639">
        <f t="shared" si="29"/>
        <v>226.52064687449274</v>
      </c>
    </row>
    <row r="247" spans="1:5" x14ac:dyDescent="0.2">
      <c r="A247" s="588"/>
      <c r="B247" s="592" t="s">
        <v>832</v>
      </c>
      <c r="C247" s="637">
        <f t="shared" si="28"/>
        <v>11834.398904817539</v>
      </c>
      <c r="D247" s="637">
        <f t="shared" si="28"/>
        <v>12518.086802282982</v>
      </c>
      <c r="E247" s="639">
        <f t="shared" si="29"/>
        <v>683.6878974654428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760</v>
      </c>
      <c r="B249" s="626" t="s">
        <v>757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18571283.801195912</v>
      </c>
      <c r="D251" s="622">
        <f>((IF((IF(D15=0,0,D26/D15)*D138)=0,0,D59/(IF(D15=0,0,D26/D15)*D138)))-(IF((IF(D17=0,0,D28/D17)*D140)=0,0,D61/(IF(D17=0,0,D28/D17)*D140))))*(IF(D17=0,0,D28/D17)*D140)</f>
        <v>23307187.491097253</v>
      </c>
      <c r="E251" s="622">
        <f>D251-C251</f>
        <v>4735903.6899013408</v>
      </c>
    </row>
    <row r="252" spans="1:5" x14ac:dyDescent="0.2">
      <c r="A252" s="588">
        <v>2</v>
      </c>
      <c r="B252" s="587" t="s">
        <v>743</v>
      </c>
      <c r="C252" s="622">
        <f>IF(C231=0,0,(C228-C231)*C207)+IF(C243=0,0,(C240-C243)*C219)</f>
        <v>625491.01754844561</v>
      </c>
      <c r="D252" s="622">
        <f>IF(D231=0,0,(D228-D231)*D207)+IF(D243=0,0,(D240-D243)*D219)</f>
        <v>-259192.34330157778</v>
      </c>
      <c r="E252" s="622">
        <f>D252-C252</f>
        <v>-884683.36085002334</v>
      </c>
    </row>
    <row r="253" spans="1:5" x14ac:dyDescent="0.2">
      <c r="A253" s="588">
        <v>3</v>
      </c>
      <c r="B253" s="587" t="s">
        <v>758</v>
      </c>
      <c r="C253" s="622">
        <f>IF(C233=0,0,(C228-C233)*C209+IF(C221=0,0,(C240-C245)*C221))</f>
        <v>4700125.6165871518</v>
      </c>
      <c r="D253" s="622">
        <f>IF(D233=0,0,(D228-D233)*D209+IF(D221=0,0,(D240-D245)*D221))</f>
        <v>1878864.0144076457</v>
      </c>
      <c r="E253" s="622">
        <f>D253-C253</f>
        <v>-2821261.6021795059</v>
      </c>
    </row>
    <row r="254" spans="1:5" ht="15" customHeight="1" x14ac:dyDescent="0.2">
      <c r="A254" s="588"/>
      <c r="B254" s="592" t="s">
        <v>759</v>
      </c>
      <c r="C254" s="640">
        <f>+C251+C252+C253</f>
        <v>23896900.435331509</v>
      </c>
      <c r="D254" s="640">
        <f>+D251+D252+D253</f>
        <v>24926859.162203319</v>
      </c>
      <c r="E254" s="640">
        <f>D254-C254</f>
        <v>1029958.7268718109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833</v>
      </c>
      <c r="B256" s="626" t="s">
        <v>834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725</v>
      </c>
      <c r="C258" s="622">
        <f>+C44</f>
        <v>1177078060</v>
      </c>
      <c r="D258" s="625">
        <f>+D44</f>
        <v>1231890672</v>
      </c>
      <c r="E258" s="622">
        <f t="shared" ref="E258:E271" si="30">D258-C258</f>
        <v>54812612</v>
      </c>
    </row>
    <row r="259" spans="1:5" x14ac:dyDescent="0.2">
      <c r="A259" s="588">
        <v>2</v>
      </c>
      <c r="B259" s="587" t="s">
        <v>742</v>
      </c>
      <c r="C259" s="622">
        <f>+(C43-C76)</f>
        <v>449126121</v>
      </c>
      <c r="D259" s="625">
        <f>+(D43-D76)</f>
        <v>489713015</v>
      </c>
      <c r="E259" s="622">
        <f t="shared" si="30"/>
        <v>40586894</v>
      </c>
    </row>
    <row r="260" spans="1:5" x14ac:dyDescent="0.2">
      <c r="A260" s="588">
        <v>3</v>
      </c>
      <c r="B260" s="587" t="s">
        <v>746</v>
      </c>
      <c r="C260" s="622">
        <f>C195</f>
        <v>33383000</v>
      </c>
      <c r="D260" s="622">
        <f>D195</f>
        <v>30062421</v>
      </c>
      <c r="E260" s="622">
        <f t="shared" si="30"/>
        <v>-3320579</v>
      </c>
    </row>
    <row r="261" spans="1:5" x14ac:dyDescent="0.2">
      <c r="A261" s="588">
        <v>4</v>
      </c>
      <c r="B261" s="587" t="s">
        <v>747</v>
      </c>
      <c r="C261" s="622">
        <f>C188</f>
        <v>171712998</v>
      </c>
      <c r="D261" s="622">
        <f>D188</f>
        <v>180452266</v>
      </c>
      <c r="E261" s="622">
        <f t="shared" si="30"/>
        <v>8739268</v>
      </c>
    </row>
    <row r="262" spans="1:5" x14ac:dyDescent="0.2">
      <c r="A262" s="588">
        <v>5</v>
      </c>
      <c r="B262" s="587" t="s">
        <v>748</v>
      </c>
      <c r="C262" s="622">
        <f>C191</f>
        <v>16741033</v>
      </c>
      <c r="D262" s="622">
        <f>D191</f>
        <v>18212101</v>
      </c>
      <c r="E262" s="622">
        <f t="shared" si="30"/>
        <v>1471068</v>
      </c>
    </row>
    <row r="263" spans="1:5" x14ac:dyDescent="0.2">
      <c r="A263" s="588">
        <v>6</v>
      </c>
      <c r="B263" s="587" t="s">
        <v>749</v>
      </c>
      <c r="C263" s="622">
        <f>+C259+C260+C261+C262</f>
        <v>670963152</v>
      </c>
      <c r="D263" s="622">
        <f>+D259+D260+D261+D262</f>
        <v>718439803</v>
      </c>
      <c r="E263" s="622">
        <f t="shared" si="30"/>
        <v>47476651</v>
      </c>
    </row>
    <row r="264" spans="1:5" x14ac:dyDescent="0.2">
      <c r="A264" s="588">
        <v>7</v>
      </c>
      <c r="B264" s="587" t="s">
        <v>654</v>
      </c>
      <c r="C264" s="622">
        <f>+C258-C263</f>
        <v>506114908</v>
      </c>
      <c r="D264" s="622">
        <f>+D258-D263</f>
        <v>513450869</v>
      </c>
      <c r="E264" s="622">
        <f t="shared" si="30"/>
        <v>7335961</v>
      </c>
    </row>
    <row r="265" spans="1:5" x14ac:dyDescent="0.2">
      <c r="A265" s="588">
        <v>8</v>
      </c>
      <c r="B265" s="587" t="s">
        <v>835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836</v>
      </c>
      <c r="C266" s="622">
        <f>+C264+C265</f>
        <v>506114908</v>
      </c>
      <c r="D266" s="622">
        <f>+D264+D265</f>
        <v>513450869</v>
      </c>
      <c r="E266" s="641">
        <f t="shared" si="30"/>
        <v>7335961</v>
      </c>
    </row>
    <row r="267" spans="1:5" x14ac:dyDescent="0.2">
      <c r="A267" s="588">
        <v>10</v>
      </c>
      <c r="B267" s="587" t="s">
        <v>837</v>
      </c>
      <c r="C267" s="642">
        <f>IF(C258=0,0,C266/C258)</f>
        <v>0.4299756534413699</v>
      </c>
      <c r="D267" s="642">
        <f>IF(D258=0,0,D266/D258)</f>
        <v>0.41679905584998211</v>
      </c>
      <c r="E267" s="643">
        <f t="shared" si="30"/>
        <v>-1.3176597591387784E-2</v>
      </c>
    </row>
    <row r="268" spans="1:5" x14ac:dyDescent="0.2">
      <c r="A268" s="588">
        <v>11</v>
      </c>
      <c r="B268" s="587" t="s">
        <v>716</v>
      </c>
      <c r="C268" s="622">
        <f>+C260*C267</f>
        <v>14353877.23883325</v>
      </c>
      <c r="D268" s="644">
        <f>+D260*D267</f>
        <v>12529988.689364675</v>
      </c>
      <c r="E268" s="622">
        <f t="shared" si="30"/>
        <v>-1823888.549468575</v>
      </c>
    </row>
    <row r="269" spans="1:5" x14ac:dyDescent="0.2">
      <c r="A269" s="588">
        <v>12</v>
      </c>
      <c r="B269" s="587" t="s">
        <v>838</v>
      </c>
      <c r="C269" s="622">
        <f>((C17+C18+C28+C29)*C267)-(C50+C51+C61+C62)</f>
        <v>26798928.057481006</v>
      </c>
      <c r="D269" s="644">
        <f>((D17+D18+D28+D29)*D267)-(D50+D51+D61+D62)</f>
        <v>31263034.157003775</v>
      </c>
      <c r="E269" s="622">
        <f t="shared" si="30"/>
        <v>4464106.0995227695</v>
      </c>
    </row>
    <row r="270" spans="1:5" s="648" customFormat="1" x14ac:dyDescent="0.2">
      <c r="A270" s="645">
        <v>13</v>
      </c>
      <c r="B270" s="646" t="s">
        <v>839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840</v>
      </c>
      <c r="C271" s="622">
        <f>+C268+C269+C270</f>
        <v>41152805.296314254</v>
      </c>
      <c r="D271" s="622">
        <f>+D268+D269+D270</f>
        <v>43793022.846368447</v>
      </c>
      <c r="E271" s="625">
        <f t="shared" si="30"/>
        <v>2640217.5500541925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841</v>
      </c>
      <c r="B273" s="626" t="s">
        <v>842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843</v>
      </c>
      <c r="C275" s="425"/>
      <c r="D275" s="425"/>
      <c r="E275" s="596"/>
    </row>
    <row r="276" spans="1:5" x14ac:dyDescent="0.2">
      <c r="A276" s="588">
        <v>1</v>
      </c>
      <c r="B276" s="587" t="s">
        <v>656</v>
      </c>
      <c r="C276" s="623">
        <f t="shared" ref="C276:D284" si="31">IF(C14=0,0,+C47/C14)</f>
        <v>0.59025495899804814</v>
      </c>
      <c r="D276" s="623">
        <f t="shared" si="31"/>
        <v>0.58307438631935471</v>
      </c>
      <c r="E276" s="650">
        <f t="shared" ref="E276:E284" si="32">D276-C276</f>
        <v>-7.180572678693431E-3</v>
      </c>
    </row>
    <row r="277" spans="1:5" x14ac:dyDescent="0.2">
      <c r="A277" s="588">
        <v>2</v>
      </c>
      <c r="B277" s="587" t="s">
        <v>635</v>
      </c>
      <c r="C277" s="623">
        <f t="shared" si="31"/>
        <v>0.33550076468142764</v>
      </c>
      <c r="D277" s="623">
        <f t="shared" si="31"/>
        <v>0.32529028166641705</v>
      </c>
      <c r="E277" s="650">
        <f t="shared" si="32"/>
        <v>-1.0210483015010596E-2</v>
      </c>
    </row>
    <row r="278" spans="1:5" x14ac:dyDescent="0.2">
      <c r="A278" s="588">
        <v>3</v>
      </c>
      <c r="B278" s="587" t="s">
        <v>777</v>
      </c>
      <c r="C278" s="623">
        <f t="shared" si="31"/>
        <v>0.24958360252462783</v>
      </c>
      <c r="D278" s="623">
        <f t="shared" si="31"/>
        <v>0.22315627960727541</v>
      </c>
      <c r="E278" s="650">
        <f t="shared" si="32"/>
        <v>-2.6427322917352419E-2</v>
      </c>
    </row>
    <row r="279" spans="1:5" x14ac:dyDescent="0.2">
      <c r="A279" s="588">
        <v>4</v>
      </c>
      <c r="B279" s="587" t="s">
        <v>115</v>
      </c>
      <c r="C279" s="623">
        <f t="shared" si="31"/>
        <v>0.2491639061051891</v>
      </c>
      <c r="D279" s="623">
        <f t="shared" si="31"/>
        <v>0.22037587579283885</v>
      </c>
      <c r="E279" s="650">
        <f t="shared" si="32"/>
        <v>-2.8788030312350249E-2</v>
      </c>
    </row>
    <row r="280" spans="1:5" x14ac:dyDescent="0.2">
      <c r="A280" s="588">
        <v>5</v>
      </c>
      <c r="B280" s="587" t="s">
        <v>743</v>
      </c>
      <c r="C280" s="623">
        <f t="shared" si="31"/>
        <v>0.28777446408198393</v>
      </c>
      <c r="D280" s="623">
        <f t="shared" si="31"/>
        <v>0.41956313922630317</v>
      </c>
      <c r="E280" s="650">
        <f t="shared" si="32"/>
        <v>0.13178867514431925</v>
      </c>
    </row>
    <row r="281" spans="1:5" x14ac:dyDescent="0.2">
      <c r="A281" s="588">
        <v>6</v>
      </c>
      <c r="B281" s="587" t="s">
        <v>424</v>
      </c>
      <c r="C281" s="623">
        <f t="shared" si="31"/>
        <v>0.32132781929038717</v>
      </c>
      <c r="D281" s="623">
        <f t="shared" si="31"/>
        <v>0.33603738598869104</v>
      </c>
      <c r="E281" s="650">
        <f t="shared" si="32"/>
        <v>1.4709566698303866E-2</v>
      </c>
    </row>
    <row r="282" spans="1:5" x14ac:dyDescent="0.2">
      <c r="A282" s="588">
        <v>7</v>
      </c>
      <c r="B282" s="587" t="s">
        <v>758</v>
      </c>
      <c r="C282" s="623">
        <f t="shared" si="31"/>
        <v>0.21168525302602248</v>
      </c>
      <c r="D282" s="623">
        <f t="shared" si="31"/>
        <v>0.26292706010829503</v>
      </c>
      <c r="E282" s="650">
        <f t="shared" si="32"/>
        <v>5.124180708227255E-2</v>
      </c>
    </row>
    <row r="283" spans="1:5" ht="29.25" customHeight="1" x14ac:dyDescent="0.2">
      <c r="A283" s="588"/>
      <c r="B283" s="592" t="s">
        <v>844</v>
      </c>
      <c r="C283" s="651">
        <f t="shared" si="31"/>
        <v>0.31797494896244455</v>
      </c>
      <c r="D283" s="651">
        <f t="shared" si="31"/>
        <v>0.30424337779808214</v>
      </c>
      <c r="E283" s="652">
        <f t="shared" si="32"/>
        <v>-1.3731571164362411E-2</v>
      </c>
    </row>
    <row r="284" spans="1:5" x14ac:dyDescent="0.2">
      <c r="A284" s="588"/>
      <c r="B284" s="592" t="s">
        <v>845</v>
      </c>
      <c r="C284" s="651">
        <f t="shared" si="31"/>
        <v>0.40961189237989792</v>
      </c>
      <c r="D284" s="651">
        <f t="shared" si="31"/>
        <v>0.39500372918095827</v>
      </c>
      <c r="E284" s="652">
        <f t="shared" si="32"/>
        <v>-1.460816319893965E-2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846</v>
      </c>
      <c r="C286" s="596"/>
      <c r="D286" s="596"/>
      <c r="E286" s="596"/>
    </row>
    <row r="287" spans="1:5" x14ac:dyDescent="0.2">
      <c r="A287" s="588">
        <v>1</v>
      </c>
      <c r="B287" s="587" t="s">
        <v>656</v>
      </c>
      <c r="C287" s="623">
        <f t="shared" ref="C287:D295" si="33">IF(C25=0,0,+C58/C25)</f>
        <v>0.56889714749144471</v>
      </c>
      <c r="D287" s="623">
        <f t="shared" si="33"/>
        <v>0.56481863365440255</v>
      </c>
      <c r="E287" s="650">
        <f t="shared" ref="E287:E295" si="34">D287-C287</f>
        <v>-4.0785138370421636E-3</v>
      </c>
    </row>
    <row r="288" spans="1:5" x14ac:dyDescent="0.2">
      <c r="A288" s="588">
        <v>2</v>
      </c>
      <c r="B288" s="587" t="s">
        <v>635</v>
      </c>
      <c r="C288" s="623">
        <f t="shared" si="33"/>
        <v>0.33528753279499318</v>
      </c>
      <c r="D288" s="623">
        <f t="shared" si="33"/>
        <v>0.32495056702989317</v>
      </c>
      <c r="E288" s="650">
        <f t="shared" si="34"/>
        <v>-1.0336965765100015E-2</v>
      </c>
    </row>
    <row r="289" spans="1:5" x14ac:dyDescent="0.2">
      <c r="A289" s="588">
        <v>3</v>
      </c>
      <c r="B289" s="587" t="s">
        <v>777</v>
      </c>
      <c r="C289" s="623">
        <f t="shared" si="33"/>
        <v>0.24268914168673364</v>
      </c>
      <c r="D289" s="623">
        <f t="shared" si="33"/>
        <v>0.22184570721072161</v>
      </c>
      <c r="E289" s="650">
        <f t="shared" si="34"/>
        <v>-2.0843434476012029E-2</v>
      </c>
    </row>
    <row r="290" spans="1:5" x14ac:dyDescent="0.2">
      <c r="A290" s="588">
        <v>4</v>
      </c>
      <c r="B290" s="587" t="s">
        <v>115</v>
      </c>
      <c r="C290" s="623">
        <f t="shared" si="33"/>
        <v>0.24236960114867043</v>
      </c>
      <c r="D290" s="623">
        <f t="shared" si="33"/>
        <v>0.22037587668633368</v>
      </c>
      <c r="E290" s="650">
        <f t="shared" si="34"/>
        <v>-2.1993724462336744E-2</v>
      </c>
    </row>
    <row r="291" spans="1:5" x14ac:dyDescent="0.2">
      <c r="A291" s="588">
        <v>5</v>
      </c>
      <c r="B291" s="587" t="s">
        <v>743</v>
      </c>
      <c r="C291" s="623">
        <f t="shared" si="33"/>
        <v>0.26290026568785413</v>
      </c>
      <c r="D291" s="623">
        <f t="shared" si="33"/>
        <v>0.41956274011851274</v>
      </c>
      <c r="E291" s="650">
        <f t="shared" si="34"/>
        <v>0.15666247443065862</v>
      </c>
    </row>
    <row r="292" spans="1:5" x14ac:dyDescent="0.2">
      <c r="A292" s="588">
        <v>6</v>
      </c>
      <c r="B292" s="587" t="s">
        <v>424</v>
      </c>
      <c r="C292" s="623">
        <f t="shared" si="33"/>
        <v>0.20967945999398779</v>
      </c>
      <c r="D292" s="623">
        <f t="shared" si="33"/>
        <v>0.22643967019676911</v>
      </c>
      <c r="E292" s="650">
        <f t="shared" si="34"/>
        <v>1.6760210202781317E-2</v>
      </c>
    </row>
    <row r="293" spans="1:5" x14ac:dyDescent="0.2">
      <c r="A293" s="588">
        <v>7</v>
      </c>
      <c r="B293" s="587" t="s">
        <v>758</v>
      </c>
      <c r="C293" s="623">
        <f t="shared" si="33"/>
        <v>0.21168528616322826</v>
      </c>
      <c r="D293" s="623">
        <f t="shared" si="33"/>
        <v>0.26292709492069805</v>
      </c>
      <c r="E293" s="650">
        <f t="shared" si="34"/>
        <v>5.1241808757469781E-2</v>
      </c>
    </row>
    <row r="294" spans="1:5" ht="29.25" customHeight="1" x14ac:dyDescent="0.2">
      <c r="A294" s="588"/>
      <c r="B294" s="592" t="s">
        <v>847</v>
      </c>
      <c r="C294" s="651">
        <f t="shared" si="33"/>
        <v>0.312193563035291</v>
      </c>
      <c r="D294" s="651">
        <f t="shared" si="33"/>
        <v>0.29824335288273102</v>
      </c>
      <c r="E294" s="652">
        <f t="shared" si="34"/>
        <v>-1.3950210152559983E-2</v>
      </c>
    </row>
    <row r="295" spans="1:5" x14ac:dyDescent="0.2">
      <c r="A295" s="588"/>
      <c r="B295" s="592" t="s">
        <v>848</v>
      </c>
      <c r="C295" s="651">
        <f t="shared" si="33"/>
        <v>0.4492376463836899</v>
      </c>
      <c r="D295" s="651">
        <f t="shared" si="33"/>
        <v>0.43639155631530363</v>
      </c>
      <c r="E295" s="652">
        <f t="shared" si="34"/>
        <v>-1.2846090068386273E-2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849</v>
      </c>
      <c r="B297" s="579" t="s">
        <v>850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851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654</v>
      </c>
      <c r="C301" s="590">
        <f>+C48+C47+C50+C51+C52+C59+C58+C61+C62+C63</f>
        <v>507231336</v>
      </c>
      <c r="D301" s="590">
        <f>+D48+D47+D50+D51+D52+D59+D58+D61+D62+D63</f>
        <v>514485765</v>
      </c>
      <c r="E301" s="590">
        <f>D301-C301</f>
        <v>7254429</v>
      </c>
    </row>
    <row r="302" spans="1:5" ht="25.5" x14ac:dyDescent="0.2">
      <c r="A302" s="588">
        <v>2</v>
      </c>
      <c r="B302" s="587" t="s">
        <v>852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853</v>
      </c>
      <c r="C303" s="593">
        <f>+C301+C302</f>
        <v>507231336</v>
      </c>
      <c r="D303" s="593">
        <f>+D301+D302</f>
        <v>514485765</v>
      </c>
      <c r="E303" s="593">
        <f>D303-C303</f>
        <v>7254429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854</v>
      </c>
      <c r="C305" s="589">
        <v>14604664</v>
      </c>
      <c r="D305" s="654">
        <v>-12622526</v>
      </c>
      <c r="E305" s="655">
        <f>D305-C305</f>
        <v>-27227190</v>
      </c>
    </row>
    <row r="306" spans="1:5" x14ac:dyDescent="0.2">
      <c r="A306" s="588">
        <v>4</v>
      </c>
      <c r="B306" s="592" t="s">
        <v>855</v>
      </c>
      <c r="C306" s="593">
        <f>+C303+C305+C194+C190-C191</f>
        <v>552506088</v>
      </c>
      <c r="D306" s="593">
        <f>+D303+D305</f>
        <v>501863239</v>
      </c>
      <c r="E306" s="656">
        <f>D306-C306</f>
        <v>-50642849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856</v>
      </c>
      <c r="C308" s="589">
        <v>521836000</v>
      </c>
      <c r="D308" s="589">
        <v>501863239</v>
      </c>
      <c r="E308" s="590">
        <f>D308-C308</f>
        <v>-19972761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857</v>
      </c>
      <c r="C310" s="657">
        <f>C306-C308</f>
        <v>30670088</v>
      </c>
      <c r="D310" s="658">
        <f>D306-D308</f>
        <v>0</v>
      </c>
      <c r="E310" s="656">
        <f>D310-C310</f>
        <v>-30670088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858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859</v>
      </c>
      <c r="C314" s="590">
        <f>+C14+C15+C16+C19+C25+C26+C27+C30</f>
        <v>1177078060</v>
      </c>
      <c r="D314" s="590">
        <f>+D14+D15+D16+D19+D25+D26+D27+D30</f>
        <v>1231890672</v>
      </c>
      <c r="E314" s="590">
        <f>D314-C314</f>
        <v>54812612</v>
      </c>
    </row>
    <row r="315" spans="1:5" x14ac:dyDescent="0.2">
      <c r="A315" s="588">
        <v>2</v>
      </c>
      <c r="B315" s="659" t="s">
        <v>860</v>
      </c>
      <c r="C315" s="589">
        <v>0</v>
      </c>
      <c r="D315" s="589">
        <v>0</v>
      </c>
      <c r="E315" s="590">
        <f>D315-C315</f>
        <v>0</v>
      </c>
    </row>
    <row r="316" spans="1:5" x14ac:dyDescent="0.2">
      <c r="A316" s="588"/>
      <c r="B316" s="592" t="s">
        <v>861</v>
      </c>
      <c r="C316" s="657">
        <f>C314+C315</f>
        <v>1177078060</v>
      </c>
      <c r="D316" s="657">
        <f>D314+D315</f>
        <v>1231890672</v>
      </c>
      <c r="E316" s="593">
        <f>D316-C316</f>
        <v>54812612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862</v>
      </c>
      <c r="C318" s="589">
        <v>1177078060</v>
      </c>
      <c r="D318" s="589">
        <v>1231890672</v>
      </c>
      <c r="E318" s="590">
        <f>D318-C318</f>
        <v>54812612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857</v>
      </c>
      <c r="C320" s="657">
        <f>C316-C318</f>
        <v>0</v>
      </c>
      <c r="D320" s="657">
        <f>D316-D318</f>
        <v>0</v>
      </c>
      <c r="E320" s="593">
        <f>D320-C320</f>
        <v>0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863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864</v>
      </c>
      <c r="C324" s="589">
        <f>+C193+C194</f>
        <v>33383000</v>
      </c>
      <c r="D324" s="589">
        <f>+D193+D194</f>
        <v>30062421</v>
      </c>
      <c r="E324" s="590">
        <f>D324-C324</f>
        <v>-3320579</v>
      </c>
    </row>
    <row r="325" spans="1:5" x14ac:dyDescent="0.2">
      <c r="A325" s="588">
        <v>2</v>
      </c>
      <c r="B325" s="587" t="s">
        <v>865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866</v>
      </c>
      <c r="C326" s="657">
        <f>C324+C325</f>
        <v>33383000</v>
      </c>
      <c r="D326" s="657">
        <f>D324+D325</f>
        <v>30062421</v>
      </c>
      <c r="E326" s="593">
        <f>D326-C326</f>
        <v>-3320579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867</v>
      </c>
      <c r="C328" s="589">
        <v>33383000</v>
      </c>
      <c r="D328" s="589">
        <v>30062421</v>
      </c>
      <c r="E328" s="590">
        <f>D328-C328</f>
        <v>-3320579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868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629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869</v>
      </c>
      <c r="B5" s="824"/>
      <c r="C5" s="825"/>
      <c r="D5" s="661"/>
    </row>
    <row r="6" spans="1:58" s="662" customFormat="1" ht="15.75" customHeight="1" x14ac:dyDescent="0.25">
      <c r="A6" s="823" t="s">
        <v>870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871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872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776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656</v>
      </c>
      <c r="C14" s="589">
        <v>181681956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635</v>
      </c>
      <c r="C15" s="591">
        <v>298292004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777</v>
      </c>
      <c r="C16" s="591">
        <v>77638223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76554491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743</v>
      </c>
      <c r="C18" s="591">
        <v>1083732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545231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758</v>
      </c>
      <c r="C20" s="591">
        <v>5494250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778</v>
      </c>
      <c r="C21" s="593">
        <f>SUM(C15+C16+C19)</f>
        <v>376475458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558157414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779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656</v>
      </c>
      <c r="C25" s="589">
        <v>349151050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635</v>
      </c>
      <c r="C26" s="591">
        <v>240467040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777</v>
      </c>
      <c r="C27" s="591">
        <v>83245316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82631036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743</v>
      </c>
      <c r="C29" s="591">
        <v>614280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869852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758</v>
      </c>
      <c r="C31" s="594">
        <v>28950356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780</v>
      </c>
      <c r="C32" s="593">
        <f>SUM(C26+C27+C30)</f>
        <v>324582208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673733258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653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873</v>
      </c>
      <c r="C36" s="590">
        <f>SUM(C14+C25)</f>
        <v>530833006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874</v>
      </c>
      <c r="C37" s="594">
        <f>SUM(C21+C32)</f>
        <v>701057666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653</v>
      </c>
      <c r="C38" s="593">
        <f>SUM(+C36+C37)</f>
        <v>1231890672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789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656</v>
      </c>
      <c r="C41" s="589">
        <v>105934095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635</v>
      </c>
      <c r="C42" s="591">
        <v>97031490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777</v>
      </c>
      <c r="C43" s="591">
        <v>17325457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16870763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743</v>
      </c>
      <c r="C45" s="591">
        <v>454694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183218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758</v>
      </c>
      <c r="C47" s="591">
        <v>1444587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790</v>
      </c>
      <c r="C48" s="593">
        <f>SUM(C42+C43+C46)</f>
        <v>114540165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220474260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791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656</v>
      </c>
      <c r="C52" s="589">
        <v>197207019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635</v>
      </c>
      <c r="C53" s="591">
        <v>78139901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777</v>
      </c>
      <c r="C54" s="591">
        <v>18467616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18209887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743</v>
      </c>
      <c r="C56" s="591">
        <v>257729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196969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758</v>
      </c>
      <c r="C58" s="591">
        <v>7611833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792</v>
      </c>
      <c r="C59" s="593">
        <f>SUM(C53+C54+C57)</f>
        <v>96804486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294011505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654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875</v>
      </c>
      <c r="C63" s="590">
        <f>SUM(C41+C52)</f>
        <v>303141114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876</v>
      </c>
      <c r="C64" s="594">
        <f>SUM(C48+C59)</f>
        <v>211344651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654</v>
      </c>
      <c r="C65" s="593">
        <f>SUM(+C63+C64)</f>
        <v>514485765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877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878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656</v>
      </c>
      <c r="C70" s="606">
        <v>6808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635</v>
      </c>
      <c r="C71" s="606">
        <v>8369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777</v>
      </c>
      <c r="C72" s="606">
        <v>3350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3321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743</v>
      </c>
      <c r="C74" s="606">
        <v>29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35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758</v>
      </c>
      <c r="C76" s="621">
        <v>156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807</v>
      </c>
      <c r="C77" s="608">
        <f>SUM(C71+C72+C75)</f>
        <v>11754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18562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811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656</v>
      </c>
      <c r="C81" s="617">
        <v>1.2166999999999999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635</v>
      </c>
      <c r="C82" s="617">
        <v>1.5411600000000001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777</v>
      </c>
      <c r="C83" s="617">
        <f>((C73*C84)+(C74*C85))/(C73+C74)</f>
        <v>1.0354785671641791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1.034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743</v>
      </c>
      <c r="C85" s="617">
        <v>1.2048000000000001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0.87509999999999999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758</v>
      </c>
      <c r="C87" s="617">
        <v>1.2056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812</v>
      </c>
      <c r="C88" s="619">
        <f>((C71*C82)+(C73*C84)+(C74*C85)+(C75*C86))/(C71+C73+C74+C75)</f>
        <v>1.3950527258805516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723</v>
      </c>
      <c r="C89" s="619">
        <f>((C70*C81)+(C71*C82)+(C73*C84)+(C74*C85)+(C75*C86))/(C70+C71+C73+C74+C75)</f>
        <v>1.3296381499838379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813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814</v>
      </c>
      <c r="C92" s="589">
        <v>467423606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815</v>
      </c>
      <c r="C93" s="622">
        <v>286971340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668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747</v>
      </c>
      <c r="C95" s="589">
        <f>+C92-C93</f>
        <v>180452266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670</v>
      </c>
      <c r="C96" s="681">
        <f>(+C92-C93)/C92</f>
        <v>0.38605723734029812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762</v>
      </c>
      <c r="C98" s="589">
        <v>29497532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748</v>
      </c>
      <c r="C99" s="589">
        <v>18212101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879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817</v>
      </c>
      <c r="C103" s="589">
        <v>12948351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818</v>
      </c>
      <c r="C104" s="589">
        <v>17114070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819</v>
      </c>
      <c r="C105" s="654">
        <f>+C103+C104</f>
        <v>30062421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820</v>
      </c>
      <c r="C107" s="589">
        <v>15260805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710</v>
      </c>
      <c r="C108" s="589">
        <v>486568594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850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851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654</v>
      </c>
      <c r="C114" s="590">
        <f>+C65</f>
        <v>514485765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852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853</v>
      </c>
      <c r="C116" s="593">
        <f>+C114+C115</f>
        <v>514485765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854</v>
      </c>
      <c r="C118" s="654">
        <v>-12622526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855</v>
      </c>
      <c r="C119" s="656">
        <f>+C116+C118</f>
        <v>501863239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856</v>
      </c>
      <c r="C121" s="589">
        <v>501863239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857</v>
      </c>
      <c r="C123" s="658">
        <f>C119-C121</f>
        <v>0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858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859</v>
      </c>
      <c r="C127" s="590">
        <f>C38</f>
        <v>1231890672</v>
      </c>
      <c r="D127" s="664"/>
      <c r="AR127" s="485"/>
    </row>
    <row r="128" spans="1:58" s="421" customFormat="1" ht="12.75" x14ac:dyDescent="0.2">
      <c r="A128" s="588">
        <v>2</v>
      </c>
      <c r="B128" s="659" t="s">
        <v>860</v>
      </c>
      <c r="C128" s="589">
        <v>0</v>
      </c>
      <c r="D128" s="664"/>
      <c r="AR128" s="485"/>
    </row>
    <row r="129" spans="1:44" s="421" customFormat="1" ht="12.75" x14ac:dyDescent="0.2">
      <c r="A129" s="588"/>
      <c r="B129" s="671" t="s">
        <v>861</v>
      </c>
      <c r="C129" s="657">
        <f>C127+C128</f>
        <v>1231890672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862</v>
      </c>
      <c r="C131" s="589">
        <v>1231890672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857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863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864</v>
      </c>
      <c r="C137" s="589">
        <f>C105</f>
        <v>30062421</v>
      </c>
      <c r="D137" s="664"/>
      <c r="AR137" s="485"/>
    </row>
    <row r="138" spans="1:44" s="421" customFormat="1" ht="12.75" x14ac:dyDescent="0.2">
      <c r="A138" s="588">
        <v>2</v>
      </c>
      <c r="B138" s="669" t="s">
        <v>880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866</v>
      </c>
      <c r="C139" s="657">
        <f>C137+C138</f>
        <v>30062421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881</v>
      </c>
      <c r="C141" s="589">
        <v>30062421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868</v>
      </c>
      <c r="C143" s="657">
        <f>C139-C141</f>
        <v>0</v>
      </c>
      <c r="D143" s="664"/>
      <c r="AR143" s="485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25" right="0.25" top="0.5" bottom="0.5" header="0.25" footer="0.25"/>
  <pageSetup scale="79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sqref="A1:F1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9"/>
      <c r="B1" s="830"/>
      <c r="C1" s="830"/>
      <c r="D1" s="830"/>
      <c r="E1" s="830"/>
      <c r="F1" s="831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882</v>
      </c>
      <c r="B5" s="833"/>
      <c r="C5" s="833"/>
      <c r="D5" s="833"/>
      <c r="E5" s="833"/>
      <c r="F5" s="834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632</v>
      </c>
      <c r="D8" s="177" t="s">
        <v>632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883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884</v>
      </c>
      <c r="C12" s="185">
        <v>3442</v>
      </c>
      <c r="D12" s="185">
        <v>3512</v>
      </c>
      <c r="E12" s="185">
        <f>+D12-C12</f>
        <v>70</v>
      </c>
      <c r="F12" s="77">
        <f>IF(C12=0,0,+E12/C12)</f>
        <v>2.0337013364323069E-2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885</v>
      </c>
      <c r="C13" s="185">
        <v>3312</v>
      </c>
      <c r="D13" s="185">
        <v>3375</v>
      </c>
      <c r="E13" s="185">
        <f>+D13-C13</f>
        <v>63</v>
      </c>
      <c r="F13" s="77">
        <f>IF(C13=0,0,+E13/C13)</f>
        <v>1.9021739130434784E-2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886</v>
      </c>
      <c r="C15" s="76">
        <v>13969782</v>
      </c>
      <c r="D15" s="76">
        <v>12948351</v>
      </c>
      <c r="E15" s="76">
        <f>+D15-C15</f>
        <v>-1021431</v>
      </c>
      <c r="F15" s="77">
        <f>IF(C15=0,0,+E15/C15)</f>
        <v>-7.3117175343180019E-2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887</v>
      </c>
      <c r="C16" s="79">
        <f>IF(C13=0,0,+C15/+C13)</f>
        <v>4217.929347826087</v>
      </c>
      <c r="D16" s="79">
        <f>IF(D13=0,0,+D15/+D13)</f>
        <v>3836.5484444444446</v>
      </c>
      <c r="E16" s="79">
        <f>+D16-C16</f>
        <v>-381.38090338164238</v>
      </c>
      <c r="F16" s="80">
        <f>IF(C16=0,0,+E16/C16)</f>
        <v>-9.0418988070107287E-2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888</v>
      </c>
      <c r="C18" s="704">
        <v>0.44043700000000002</v>
      </c>
      <c r="D18" s="704">
        <v>0.43018899999999999</v>
      </c>
      <c r="E18" s="704">
        <f>+D18-C18</f>
        <v>-1.0248000000000035E-2</v>
      </c>
      <c r="F18" s="77">
        <f>IF(C18=0,0,+E18/C18)</f>
        <v>-2.326779993506457E-2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889</v>
      </c>
      <c r="C19" s="79">
        <f>+C15*C18</f>
        <v>6152808.8747340003</v>
      </c>
      <c r="D19" s="79">
        <f>+D15*D18</f>
        <v>5570238.1683390001</v>
      </c>
      <c r="E19" s="79">
        <f>+D19-C19</f>
        <v>-582570.70639500022</v>
      </c>
      <c r="F19" s="80">
        <f>IF(C19=0,0,+E19/C19)</f>
        <v>-9.4683699470542393E-2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890</v>
      </c>
      <c r="C20" s="79">
        <f>IF(C13=0,0,+C19/C13)</f>
        <v>1857.7321481684783</v>
      </c>
      <c r="D20" s="79">
        <f>IF(D13=0,0,+D19/D13)</f>
        <v>1650.4409387671112</v>
      </c>
      <c r="E20" s="79">
        <f>+D20-C20</f>
        <v>-207.29120940136704</v>
      </c>
      <c r="F20" s="80">
        <f>IF(C20=0,0,+E20/C20)</f>
        <v>-0.11158293708042552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891</v>
      </c>
      <c r="C22" s="76">
        <v>2742952</v>
      </c>
      <c r="D22" s="76">
        <v>1432711</v>
      </c>
      <c r="E22" s="76">
        <f>+D22-C22</f>
        <v>-1310241</v>
      </c>
      <c r="F22" s="77">
        <f>IF(C22=0,0,+E22/C22)</f>
        <v>-0.47767551163855582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892</v>
      </c>
      <c r="C23" s="185">
        <v>2451344</v>
      </c>
      <c r="D23" s="185">
        <v>2669592</v>
      </c>
      <c r="E23" s="185">
        <f>+D23-C23</f>
        <v>218248</v>
      </c>
      <c r="F23" s="77">
        <f>IF(C23=0,0,+E23/C23)</f>
        <v>8.9031975928307083E-2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893</v>
      </c>
      <c r="C24" s="185">
        <v>8775486</v>
      </c>
      <c r="D24" s="185">
        <v>8846048</v>
      </c>
      <c r="E24" s="185">
        <f>+D24-C24</f>
        <v>70562</v>
      </c>
      <c r="F24" s="77">
        <f>IF(C24=0,0,+E24/C24)</f>
        <v>8.0408082241826828E-3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894</v>
      </c>
      <c r="C25" s="79">
        <f>+C22+C23+C24</f>
        <v>13969782</v>
      </c>
      <c r="D25" s="79">
        <f>+D22+D23+D24</f>
        <v>12948351</v>
      </c>
      <c r="E25" s="79">
        <f>+E22+E23+E24</f>
        <v>-1021431</v>
      </c>
      <c r="F25" s="80">
        <f>IF(C25=0,0,+E25/C25)</f>
        <v>-7.3117175343180019E-2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895</v>
      </c>
      <c r="C27" s="185">
        <v>879</v>
      </c>
      <c r="D27" s="185">
        <v>205</v>
      </c>
      <c r="E27" s="185">
        <f>+D27-C27</f>
        <v>-674</v>
      </c>
      <c r="F27" s="77">
        <f>IF(C27=0,0,+E27/C27)</f>
        <v>-0.76678043230944259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896</v>
      </c>
      <c r="C28" s="185">
        <v>212</v>
      </c>
      <c r="D28" s="185">
        <v>53</v>
      </c>
      <c r="E28" s="185">
        <f>+D28-C28</f>
        <v>-159</v>
      </c>
      <c r="F28" s="77">
        <f>IF(C28=0,0,+E28/C28)</f>
        <v>-0.75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897</v>
      </c>
      <c r="C29" s="185">
        <v>1756</v>
      </c>
      <c r="D29" s="185">
        <v>1683</v>
      </c>
      <c r="E29" s="185">
        <f>+D29-C29</f>
        <v>-73</v>
      </c>
      <c r="F29" s="77">
        <f>IF(C29=0,0,+E29/C29)</f>
        <v>-4.1571753986332574E-2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898</v>
      </c>
      <c r="C30" s="185">
        <v>12698</v>
      </c>
      <c r="D30" s="185">
        <v>12942</v>
      </c>
      <c r="E30" s="185">
        <f>+D30-C30</f>
        <v>244</v>
      </c>
      <c r="F30" s="77">
        <f>IF(C30=0,0,+E30/C30)</f>
        <v>1.9215624507796503E-2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899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900</v>
      </c>
      <c r="C33" s="76">
        <v>4247629</v>
      </c>
      <c r="D33" s="76">
        <v>3650148</v>
      </c>
      <c r="E33" s="76">
        <f>+D33-C33</f>
        <v>-597481</v>
      </c>
      <c r="F33" s="77">
        <f>IF(C33=0,0,+E33/C33)</f>
        <v>-0.1406622376860126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901</v>
      </c>
      <c r="C34" s="185">
        <v>12657070</v>
      </c>
      <c r="D34" s="185">
        <v>11381115</v>
      </c>
      <c r="E34" s="185">
        <f>+D34-C34</f>
        <v>-1275955</v>
      </c>
      <c r="F34" s="77">
        <f>IF(C34=0,0,+E34/C34)</f>
        <v>-0.10080966606015453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902</v>
      </c>
      <c r="C35" s="185">
        <v>2508519</v>
      </c>
      <c r="D35" s="185">
        <v>2082807</v>
      </c>
      <c r="E35" s="185">
        <f>+D35-C35</f>
        <v>-425712</v>
      </c>
      <c r="F35" s="77">
        <f>IF(C35=0,0,+E35/C35)</f>
        <v>-0.16970650810298826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903</v>
      </c>
      <c r="C36" s="79">
        <f>+C33+C34+C35</f>
        <v>19413218</v>
      </c>
      <c r="D36" s="79">
        <f>+D33+D34+D35</f>
        <v>17114070</v>
      </c>
      <c r="E36" s="79">
        <f>+E33+E34+E35</f>
        <v>-2299148</v>
      </c>
      <c r="F36" s="80">
        <f>IF(C36=0,0,+E36/C36)</f>
        <v>-0.11843209095988104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904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905</v>
      </c>
      <c r="C39" s="76">
        <f>+C25</f>
        <v>13969782</v>
      </c>
      <c r="D39" s="76">
        <f>+D25</f>
        <v>12948351</v>
      </c>
      <c r="E39" s="76">
        <f>+D39-C39</f>
        <v>-1021431</v>
      </c>
      <c r="F39" s="77">
        <f>IF(C39=0,0,+E39/C39)</f>
        <v>-7.3117175343180019E-2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906</v>
      </c>
      <c r="C40" s="185">
        <f>+C36</f>
        <v>19413218</v>
      </c>
      <c r="D40" s="185">
        <f>+D36</f>
        <v>17114070</v>
      </c>
      <c r="E40" s="185">
        <f>+D40-C40</f>
        <v>-2299148</v>
      </c>
      <c r="F40" s="77">
        <f>IF(C40=0,0,+E40/C40)</f>
        <v>-0.11843209095988104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907</v>
      </c>
      <c r="C41" s="79">
        <f>+C39+C40</f>
        <v>33383000</v>
      </c>
      <c r="D41" s="79">
        <f>+D39+D40</f>
        <v>30062421</v>
      </c>
      <c r="E41" s="79">
        <f>+E39+E40</f>
        <v>-3320579</v>
      </c>
      <c r="F41" s="80">
        <f>IF(C41=0,0,+E41/C41)</f>
        <v>-9.9469160950184224E-2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908</v>
      </c>
      <c r="C43" s="76">
        <f t="shared" ref="C43:D45" si="0">+C22+C33</f>
        <v>6990581</v>
      </c>
      <c r="D43" s="76">
        <f t="shared" si="0"/>
        <v>5082859</v>
      </c>
      <c r="E43" s="76">
        <f>+D43-C43</f>
        <v>-1907722</v>
      </c>
      <c r="F43" s="77">
        <f>IF(C43=0,0,+E43/C43)</f>
        <v>-0.27289891927437793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909</v>
      </c>
      <c r="C44" s="185">
        <f t="shared" si="0"/>
        <v>15108414</v>
      </c>
      <c r="D44" s="185">
        <f t="shared" si="0"/>
        <v>14050707</v>
      </c>
      <c r="E44" s="185">
        <f>+D44-C44</f>
        <v>-1057707</v>
      </c>
      <c r="F44" s="77">
        <f>IF(C44=0,0,+E44/C44)</f>
        <v>-7.0007811541304074E-2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910</v>
      </c>
      <c r="C45" s="185">
        <f t="shared" si="0"/>
        <v>11284005</v>
      </c>
      <c r="D45" s="185">
        <f t="shared" si="0"/>
        <v>10928855</v>
      </c>
      <c r="E45" s="185">
        <f>+D45-C45</f>
        <v>-355150</v>
      </c>
      <c r="F45" s="77">
        <f>IF(C45=0,0,+E45/C45)</f>
        <v>-3.1473754221129822E-2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907</v>
      </c>
      <c r="C46" s="79">
        <f>+C43+C44+C45</f>
        <v>33383000</v>
      </c>
      <c r="D46" s="79">
        <f>+D43+D44+D45</f>
        <v>30062421</v>
      </c>
      <c r="E46" s="79">
        <f>+E43+E44+E45</f>
        <v>-3320579</v>
      </c>
      <c r="F46" s="80">
        <f>IF(C46=0,0,+E46/C46)</f>
        <v>-9.9469160950184224E-2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26" t="s">
        <v>911</v>
      </c>
      <c r="B48" s="827"/>
      <c r="C48" s="827"/>
      <c r="D48" s="827"/>
      <c r="E48" s="827"/>
      <c r="F48" s="828"/>
    </row>
  </sheetData>
  <mergeCells count="6">
    <mergeCell ref="A48:F48"/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/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32" t="s">
        <v>0</v>
      </c>
      <c r="B2" s="833"/>
      <c r="C2" s="833"/>
      <c r="D2" s="833"/>
      <c r="E2" s="833"/>
      <c r="F2" s="834"/>
    </row>
    <row r="3" spans="1:14" ht="15.75" customHeight="1" x14ac:dyDescent="0.25">
      <c r="A3" s="832" t="s">
        <v>629</v>
      </c>
      <c r="B3" s="833"/>
      <c r="C3" s="833"/>
      <c r="D3" s="833"/>
      <c r="E3" s="833"/>
      <c r="F3" s="834"/>
    </row>
    <row r="4" spans="1:14" ht="15.75" customHeight="1" x14ac:dyDescent="0.25">
      <c r="A4" s="832" t="s">
        <v>2</v>
      </c>
      <c r="B4" s="833"/>
      <c r="C4" s="833"/>
      <c r="D4" s="833"/>
      <c r="E4" s="833"/>
      <c r="F4" s="834"/>
    </row>
    <row r="5" spans="1:14" ht="15.75" customHeight="1" x14ac:dyDescent="0.25">
      <c r="A5" s="832" t="s">
        <v>912</v>
      </c>
      <c r="B5" s="833"/>
      <c r="C5" s="833"/>
      <c r="D5" s="833"/>
      <c r="E5" s="833"/>
      <c r="F5" s="834"/>
    </row>
    <row r="6" spans="1:14" ht="15.75" customHeight="1" x14ac:dyDescent="0.25">
      <c r="A6" s="832" t="s">
        <v>913</v>
      </c>
      <c r="B6" s="833"/>
      <c r="C6" s="833"/>
      <c r="D6" s="833"/>
      <c r="E6" s="833"/>
      <c r="F6" s="834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914</v>
      </c>
      <c r="D10" s="177" t="s">
        <v>914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915</v>
      </c>
      <c r="D11" s="693" t="s">
        <v>915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916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457174326</v>
      </c>
      <c r="D15" s="76">
        <v>467423606</v>
      </c>
      <c r="E15" s="76">
        <f>+D15-C15</f>
        <v>10249280</v>
      </c>
      <c r="F15" s="77">
        <f>IF(C15=0,0,E15/C15)</f>
        <v>2.2418756734821545E-2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917</v>
      </c>
      <c r="C17" s="76">
        <v>171712998</v>
      </c>
      <c r="D17" s="76">
        <v>180452266</v>
      </c>
      <c r="E17" s="76">
        <f>+D17-C17</f>
        <v>8739268</v>
      </c>
      <c r="F17" s="77">
        <f>IF(C17=0,0,E17/C17)</f>
        <v>5.0894621267983449E-2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918</v>
      </c>
      <c r="C19" s="79">
        <f>+C15-C17</f>
        <v>285461328</v>
      </c>
      <c r="D19" s="79">
        <f>+D15-D17</f>
        <v>286971340</v>
      </c>
      <c r="E19" s="79">
        <f>+D19-C19</f>
        <v>1510012</v>
      </c>
      <c r="F19" s="80">
        <f>IF(C19=0,0,E19/C19)</f>
        <v>5.2897252688462234E-3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919</v>
      </c>
      <c r="C21" s="720">
        <f>IF(C15=0,0,C17/C15)</f>
        <v>0.37559632777803886</v>
      </c>
      <c r="D21" s="720">
        <f>IF(D15=0,0,D17/D15)</f>
        <v>0.38605723734029812</v>
      </c>
      <c r="E21" s="720">
        <f>+D21-C21</f>
        <v>1.0460909562259257E-2</v>
      </c>
      <c r="F21" s="80">
        <f>IF(C21=0,0,E21/C21)</f>
        <v>2.7851469220011121E-2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920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6:F26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67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4"/>
  <sheetViews>
    <sheetView zoomScale="75" workbookViewId="0">
      <selection sqref="A1:E1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921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922</v>
      </c>
      <c r="B6" s="734" t="s">
        <v>923</v>
      </c>
      <c r="C6" s="734" t="s">
        <v>924</v>
      </c>
      <c r="D6" s="734" t="s">
        <v>925</v>
      </c>
      <c r="E6" s="734" t="s">
        <v>926</v>
      </c>
    </row>
    <row r="7" spans="1:6" ht="37.5" customHeight="1" x14ac:dyDescent="0.25">
      <c r="A7" s="735" t="s">
        <v>8</v>
      </c>
      <c r="B7" s="736" t="s">
        <v>9</v>
      </c>
      <c r="C7" s="737" t="s">
        <v>927</v>
      </c>
      <c r="D7" s="737" t="s">
        <v>928</v>
      </c>
      <c r="E7" s="737" t="s">
        <v>929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930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931</v>
      </c>
      <c r="C10" s="744">
        <v>544326430</v>
      </c>
      <c r="D10" s="744">
        <v>544000785</v>
      </c>
      <c r="E10" s="744">
        <v>558157414</v>
      </c>
    </row>
    <row r="11" spans="1:6" ht="26.1" customHeight="1" x14ac:dyDescent="0.25">
      <c r="A11" s="742">
        <v>2</v>
      </c>
      <c r="B11" s="743" t="s">
        <v>932</v>
      </c>
      <c r="C11" s="744">
        <v>568826659</v>
      </c>
      <c r="D11" s="744">
        <v>633077275</v>
      </c>
      <c r="E11" s="744">
        <v>673733258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1113153089</v>
      </c>
      <c r="D12" s="744">
        <f>+D11+D10</f>
        <v>1177078060</v>
      </c>
      <c r="E12" s="744">
        <f>+E11+E10</f>
        <v>1231890672</v>
      </c>
    </row>
    <row r="13" spans="1:6" ht="26.1" customHeight="1" x14ac:dyDescent="0.25">
      <c r="A13" s="742">
        <v>4</v>
      </c>
      <c r="B13" s="743" t="s">
        <v>507</v>
      </c>
      <c r="C13" s="744">
        <v>497720490</v>
      </c>
      <c r="D13" s="744">
        <v>521836000</v>
      </c>
      <c r="E13" s="744">
        <v>501863239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933</v>
      </c>
      <c r="C16" s="744">
        <v>495471968</v>
      </c>
      <c r="D16" s="744">
        <v>514797196</v>
      </c>
      <c r="E16" s="744">
        <v>486568594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934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96663</v>
      </c>
      <c r="D19" s="747">
        <v>92010</v>
      </c>
      <c r="E19" s="747">
        <v>91003</v>
      </c>
    </row>
    <row r="20" spans="1:5" ht="26.1" customHeight="1" x14ac:dyDescent="0.25">
      <c r="A20" s="742">
        <v>2</v>
      </c>
      <c r="B20" s="743" t="s">
        <v>381</v>
      </c>
      <c r="C20" s="748">
        <v>20763</v>
      </c>
      <c r="D20" s="748">
        <v>19668</v>
      </c>
      <c r="E20" s="748">
        <v>18562</v>
      </c>
    </row>
    <row r="21" spans="1:5" ht="26.1" customHeight="1" x14ac:dyDescent="0.25">
      <c r="A21" s="742">
        <v>3</v>
      </c>
      <c r="B21" s="743" t="s">
        <v>935</v>
      </c>
      <c r="C21" s="749">
        <f>IF(C20=0,0,+C19/C20)</f>
        <v>4.6555411067764778</v>
      </c>
      <c r="D21" s="749">
        <f>IF(D20=0,0,+D19/D20)</f>
        <v>4.6781574130567423</v>
      </c>
      <c r="E21" s="749">
        <f>IF(E20=0,0,+E19/E20)</f>
        <v>4.9026505764465034</v>
      </c>
    </row>
    <row r="22" spans="1:5" ht="26.1" customHeight="1" x14ac:dyDescent="0.25">
      <c r="A22" s="742">
        <v>4</v>
      </c>
      <c r="B22" s="743" t="s">
        <v>936</v>
      </c>
      <c r="C22" s="748">
        <f>IF(C10=0,0,C19*(C12/C10))</f>
        <v>197676.81874644043</v>
      </c>
      <c r="D22" s="748">
        <f>IF(D10=0,0,D19*(D12/D10))</f>
        <v>199086.02209204534</v>
      </c>
      <c r="E22" s="748">
        <f>IF(E10=0,0,E19*(E12/E10))</f>
        <v>200849.69582436827</v>
      </c>
    </row>
    <row r="23" spans="1:5" ht="26.1" customHeight="1" x14ac:dyDescent="0.25">
      <c r="A23" s="742">
        <v>0</v>
      </c>
      <c r="B23" s="743" t="s">
        <v>937</v>
      </c>
      <c r="C23" s="748">
        <f>IF(C10=0,0,C20*(C12/C10))</f>
        <v>42460.546306573793</v>
      </c>
      <c r="D23" s="748">
        <f>IF(D10=0,0,D20*(D12/D10))</f>
        <v>42556.503450780867</v>
      </c>
      <c r="E23" s="748">
        <f>IF(E10=0,0,E20*(E12/E10))</f>
        <v>40967.57308980939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938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1.2321240620334251</v>
      </c>
      <c r="D26" s="750">
        <v>1.2214591925971121</v>
      </c>
      <c r="E26" s="750">
        <v>1.3296381499838379</v>
      </c>
    </row>
    <row r="27" spans="1:5" ht="26.1" customHeight="1" x14ac:dyDescent="0.25">
      <c r="A27" s="742">
        <v>2</v>
      </c>
      <c r="B27" s="743" t="s">
        <v>939</v>
      </c>
      <c r="C27" s="748">
        <f>C19*C26</f>
        <v>119100.80820833697</v>
      </c>
      <c r="D27" s="748">
        <f>D19*D26</f>
        <v>112386.46031086029</v>
      </c>
      <c r="E27" s="748">
        <f>E19*E26</f>
        <v>121001.0605629792</v>
      </c>
    </row>
    <row r="28" spans="1:5" ht="26.1" customHeight="1" x14ac:dyDescent="0.25">
      <c r="A28" s="742">
        <v>3</v>
      </c>
      <c r="B28" s="743" t="s">
        <v>940</v>
      </c>
      <c r="C28" s="748">
        <f>C20*C26</f>
        <v>25582.591900000003</v>
      </c>
      <c r="D28" s="748">
        <f>D20*D26</f>
        <v>24023.6594</v>
      </c>
      <c r="E28" s="748">
        <f>E20*E26</f>
        <v>24680.743339999997</v>
      </c>
    </row>
    <row r="29" spans="1:5" ht="26.1" customHeight="1" x14ac:dyDescent="0.25">
      <c r="A29" s="742">
        <v>4</v>
      </c>
      <c r="B29" s="743" t="s">
        <v>941</v>
      </c>
      <c r="C29" s="748">
        <f>C22*C26</f>
        <v>243562.36488370929</v>
      </c>
      <c r="D29" s="748">
        <f>D22*D26</f>
        <v>243175.45180192054</v>
      </c>
      <c r="E29" s="748">
        <f>E22*E26</f>
        <v>267057.4179807296</v>
      </c>
    </row>
    <row r="30" spans="1:5" ht="26.1" customHeight="1" x14ac:dyDescent="0.25">
      <c r="A30" s="742">
        <v>5</v>
      </c>
      <c r="B30" s="743" t="s">
        <v>942</v>
      </c>
      <c r="C30" s="748">
        <f>C23*C26</f>
        <v>52316.660791414048</v>
      </c>
      <c r="D30" s="748">
        <f>D23*D26</f>
        <v>51981.032344747015</v>
      </c>
      <c r="E30" s="748">
        <f>E23*E26</f>
        <v>54472.048092461817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943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944</v>
      </c>
      <c r="C33" s="744">
        <f>IF(C19=0,0,C12/C19)</f>
        <v>11515.81358948098</v>
      </c>
      <c r="D33" s="744">
        <f>IF(D19=0,0,D12/D19)</f>
        <v>12792.936202586676</v>
      </c>
      <c r="E33" s="744">
        <f>IF(E19=0,0,E12/E19)</f>
        <v>13536.813863279232</v>
      </c>
    </row>
    <row r="34" spans="1:5" ht="26.1" customHeight="1" x14ac:dyDescent="0.25">
      <c r="A34" s="742">
        <v>2</v>
      </c>
      <c r="B34" s="743" t="s">
        <v>945</v>
      </c>
      <c r="C34" s="744">
        <f>IF(C20=0,0,C12/C20)</f>
        <v>53612.34354380388</v>
      </c>
      <c r="D34" s="744">
        <f>IF(D20=0,0,D12/D20)</f>
        <v>59847.36933089282</v>
      </c>
      <c r="E34" s="744">
        <f>IF(E20=0,0,E12/E20)</f>
        <v>66366.268290054955</v>
      </c>
    </row>
    <row r="35" spans="1:5" ht="26.1" customHeight="1" x14ac:dyDescent="0.25">
      <c r="A35" s="742">
        <v>3</v>
      </c>
      <c r="B35" s="743" t="s">
        <v>946</v>
      </c>
      <c r="C35" s="744">
        <f>IF(C22=0,0,C12/C22)</f>
        <v>5631.1766653217883</v>
      </c>
      <c r="D35" s="744">
        <f>IF(D22=0,0,D12/D22)</f>
        <v>5912.4093576785126</v>
      </c>
      <c r="E35" s="744">
        <f>IF(E22=0,0,E12/E22)</f>
        <v>6133.3957561838624</v>
      </c>
    </row>
    <row r="36" spans="1:5" ht="26.1" customHeight="1" x14ac:dyDescent="0.25">
      <c r="A36" s="742">
        <v>4</v>
      </c>
      <c r="B36" s="743" t="s">
        <v>947</v>
      </c>
      <c r="C36" s="744">
        <f>IF(C23=0,0,C12/C23)</f>
        <v>26216.174444926073</v>
      </c>
      <c r="D36" s="744">
        <f>IF(D23=0,0,D12/D23)</f>
        <v>27659.181665649787</v>
      </c>
      <c r="E36" s="744">
        <f>IF(E23=0,0,E12/E23)</f>
        <v>30069.896239629354</v>
      </c>
    </row>
    <row r="37" spans="1:5" ht="26.1" customHeight="1" x14ac:dyDescent="0.25">
      <c r="A37" s="742">
        <v>5</v>
      </c>
      <c r="B37" s="743" t="s">
        <v>948</v>
      </c>
      <c r="C37" s="744">
        <f>IF(C29=0,0,C12/C29)</f>
        <v>4570.3000524382469</v>
      </c>
      <c r="D37" s="744">
        <f>IF(D29=0,0,D12/D29)</f>
        <v>4840.4477149231052</v>
      </c>
      <c r="E37" s="744">
        <f>IF(E29=0,0,E12/E29)</f>
        <v>4612.8307586980827</v>
      </c>
    </row>
    <row r="38" spans="1:5" ht="26.1" customHeight="1" x14ac:dyDescent="0.25">
      <c r="A38" s="742">
        <v>6</v>
      </c>
      <c r="B38" s="743" t="s">
        <v>949</v>
      </c>
      <c r="C38" s="744">
        <f>IF(C30=0,0,C12/C30)</f>
        <v>21277.219764428948</v>
      </c>
      <c r="D38" s="744">
        <f>IF(D30=0,0,D12/D30)</f>
        <v>22644.376360081093</v>
      </c>
      <c r="E38" s="744">
        <f>IF(E30=0,0,E12/E30)</f>
        <v>22615.097378181319</v>
      </c>
    </row>
    <row r="39" spans="1:5" ht="26.1" customHeight="1" x14ac:dyDescent="0.25">
      <c r="A39" s="742">
        <v>7</v>
      </c>
      <c r="B39" s="743" t="s">
        <v>950</v>
      </c>
      <c r="C39" s="744">
        <f>IF(C22=0,0,C10/C22)</f>
        <v>2753.6179176285013</v>
      </c>
      <c r="D39" s="744">
        <f>IF(D22=0,0,D10/D22)</f>
        <v>2732.4911075298241</v>
      </c>
      <c r="E39" s="744">
        <f>IF(E22=0,0,E10/E22)</f>
        <v>2778.9806288184632</v>
      </c>
    </row>
    <row r="40" spans="1:5" ht="26.1" customHeight="1" x14ac:dyDescent="0.25">
      <c r="A40" s="742">
        <v>8</v>
      </c>
      <c r="B40" s="743" t="s">
        <v>951</v>
      </c>
      <c r="C40" s="744">
        <f>IF(C23=0,0,C10/C23)</f>
        <v>12819.581407875732</v>
      </c>
      <c r="D40" s="744">
        <f>IF(D23=0,0,D10/D23)</f>
        <v>12783.023530802275</v>
      </c>
      <c r="E40" s="744">
        <f>IF(E23=0,0,E10/E23)</f>
        <v>13624.370981810505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952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953</v>
      </c>
      <c r="C43" s="744">
        <f>IF(C19=0,0,C13/C19)</f>
        <v>5149.0279631296362</v>
      </c>
      <c r="D43" s="744">
        <f>IF(D19=0,0,D13/D19)</f>
        <v>5671.5139658732751</v>
      </c>
      <c r="E43" s="744">
        <f>IF(E19=0,0,E13/E19)</f>
        <v>5514.7988417964243</v>
      </c>
    </row>
    <row r="44" spans="1:5" ht="26.1" customHeight="1" x14ac:dyDescent="0.25">
      <c r="A44" s="742">
        <v>2</v>
      </c>
      <c r="B44" s="743" t="s">
        <v>954</v>
      </c>
      <c r="C44" s="744">
        <f>IF(C20=0,0,C13/C20)</f>
        <v>23971.511342291575</v>
      </c>
      <c r="D44" s="744">
        <f>IF(D20=0,0,D13/D20)</f>
        <v>26532.235102704901</v>
      </c>
      <c r="E44" s="744">
        <f>IF(E20=0,0,E13/E20)</f>
        <v>27037.13172071975</v>
      </c>
    </row>
    <row r="45" spans="1:5" ht="26.1" customHeight="1" x14ac:dyDescent="0.25">
      <c r="A45" s="742">
        <v>3</v>
      </c>
      <c r="B45" s="743" t="s">
        <v>955</v>
      </c>
      <c r="C45" s="744">
        <f>IF(C22=0,0,C13/C22)</f>
        <v>2517.8495544205657</v>
      </c>
      <c r="D45" s="744">
        <f>IF(D22=0,0,D13/D22)</f>
        <v>2621.1584043742387</v>
      </c>
      <c r="E45" s="744">
        <f>IF(E22=0,0,E13/E22)</f>
        <v>2498.7005180174688</v>
      </c>
    </row>
    <row r="46" spans="1:5" ht="26.1" customHeight="1" x14ac:dyDescent="0.25">
      <c r="A46" s="742">
        <v>4</v>
      </c>
      <c r="B46" s="743" t="s">
        <v>956</v>
      </c>
      <c r="C46" s="744">
        <f>IF(C23=0,0,C13/C23)</f>
        <v>11721.952101283781</v>
      </c>
      <c r="D46" s="744">
        <f>IF(D23=0,0,D13/D23)</f>
        <v>12262.191620219326</v>
      </c>
      <c r="E46" s="744">
        <f>IF(E23=0,0,E13/E23)</f>
        <v>12250.255535025519</v>
      </c>
    </row>
    <row r="47" spans="1:5" ht="26.1" customHeight="1" x14ac:dyDescent="0.25">
      <c r="A47" s="742">
        <v>5</v>
      </c>
      <c r="B47" s="743" t="s">
        <v>957</v>
      </c>
      <c r="C47" s="744">
        <f>IF(C29=0,0,C13/C29)</f>
        <v>2043.5032737411645</v>
      </c>
      <c r="D47" s="744">
        <f>IF(D29=0,0,D13/D29)</f>
        <v>2145.9238427777796</v>
      </c>
      <c r="E47" s="744">
        <f>IF(E29=0,0,E13/E29)</f>
        <v>1879.2334726916799</v>
      </c>
    </row>
    <row r="48" spans="1:5" ht="26.1" customHeight="1" x14ac:dyDescent="0.25">
      <c r="A48" s="742">
        <v>6</v>
      </c>
      <c r="B48" s="743" t="s">
        <v>958</v>
      </c>
      <c r="C48" s="744">
        <f>IF(C30=0,0,C13/C30)</f>
        <v>9513.6134927342955</v>
      </c>
      <c r="D48" s="744">
        <f>IF(D30=0,0,D13/D30)</f>
        <v>10038.969532946079</v>
      </c>
      <c r="E48" s="744">
        <f>IF(E30=0,0,E13/E30)</f>
        <v>9213.2250681694295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959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960</v>
      </c>
      <c r="C51" s="744">
        <f>IF(C19=0,0,C16/C19)</f>
        <v>5125.7665083848005</v>
      </c>
      <c r="D51" s="744">
        <f>IF(D19=0,0,D16/D19)</f>
        <v>5595.0135420063034</v>
      </c>
      <c r="E51" s="744">
        <f>IF(E19=0,0,E16/E19)</f>
        <v>5346.7313605045983</v>
      </c>
    </row>
    <row r="52" spans="1:6" ht="26.1" customHeight="1" x14ac:dyDescent="0.25">
      <c r="A52" s="742">
        <v>2</v>
      </c>
      <c r="B52" s="743" t="s">
        <v>961</v>
      </c>
      <c r="C52" s="744">
        <f>IF(C20=0,0,C16/C20)</f>
        <v>23863.216683523577</v>
      </c>
      <c r="D52" s="744">
        <f>IF(D20=0,0,D16/D20)</f>
        <v>26174.354077689648</v>
      </c>
      <c r="E52" s="744">
        <f>IF(E20=0,0,E16/E20)</f>
        <v>26213.155586682471</v>
      </c>
    </row>
    <row r="53" spans="1:6" ht="26.1" customHeight="1" x14ac:dyDescent="0.25">
      <c r="A53" s="742">
        <v>3</v>
      </c>
      <c r="B53" s="743" t="s">
        <v>962</v>
      </c>
      <c r="C53" s="744">
        <f>IF(C22=0,0,C16/C22)</f>
        <v>2506.4748165314249</v>
      </c>
      <c r="D53" s="744">
        <f>IF(D22=0,0,D16/D22)</f>
        <v>2585.8028132280874</v>
      </c>
      <c r="E53" s="744">
        <f>IF(E22=0,0,E16/E22)</f>
        <v>2422.5508134474685</v>
      </c>
    </row>
    <row r="54" spans="1:6" ht="26.1" customHeight="1" x14ac:dyDescent="0.25">
      <c r="A54" s="742">
        <v>4</v>
      </c>
      <c r="B54" s="743" t="s">
        <v>963</v>
      </c>
      <c r="C54" s="744">
        <f>IF(C23=0,0,C16/C23)</f>
        <v>11668.996541462078</v>
      </c>
      <c r="D54" s="744">
        <f>IF(D23=0,0,D16/D23)</f>
        <v>12096.792599405955</v>
      </c>
      <c r="E54" s="744">
        <f>IF(E23=0,0,E16/E23)</f>
        <v>11876.920142019178</v>
      </c>
    </row>
    <row r="55" spans="1:6" ht="26.1" customHeight="1" x14ac:dyDescent="0.25">
      <c r="A55" s="742">
        <v>5</v>
      </c>
      <c r="B55" s="743" t="s">
        <v>964</v>
      </c>
      <c r="C55" s="744">
        <f>IF(C29=0,0,C16/C29)</f>
        <v>2034.2714615887676</v>
      </c>
      <c r="D55" s="744">
        <f>IF(D29=0,0,D16/D29)</f>
        <v>2116.9784704227873</v>
      </c>
      <c r="E55" s="744">
        <f>IF(E29=0,0,E16/E29)</f>
        <v>1821.9624741339705</v>
      </c>
    </row>
    <row r="56" spans="1:6" ht="26.1" customHeight="1" x14ac:dyDescent="0.25">
      <c r="A56" s="742">
        <v>6</v>
      </c>
      <c r="B56" s="743" t="s">
        <v>965</v>
      </c>
      <c r="C56" s="744">
        <f>IF(C30=0,0,C16/C30)</f>
        <v>9470.6344117687731</v>
      </c>
      <c r="D56" s="744">
        <f>IF(D30=0,0,D16/D30)</f>
        <v>9903.5585246898863</v>
      </c>
      <c r="E56" s="744">
        <f>IF(E30=0,0,E16/E30)</f>
        <v>8932.4453740768095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966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967</v>
      </c>
      <c r="C59" s="752">
        <v>58301687</v>
      </c>
      <c r="D59" s="752">
        <v>51198252</v>
      </c>
      <c r="E59" s="752">
        <v>59802385</v>
      </c>
    </row>
    <row r="60" spans="1:6" ht="26.1" customHeight="1" x14ac:dyDescent="0.25">
      <c r="A60" s="742">
        <v>2</v>
      </c>
      <c r="B60" s="743" t="s">
        <v>968</v>
      </c>
      <c r="C60" s="752">
        <v>20247827</v>
      </c>
      <c r="D60" s="752">
        <v>17759434</v>
      </c>
      <c r="E60" s="752">
        <v>15272468</v>
      </c>
    </row>
    <row r="61" spans="1:6" ht="26.1" customHeight="1" x14ac:dyDescent="0.25">
      <c r="A61" s="753">
        <v>3</v>
      </c>
      <c r="B61" s="754" t="s">
        <v>969</v>
      </c>
      <c r="C61" s="755">
        <f>C59+C60</f>
        <v>78549514</v>
      </c>
      <c r="D61" s="755">
        <f>D59+D60</f>
        <v>68957686</v>
      </c>
      <c r="E61" s="755">
        <f>E59+E60</f>
        <v>75074853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970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971</v>
      </c>
      <c r="C64" s="744">
        <v>7419911</v>
      </c>
      <c r="D64" s="744">
        <v>7349665</v>
      </c>
      <c r="E64" s="752">
        <v>8426011</v>
      </c>
      <c r="F64" s="756"/>
    </row>
    <row r="65" spans="1:6" ht="26.1" customHeight="1" x14ac:dyDescent="0.25">
      <c r="A65" s="742">
        <v>2</v>
      </c>
      <c r="B65" s="743" t="s">
        <v>972</v>
      </c>
      <c r="C65" s="752">
        <v>2576891</v>
      </c>
      <c r="D65" s="752">
        <v>2523856</v>
      </c>
      <c r="E65" s="752">
        <v>2151854</v>
      </c>
      <c r="F65" s="756"/>
    </row>
    <row r="66" spans="1:6" ht="26.1" customHeight="1" x14ac:dyDescent="0.25">
      <c r="A66" s="753">
        <v>3</v>
      </c>
      <c r="B66" s="754" t="s">
        <v>973</v>
      </c>
      <c r="C66" s="757">
        <f>C64+C65</f>
        <v>9996802</v>
      </c>
      <c r="D66" s="757">
        <f>D64+D65</f>
        <v>9873521</v>
      </c>
      <c r="E66" s="757">
        <f>E64+E65</f>
        <v>10577865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974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975</v>
      </c>
      <c r="C69" s="752">
        <v>128541073</v>
      </c>
      <c r="D69" s="752">
        <v>132952743</v>
      </c>
      <c r="E69" s="752">
        <v>122422314</v>
      </c>
    </row>
    <row r="70" spans="1:6" ht="26.1" customHeight="1" x14ac:dyDescent="0.25">
      <c r="A70" s="742">
        <v>2</v>
      </c>
      <c r="B70" s="743" t="s">
        <v>976</v>
      </c>
      <c r="C70" s="752">
        <v>44641545</v>
      </c>
      <c r="D70" s="752">
        <v>45843656</v>
      </c>
      <c r="E70" s="752">
        <v>31264486</v>
      </c>
    </row>
    <row r="71" spans="1:6" ht="26.1" customHeight="1" x14ac:dyDescent="0.25">
      <c r="A71" s="753">
        <v>3</v>
      </c>
      <c r="B71" s="754" t="s">
        <v>977</v>
      </c>
      <c r="C71" s="755">
        <f>C69+C70</f>
        <v>173182618</v>
      </c>
      <c r="D71" s="755">
        <f>D69+D70</f>
        <v>178796399</v>
      </c>
      <c r="E71" s="755">
        <f>E69+E70</f>
        <v>153686800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978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979</v>
      </c>
      <c r="C75" s="744">
        <f t="shared" ref="C75:E76" si="0">+C59+C64+C69</f>
        <v>194262671</v>
      </c>
      <c r="D75" s="744">
        <f t="shared" si="0"/>
        <v>191500660</v>
      </c>
      <c r="E75" s="744">
        <f t="shared" si="0"/>
        <v>190650710</v>
      </c>
    </row>
    <row r="76" spans="1:6" ht="26.1" customHeight="1" x14ac:dyDescent="0.25">
      <c r="A76" s="742">
        <v>2</v>
      </c>
      <c r="B76" s="743" t="s">
        <v>980</v>
      </c>
      <c r="C76" s="744">
        <f t="shared" si="0"/>
        <v>67466263</v>
      </c>
      <c r="D76" s="744">
        <f t="shared" si="0"/>
        <v>66126946</v>
      </c>
      <c r="E76" s="744">
        <f t="shared" si="0"/>
        <v>48688808</v>
      </c>
    </row>
    <row r="77" spans="1:6" ht="26.1" customHeight="1" x14ac:dyDescent="0.25">
      <c r="A77" s="753">
        <v>3</v>
      </c>
      <c r="B77" s="754" t="s">
        <v>978</v>
      </c>
      <c r="C77" s="757">
        <f>C75+C76</f>
        <v>261728934</v>
      </c>
      <c r="D77" s="757">
        <f>D75+D76</f>
        <v>257627606</v>
      </c>
      <c r="E77" s="757">
        <f>E75+E76</f>
        <v>239339518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981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572.29999999999995</v>
      </c>
      <c r="D80" s="749">
        <v>567.79999999999995</v>
      </c>
      <c r="E80" s="749">
        <v>551.70000000000005</v>
      </c>
    </row>
    <row r="81" spans="1:5" ht="26.1" customHeight="1" x14ac:dyDescent="0.25">
      <c r="A81" s="742">
        <v>2</v>
      </c>
      <c r="B81" s="743" t="s">
        <v>617</v>
      </c>
      <c r="C81" s="749">
        <v>97.8</v>
      </c>
      <c r="D81" s="749">
        <v>101.5</v>
      </c>
      <c r="E81" s="749">
        <v>115.2</v>
      </c>
    </row>
    <row r="82" spans="1:5" ht="26.1" customHeight="1" x14ac:dyDescent="0.25">
      <c r="A82" s="742">
        <v>3</v>
      </c>
      <c r="B82" s="743" t="s">
        <v>982</v>
      </c>
      <c r="C82" s="749">
        <v>1871.2</v>
      </c>
      <c r="D82" s="749">
        <v>1734.6</v>
      </c>
      <c r="E82" s="749">
        <v>1695</v>
      </c>
    </row>
    <row r="83" spans="1:5" ht="26.1" customHeight="1" x14ac:dyDescent="0.25">
      <c r="A83" s="753">
        <v>4</v>
      </c>
      <c r="B83" s="754" t="s">
        <v>981</v>
      </c>
      <c r="C83" s="759">
        <f>C80+C81+C82</f>
        <v>2541.3000000000002</v>
      </c>
      <c r="D83" s="759">
        <f>D80+D81+D82</f>
        <v>2403.8999999999996</v>
      </c>
      <c r="E83" s="759">
        <f>E80+E81+E82</f>
        <v>2361.9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983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984</v>
      </c>
      <c r="C86" s="752">
        <f>IF(C80=0,0,C59/C80)</f>
        <v>101872.59654027609</v>
      </c>
      <c r="D86" s="752">
        <f>IF(D80=0,0,D59/D80)</f>
        <v>90169.517435716814</v>
      </c>
      <c r="E86" s="752">
        <f>IF(E80=0,0,E59/E80)</f>
        <v>108396.56516222584</v>
      </c>
    </row>
    <row r="87" spans="1:5" ht="26.1" customHeight="1" x14ac:dyDescent="0.25">
      <c r="A87" s="742">
        <v>2</v>
      </c>
      <c r="B87" s="743" t="s">
        <v>985</v>
      </c>
      <c r="C87" s="752">
        <f>IF(C80=0,0,C60/C80)</f>
        <v>35379.743141708896</v>
      </c>
      <c r="D87" s="752">
        <f>IF(D80=0,0,D60/D80)</f>
        <v>31277.622402254317</v>
      </c>
      <c r="E87" s="752">
        <f>IF(E80=0,0,E60/E80)</f>
        <v>27682.559361972086</v>
      </c>
    </row>
    <row r="88" spans="1:5" ht="26.1" customHeight="1" x14ac:dyDescent="0.25">
      <c r="A88" s="753">
        <v>3</v>
      </c>
      <c r="B88" s="754" t="s">
        <v>986</v>
      </c>
      <c r="C88" s="755">
        <f>+C86+C87</f>
        <v>137252.33968198497</v>
      </c>
      <c r="D88" s="755">
        <f>+D86+D87</f>
        <v>121447.13983797113</v>
      </c>
      <c r="E88" s="755">
        <f>+E86+E87</f>
        <v>136079.12452419792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987</v>
      </c>
    </row>
    <row r="91" spans="1:5" ht="26.1" customHeight="1" x14ac:dyDescent="0.25">
      <c r="A91" s="742">
        <v>1</v>
      </c>
      <c r="B91" s="743" t="s">
        <v>988</v>
      </c>
      <c r="C91" s="744">
        <f>IF(C81=0,0,C64/C81)</f>
        <v>75868.21063394683</v>
      </c>
      <c r="D91" s="744">
        <f>IF(D81=0,0,D64/D81)</f>
        <v>72410.492610837435</v>
      </c>
      <c r="E91" s="744">
        <f>IF(E81=0,0,E64/E81)</f>
        <v>73142.456597222219</v>
      </c>
    </row>
    <row r="92" spans="1:5" ht="26.1" customHeight="1" x14ac:dyDescent="0.25">
      <c r="A92" s="742">
        <v>2</v>
      </c>
      <c r="B92" s="743" t="s">
        <v>989</v>
      </c>
      <c r="C92" s="744">
        <f>IF(C81=0,0,C65/C81)</f>
        <v>26348.57873210634</v>
      </c>
      <c r="D92" s="744">
        <f>IF(D81=0,0,D65/D81)</f>
        <v>24865.576354679804</v>
      </c>
      <c r="E92" s="744">
        <f>IF(E81=0,0,E65/E81)</f>
        <v>18679.288194444445</v>
      </c>
    </row>
    <row r="93" spans="1:5" ht="26.1" customHeight="1" x14ac:dyDescent="0.25">
      <c r="A93" s="753">
        <v>3</v>
      </c>
      <c r="B93" s="754" t="s">
        <v>990</v>
      </c>
      <c r="C93" s="757">
        <f>+C91+C92</f>
        <v>102216.78936605317</v>
      </c>
      <c r="D93" s="757">
        <f>+D91+D92</f>
        <v>97276.068965517246</v>
      </c>
      <c r="E93" s="757">
        <f>+E91+E92</f>
        <v>91821.744791666657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991</v>
      </c>
      <c r="B95" s="745" t="s">
        <v>992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993</v>
      </c>
      <c r="C96" s="752">
        <f>IF(C82=0,0,C69/C82)</f>
        <v>68694.45970500214</v>
      </c>
      <c r="D96" s="752">
        <f>IF(D82=0,0,D69/D82)</f>
        <v>76647.493946731236</v>
      </c>
      <c r="E96" s="752">
        <f>IF(E82=0,0,E69/E82)</f>
        <v>72225.553982300888</v>
      </c>
    </row>
    <row r="97" spans="1:5" ht="26.1" customHeight="1" x14ac:dyDescent="0.25">
      <c r="A97" s="742">
        <v>2</v>
      </c>
      <c r="B97" s="743" t="s">
        <v>994</v>
      </c>
      <c r="C97" s="752">
        <f>IF(C82=0,0,C70/C82)</f>
        <v>23857.17454040188</v>
      </c>
      <c r="D97" s="752">
        <f>IF(D82=0,0,D70/D82)</f>
        <v>26428.949613743804</v>
      </c>
      <c r="E97" s="752">
        <f>IF(E82=0,0,E70/E82)</f>
        <v>18445.124483775809</v>
      </c>
    </row>
    <row r="98" spans="1:5" ht="26.1" customHeight="1" x14ac:dyDescent="0.25">
      <c r="A98" s="753">
        <v>3</v>
      </c>
      <c r="B98" s="754" t="s">
        <v>995</v>
      </c>
      <c r="C98" s="757">
        <f>+C96+C97</f>
        <v>92551.634245404013</v>
      </c>
      <c r="D98" s="757">
        <f>+D96+D97</f>
        <v>103076.44356047505</v>
      </c>
      <c r="E98" s="757">
        <f>+E96+E97</f>
        <v>90670.678466076701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996</v>
      </c>
      <c r="B100" s="745" t="s">
        <v>997</v>
      </c>
    </row>
    <row r="101" spans="1:5" ht="26.1" customHeight="1" x14ac:dyDescent="0.25">
      <c r="A101" s="742">
        <v>1</v>
      </c>
      <c r="B101" s="743" t="s">
        <v>998</v>
      </c>
      <c r="C101" s="744">
        <f>IF(C83=0,0,C75/C83)</f>
        <v>76442.242553024043</v>
      </c>
      <c r="D101" s="744">
        <f>IF(D83=0,0,D75/D83)</f>
        <v>79662.490120221322</v>
      </c>
      <c r="E101" s="744">
        <f>IF(E83=0,0,E75/E83)</f>
        <v>80719.213345188196</v>
      </c>
    </row>
    <row r="102" spans="1:5" ht="26.1" customHeight="1" x14ac:dyDescent="0.25">
      <c r="A102" s="742">
        <v>2</v>
      </c>
      <c r="B102" s="743" t="s">
        <v>999</v>
      </c>
      <c r="C102" s="761">
        <f>IF(C83=0,0,C76/C83)</f>
        <v>26547.933341203319</v>
      </c>
      <c r="D102" s="761">
        <f>IF(D83=0,0,D76/D83)</f>
        <v>27508.193352468908</v>
      </c>
      <c r="E102" s="761">
        <f>IF(E83=0,0,E76/E83)</f>
        <v>20614.254625513357</v>
      </c>
    </row>
    <row r="103" spans="1:5" ht="26.1" customHeight="1" x14ac:dyDescent="0.25">
      <c r="A103" s="753">
        <v>3</v>
      </c>
      <c r="B103" s="754" t="s">
        <v>997</v>
      </c>
      <c r="C103" s="757">
        <f>+C101+C102</f>
        <v>102990.17589422736</v>
      </c>
      <c r="D103" s="757">
        <f>+D101+D102</f>
        <v>107170.68347269023</v>
      </c>
      <c r="E103" s="757">
        <f>+E101+E102</f>
        <v>101333.46797070155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1000</v>
      </c>
      <c r="B107" s="736" t="s">
        <v>1001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1002</v>
      </c>
      <c r="C108" s="744">
        <f>IF(C19=0,0,C77/C19)</f>
        <v>2707.6434002669066</v>
      </c>
      <c r="D108" s="744">
        <f>IF(D19=0,0,D77/D19)</f>
        <v>2799.9957178567547</v>
      </c>
      <c r="E108" s="744">
        <f>IF(E19=0,0,E77/E19)</f>
        <v>2630.0178895201257</v>
      </c>
    </row>
    <row r="109" spans="1:5" ht="26.1" customHeight="1" x14ac:dyDescent="0.25">
      <c r="A109" s="742">
        <v>2</v>
      </c>
      <c r="B109" s="743" t="s">
        <v>1003</v>
      </c>
      <c r="C109" s="744">
        <f>IF(C20=0,0,C77/C20)</f>
        <v>12605.545152434619</v>
      </c>
      <c r="D109" s="744">
        <f>IF(D20=0,0,D77/D20)</f>
        <v>13098.820724018711</v>
      </c>
      <c r="E109" s="744">
        <f>IF(E20=0,0,E77/E20)</f>
        <v>12894.058722120461</v>
      </c>
    </row>
    <row r="110" spans="1:5" ht="26.1" customHeight="1" x14ac:dyDescent="0.25">
      <c r="A110" s="742">
        <v>3</v>
      </c>
      <c r="B110" s="743" t="s">
        <v>1004</v>
      </c>
      <c r="C110" s="744">
        <f>IF(C22=0,0,C77/C22)</f>
        <v>1324.0244134832981</v>
      </c>
      <c r="D110" s="744">
        <f>IF(D22=0,0,D77/D22)</f>
        <v>1294.0517033430331</v>
      </c>
      <c r="E110" s="744">
        <f>IF(E22=0,0,E77/E22)</f>
        <v>1191.6349537780177</v>
      </c>
    </row>
    <row r="111" spans="1:5" ht="26.1" customHeight="1" x14ac:dyDescent="0.25">
      <c r="A111" s="742">
        <v>4</v>
      </c>
      <c r="B111" s="743" t="s">
        <v>1005</v>
      </c>
      <c r="C111" s="744">
        <f>IF(C23=0,0,C77/C23)</f>
        <v>6164.0500833471096</v>
      </c>
      <c r="D111" s="744">
        <f>IF(D23=0,0,D77/D23)</f>
        <v>6053.7775688729143</v>
      </c>
      <c r="E111" s="744">
        <f>IF(E23=0,0,E77/E23)</f>
        <v>5842.1697930536011</v>
      </c>
    </row>
    <row r="112" spans="1:5" ht="26.1" customHeight="1" x14ac:dyDescent="0.25">
      <c r="A112" s="742">
        <v>5</v>
      </c>
      <c r="B112" s="743" t="s">
        <v>1006</v>
      </c>
      <c r="C112" s="744">
        <f>IF(C29=0,0,C77/C29)</f>
        <v>1074.5869302302285</v>
      </c>
      <c r="D112" s="744">
        <f>IF(D29=0,0,D77/D29)</f>
        <v>1059.4309750058633</v>
      </c>
      <c r="E112" s="744">
        <f>IF(E29=0,0,E77/E29)</f>
        <v>896.20996042607703</v>
      </c>
    </row>
    <row r="113" spans="1:7" ht="25.5" customHeight="1" x14ac:dyDescent="0.25">
      <c r="A113" s="742">
        <v>6</v>
      </c>
      <c r="B113" s="743" t="s">
        <v>1007</v>
      </c>
      <c r="C113" s="744">
        <f>IF(C30=0,0,C77/C30)</f>
        <v>5002.7836264915759</v>
      </c>
      <c r="D113" s="744">
        <f>IF(D30=0,0,D77/D30)</f>
        <v>4956.1848693456113</v>
      </c>
      <c r="E113" s="744">
        <f>IF(E30=0,0,E77/E30)</f>
        <v>4393.8042791000053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scale="68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1177078060</v>
      </c>
      <c r="D12" s="76">
        <v>1231890672</v>
      </c>
      <c r="E12" s="76">
        <f t="shared" ref="E12:E21" si="0">D12-C12</f>
        <v>54812612</v>
      </c>
      <c r="F12" s="77">
        <f t="shared" ref="F12:F21" si="1">IF(C12=0,0,E12/C12)</f>
        <v>4.6566675450564428E-2</v>
      </c>
    </row>
    <row r="13" spans="1:8" ht="23.1" customHeight="1" x14ac:dyDescent="0.2">
      <c r="A13" s="74">
        <v>2</v>
      </c>
      <c r="B13" s="75" t="s">
        <v>72</v>
      </c>
      <c r="C13" s="76">
        <v>641272278</v>
      </c>
      <c r="D13" s="76">
        <v>699965012</v>
      </c>
      <c r="E13" s="76">
        <f t="shared" si="0"/>
        <v>58692734</v>
      </c>
      <c r="F13" s="77">
        <f t="shared" si="1"/>
        <v>9.1525450286188734E-2</v>
      </c>
    </row>
    <row r="14" spans="1:8" ht="23.1" customHeight="1" x14ac:dyDescent="0.2">
      <c r="A14" s="74">
        <v>3</v>
      </c>
      <c r="B14" s="75" t="s">
        <v>73</v>
      </c>
      <c r="C14" s="76">
        <v>13969782</v>
      </c>
      <c r="D14" s="76">
        <v>12948351</v>
      </c>
      <c r="E14" s="76">
        <f t="shared" si="0"/>
        <v>-1021431</v>
      </c>
      <c r="F14" s="77">
        <f t="shared" si="1"/>
        <v>-7.3117175343180019E-2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521836000</v>
      </c>
      <c r="D16" s="79">
        <f>D12-D13-D14-D15</f>
        <v>518977309</v>
      </c>
      <c r="E16" s="79">
        <f t="shared" si="0"/>
        <v>-2858691</v>
      </c>
      <c r="F16" s="80">
        <f t="shared" si="1"/>
        <v>-5.4781406418874896E-3</v>
      </c>
    </row>
    <row r="17" spans="1:7" ht="23.1" customHeight="1" x14ac:dyDescent="0.2">
      <c r="A17" s="74">
        <v>5</v>
      </c>
      <c r="B17" s="75" t="s">
        <v>76</v>
      </c>
      <c r="C17" s="76">
        <v>0</v>
      </c>
      <c r="D17" s="76">
        <v>17114070</v>
      </c>
      <c r="E17" s="76">
        <f t="shared" si="0"/>
        <v>17114070</v>
      </c>
      <c r="F17" s="77">
        <f t="shared" si="1"/>
        <v>0</v>
      </c>
      <c r="G17" s="65"/>
    </row>
    <row r="18" spans="1:7" ht="31.5" customHeight="1" x14ac:dyDescent="0.25">
      <c r="A18" s="71"/>
      <c r="B18" s="81" t="s">
        <v>77</v>
      </c>
      <c r="C18" s="79">
        <f>C16-C17</f>
        <v>521836000</v>
      </c>
      <c r="D18" s="79">
        <f>D16-D17</f>
        <v>501863239</v>
      </c>
      <c r="E18" s="79">
        <f t="shared" si="0"/>
        <v>-19972761</v>
      </c>
      <c r="F18" s="80">
        <f t="shared" si="1"/>
        <v>-3.8274019040464818E-2</v>
      </c>
    </row>
    <row r="19" spans="1:7" ht="23.1" customHeight="1" x14ac:dyDescent="0.2">
      <c r="A19" s="74">
        <v>6</v>
      </c>
      <c r="B19" s="75" t="s">
        <v>78</v>
      </c>
      <c r="C19" s="76">
        <v>22126583</v>
      </c>
      <c r="D19" s="76">
        <v>13159391</v>
      </c>
      <c r="E19" s="76">
        <f t="shared" si="0"/>
        <v>-8967192</v>
      </c>
      <c r="F19" s="77">
        <f t="shared" si="1"/>
        <v>-0.40526781744836066</v>
      </c>
      <c r="G19" s="65"/>
    </row>
    <row r="20" spans="1:7" ht="33" customHeight="1" x14ac:dyDescent="0.2">
      <c r="A20" s="74">
        <v>7</v>
      </c>
      <c r="B20" s="82" t="s">
        <v>79</v>
      </c>
      <c r="C20" s="76">
        <v>0</v>
      </c>
      <c r="D20" s="76">
        <v>0</v>
      </c>
      <c r="E20" s="76">
        <f t="shared" si="0"/>
        <v>0</v>
      </c>
      <c r="F20" s="77">
        <f t="shared" si="1"/>
        <v>0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543962583</v>
      </c>
      <c r="D21" s="79">
        <f>SUM(D18:D20)</f>
        <v>515022630</v>
      </c>
      <c r="E21" s="79">
        <f t="shared" si="0"/>
        <v>-28939953</v>
      </c>
      <c r="F21" s="80">
        <f t="shared" si="1"/>
        <v>-5.3202102321806201E-2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191500660</v>
      </c>
      <c r="D24" s="76">
        <v>190650710</v>
      </c>
      <c r="E24" s="76">
        <f t="shared" ref="E24:E33" si="2">D24-C24</f>
        <v>-849950</v>
      </c>
      <c r="F24" s="77">
        <f t="shared" ref="F24:F33" si="3">IF(C24=0,0,E24/C24)</f>
        <v>-4.4383659043263869E-3</v>
      </c>
    </row>
    <row r="25" spans="1:7" ht="23.1" customHeight="1" x14ac:dyDescent="0.2">
      <c r="A25" s="74">
        <v>2</v>
      </c>
      <c r="B25" s="75" t="s">
        <v>83</v>
      </c>
      <c r="C25" s="76">
        <v>66126946</v>
      </c>
      <c r="D25" s="76">
        <v>48688808</v>
      </c>
      <c r="E25" s="76">
        <f t="shared" si="2"/>
        <v>-17438138</v>
      </c>
      <c r="F25" s="77">
        <f t="shared" si="3"/>
        <v>-0.26370699170047868</v>
      </c>
    </row>
    <row r="26" spans="1:7" ht="23.1" customHeight="1" x14ac:dyDescent="0.2">
      <c r="A26" s="74">
        <v>3</v>
      </c>
      <c r="B26" s="75" t="s">
        <v>84</v>
      </c>
      <c r="C26" s="76">
        <v>55286603</v>
      </c>
      <c r="D26" s="76">
        <v>58191711</v>
      </c>
      <c r="E26" s="76">
        <f t="shared" si="2"/>
        <v>2905108</v>
      </c>
      <c r="F26" s="77">
        <f t="shared" si="3"/>
        <v>5.2546328447779657E-2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71979213</v>
      </c>
      <c r="D27" s="76">
        <v>73713686</v>
      </c>
      <c r="E27" s="76">
        <f t="shared" si="2"/>
        <v>1734473</v>
      </c>
      <c r="F27" s="77">
        <f t="shared" si="3"/>
        <v>2.4096859741992455E-2</v>
      </c>
    </row>
    <row r="28" spans="1:7" ht="23.1" customHeight="1" x14ac:dyDescent="0.2">
      <c r="A28" s="74">
        <v>5</v>
      </c>
      <c r="B28" s="75" t="s">
        <v>86</v>
      </c>
      <c r="C28" s="76">
        <v>31663499</v>
      </c>
      <c r="D28" s="76">
        <v>30033213</v>
      </c>
      <c r="E28" s="76">
        <f t="shared" si="2"/>
        <v>-1630286</v>
      </c>
      <c r="F28" s="77">
        <f t="shared" si="3"/>
        <v>-5.1487866202026507E-2</v>
      </c>
    </row>
    <row r="29" spans="1:7" ht="23.1" customHeight="1" x14ac:dyDescent="0.2">
      <c r="A29" s="74">
        <v>6</v>
      </c>
      <c r="B29" s="75" t="s">
        <v>87</v>
      </c>
      <c r="C29" s="76">
        <v>19413218</v>
      </c>
      <c r="D29" s="76">
        <v>0</v>
      </c>
      <c r="E29" s="76">
        <f t="shared" si="2"/>
        <v>-19413218</v>
      </c>
      <c r="F29" s="77">
        <f t="shared" si="3"/>
        <v>-1</v>
      </c>
    </row>
    <row r="30" spans="1:7" ht="23.1" customHeight="1" x14ac:dyDescent="0.2">
      <c r="A30" s="74">
        <v>7</v>
      </c>
      <c r="B30" s="75" t="s">
        <v>88</v>
      </c>
      <c r="C30" s="76">
        <v>4156056</v>
      </c>
      <c r="D30" s="76">
        <v>3984131</v>
      </c>
      <c r="E30" s="76">
        <f t="shared" si="2"/>
        <v>-171925</v>
      </c>
      <c r="F30" s="77">
        <f t="shared" si="3"/>
        <v>-4.1367344424617952E-2</v>
      </c>
    </row>
    <row r="31" spans="1:7" ht="23.1" customHeight="1" x14ac:dyDescent="0.2">
      <c r="A31" s="74">
        <v>8</v>
      </c>
      <c r="B31" s="75" t="s">
        <v>89</v>
      </c>
      <c r="C31" s="76">
        <v>6798516</v>
      </c>
      <c r="D31" s="76">
        <v>5581123</v>
      </c>
      <c r="E31" s="76">
        <f t="shared" si="2"/>
        <v>-1217393</v>
      </c>
      <c r="F31" s="77">
        <f t="shared" si="3"/>
        <v>-0.17906746119300154</v>
      </c>
    </row>
    <row r="32" spans="1:7" ht="23.1" customHeight="1" x14ac:dyDescent="0.2">
      <c r="A32" s="74">
        <v>9</v>
      </c>
      <c r="B32" s="75" t="s">
        <v>90</v>
      </c>
      <c r="C32" s="76">
        <v>67872485</v>
      </c>
      <c r="D32" s="76">
        <v>75725212</v>
      </c>
      <c r="E32" s="76">
        <f t="shared" si="2"/>
        <v>7852727</v>
      </c>
      <c r="F32" s="77">
        <f t="shared" si="3"/>
        <v>0.11569823913180724</v>
      </c>
    </row>
    <row r="33" spans="1:6" ht="23.1" customHeight="1" x14ac:dyDescent="0.25">
      <c r="A33" s="71"/>
      <c r="B33" s="78" t="s">
        <v>91</v>
      </c>
      <c r="C33" s="79">
        <f>SUM(C24:C32)</f>
        <v>514797196</v>
      </c>
      <c r="D33" s="79">
        <f>SUM(D24:D32)</f>
        <v>486568594</v>
      </c>
      <c r="E33" s="79">
        <f t="shared" si="2"/>
        <v>-28228602</v>
      </c>
      <c r="F33" s="80">
        <f t="shared" si="3"/>
        <v>-5.4834412889847986E-2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29165387</v>
      </c>
      <c r="D35" s="79">
        <f>+D21-D33</f>
        <v>28454036</v>
      </c>
      <c r="E35" s="79">
        <f>D35-C35</f>
        <v>-711351</v>
      </c>
      <c r="F35" s="80">
        <f>IF(C35=0,0,E35/C35)</f>
        <v>-2.4390247247533522E-2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21639149</v>
      </c>
      <c r="D38" s="76">
        <v>9981243</v>
      </c>
      <c r="E38" s="76">
        <f>D38-C38</f>
        <v>-11657906</v>
      </c>
      <c r="F38" s="77">
        <f>IF(C38=0,0,E38/C38)</f>
        <v>-0.53874142647661416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2571725</v>
      </c>
      <c r="D40" s="76">
        <v>206244</v>
      </c>
      <c r="E40" s="76">
        <f>D40-C40</f>
        <v>-2365481</v>
      </c>
      <c r="F40" s="77">
        <f>IF(C40=0,0,E40/C40)</f>
        <v>-0.91980324490371246</v>
      </c>
    </row>
    <row r="41" spans="1:6" ht="23.1" customHeight="1" x14ac:dyDescent="0.25">
      <c r="A41" s="83"/>
      <c r="B41" s="78" t="s">
        <v>97</v>
      </c>
      <c r="C41" s="79">
        <f>SUM(C38:C40)</f>
        <v>24210874</v>
      </c>
      <c r="D41" s="79">
        <f>SUM(D38:D40)</f>
        <v>10187487</v>
      </c>
      <c r="E41" s="79">
        <f>D41-C41</f>
        <v>-14023387</v>
      </c>
      <c r="F41" s="80">
        <f>IF(C41=0,0,E41/C41)</f>
        <v>-0.57921853626597697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53376261</v>
      </c>
      <c r="D43" s="79">
        <f>D35+D41</f>
        <v>38641523</v>
      </c>
      <c r="E43" s="79">
        <f>D43-C43</f>
        <v>-14734738</v>
      </c>
      <c r="F43" s="80">
        <f>IF(C43=0,0,E43/C43)</f>
        <v>-0.27605414324544014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53376261</v>
      </c>
      <c r="D50" s="79">
        <f>D43+D48</f>
        <v>38641523</v>
      </c>
      <c r="E50" s="79">
        <f>D50-C50</f>
        <v>-14734738</v>
      </c>
      <c r="F50" s="80">
        <f>IF(C50=0,0,E50/C50)</f>
        <v>-0.27605414324544014</v>
      </c>
    </row>
    <row r="51" spans="1:6" ht="23.1" customHeight="1" x14ac:dyDescent="0.2">
      <c r="A51" s="85"/>
      <c r="B51" s="75" t="s">
        <v>104</v>
      </c>
      <c r="C51" s="76">
        <v>43360000</v>
      </c>
      <c r="D51" s="76">
        <v>1555000</v>
      </c>
      <c r="E51" s="76">
        <f>D51-C51</f>
        <v>-41805000</v>
      </c>
      <c r="F51" s="77">
        <f>IF(C51=0,0,E51/C51)</f>
        <v>-0.96413745387453875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/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69" t="s">
        <v>0</v>
      </c>
      <c r="B2" s="769"/>
      <c r="C2" s="769"/>
      <c r="D2" s="769"/>
      <c r="E2" s="769"/>
      <c r="F2" s="769"/>
    </row>
    <row r="3" spans="1:6" ht="15.75" customHeight="1" x14ac:dyDescent="0.25">
      <c r="A3" s="769" t="s">
        <v>1</v>
      </c>
      <c r="B3" s="769"/>
      <c r="C3" s="769"/>
      <c r="D3" s="769"/>
      <c r="E3" s="769"/>
      <c r="F3" s="769"/>
    </row>
    <row r="4" spans="1:6" ht="15.75" customHeight="1" x14ac:dyDescent="0.25">
      <c r="A4" s="769" t="s">
        <v>2</v>
      </c>
      <c r="B4" s="769"/>
      <c r="C4" s="769"/>
      <c r="D4" s="769"/>
      <c r="E4" s="769"/>
      <c r="F4" s="769"/>
    </row>
    <row r="5" spans="1:6" ht="15.75" customHeight="1" x14ac:dyDescent="0.25">
      <c r="A5" s="769" t="s">
        <v>105</v>
      </c>
      <c r="B5" s="769"/>
      <c r="C5" s="769"/>
      <c r="D5" s="769"/>
      <c r="E5" s="769"/>
      <c r="F5" s="76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70"/>
      <c r="D9" s="771"/>
      <c r="E9" s="771"/>
      <c r="F9" s="772"/>
    </row>
    <row r="10" spans="1:6" x14ac:dyDescent="0.2">
      <c r="A10" s="773" t="s">
        <v>12</v>
      </c>
      <c r="B10" s="775" t="s">
        <v>111</v>
      </c>
      <c r="C10" s="777"/>
      <c r="D10" s="778"/>
      <c r="E10" s="778"/>
      <c r="F10" s="779"/>
    </row>
    <row r="11" spans="1:6" x14ac:dyDescent="0.2">
      <c r="A11" s="774"/>
      <c r="B11" s="776"/>
      <c r="C11" s="780"/>
      <c r="D11" s="781"/>
      <c r="E11" s="781"/>
      <c r="F11" s="782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257261386</v>
      </c>
      <c r="D14" s="113">
        <v>263485490</v>
      </c>
      <c r="E14" s="113">
        <f t="shared" ref="E14:E25" si="0">D14-C14</f>
        <v>6224104</v>
      </c>
      <c r="F14" s="114">
        <f t="shared" ref="F14:F25" si="1">IF(C14=0,0,E14/C14)</f>
        <v>2.4193696911824925E-2</v>
      </c>
    </row>
    <row r="15" spans="1:6" x14ac:dyDescent="0.2">
      <c r="A15" s="115">
        <v>2</v>
      </c>
      <c r="B15" s="116" t="s">
        <v>114</v>
      </c>
      <c r="C15" s="113">
        <v>29619519</v>
      </c>
      <c r="D15" s="113">
        <v>34806514</v>
      </c>
      <c r="E15" s="113">
        <f t="shared" si="0"/>
        <v>5186995</v>
      </c>
      <c r="F15" s="114">
        <f t="shared" si="1"/>
        <v>0.17512083839038708</v>
      </c>
    </row>
    <row r="16" spans="1:6" x14ac:dyDescent="0.2">
      <c r="A16" s="115">
        <v>3</v>
      </c>
      <c r="B16" s="116" t="s">
        <v>115</v>
      </c>
      <c r="C16" s="113">
        <v>67345114</v>
      </c>
      <c r="D16" s="113">
        <v>76554491</v>
      </c>
      <c r="E16" s="113">
        <f t="shared" si="0"/>
        <v>9209377</v>
      </c>
      <c r="F16" s="114">
        <f t="shared" si="1"/>
        <v>0.13674900008336166</v>
      </c>
    </row>
    <row r="17" spans="1:6" x14ac:dyDescent="0.2">
      <c r="A17" s="115">
        <v>4</v>
      </c>
      <c r="B17" s="116" t="s">
        <v>116</v>
      </c>
      <c r="C17" s="113">
        <v>5395221</v>
      </c>
      <c r="D17" s="113">
        <v>0</v>
      </c>
      <c r="E17" s="113">
        <f t="shared" si="0"/>
        <v>-5395221</v>
      </c>
      <c r="F17" s="114">
        <f t="shared" si="1"/>
        <v>-1</v>
      </c>
    </row>
    <row r="18" spans="1:6" x14ac:dyDescent="0.2">
      <c r="A18" s="115">
        <v>5</v>
      </c>
      <c r="B18" s="116" t="s">
        <v>117</v>
      </c>
      <c r="C18" s="113">
        <v>494495</v>
      </c>
      <c r="D18" s="113">
        <v>545231</v>
      </c>
      <c r="E18" s="113">
        <f t="shared" si="0"/>
        <v>50736</v>
      </c>
      <c r="F18" s="114">
        <f t="shared" si="1"/>
        <v>0.10260164410155816</v>
      </c>
    </row>
    <row r="19" spans="1:6" x14ac:dyDescent="0.2">
      <c r="A19" s="115">
        <v>6</v>
      </c>
      <c r="B19" s="116" t="s">
        <v>118</v>
      </c>
      <c r="C19" s="113">
        <v>82742019</v>
      </c>
      <c r="D19" s="113">
        <v>83271063</v>
      </c>
      <c r="E19" s="113">
        <f t="shared" si="0"/>
        <v>529044</v>
      </c>
      <c r="F19" s="114">
        <f t="shared" si="1"/>
        <v>6.3938976398436684E-3</v>
      </c>
    </row>
    <row r="20" spans="1:6" x14ac:dyDescent="0.2">
      <c r="A20" s="115">
        <v>7</v>
      </c>
      <c r="B20" s="116" t="s">
        <v>119</v>
      </c>
      <c r="C20" s="113">
        <v>90329985</v>
      </c>
      <c r="D20" s="113">
        <v>90282445</v>
      </c>
      <c r="E20" s="113">
        <f t="shared" si="0"/>
        <v>-47540</v>
      </c>
      <c r="F20" s="114">
        <f t="shared" si="1"/>
        <v>-5.2629257051243833E-4</v>
      </c>
    </row>
    <row r="21" spans="1:6" x14ac:dyDescent="0.2">
      <c r="A21" s="115">
        <v>8</v>
      </c>
      <c r="B21" s="116" t="s">
        <v>120</v>
      </c>
      <c r="C21" s="113">
        <v>3664659</v>
      </c>
      <c r="D21" s="113">
        <v>2634198</v>
      </c>
      <c r="E21" s="113">
        <f t="shared" si="0"/>
        <v>-1030461</v>
      </c>
      <c r="F21" s="114">
        <f t="shared" si="1"/>
        <v>-0.28118878182117352</v>
      </c>
    </row>
    <row r="22" spans="1:6" x14ac:dyDescent="0.2">
      <c r="A22" s="115">
        <v>9</v>
      </c>
      <c r="B22" s="116" t="s">
        <v>121</v>
      </c>
      <c r="C22" s="113">
        <v>6349011</v>
      </c>
      <c r="D22" s="113">
        <v>5494250</v>
      </c>
      <c r="E22" s="113">
        <f t="shared" si="0"/>
        <v>-854761</v>
      </c>
      <c r="F22" s="114">
        <f t="shared" si="1"/>
        <v>-0.13462899969774819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799376</v>
      </c>
      <c r="D24" s="113">
        <v>1083732</v>
      </c>
      <c r="E24" s="113">
        <f t="shared" si="0"/>
        <v>284356</v>
      </c>
      <c r="F24" s="114">
        <f t="shared" si="1"/>
        <v>0.35572246352154679</v>
      </c>
    </row>
    <row r="25" spans="1:6" ht="15.75" x14ac:dyDescent="0.25">
      <c r="A25" s="117"/>
      <c r="B25" s="118" t="s">
        <v>124</v>
      </c>
      <c r="C25" s="119">
        <f>SUM(C14:C24)</f>
        <v>544000785</v>
      </c>
      <c r="D25" s="119">
        <f>SUM(D14:D24)</f>
        <v>558157414</v>
      </c>
      <c r="E25" s="119">
        <f t="shared" si="0"/>
        <v>14156629</v>
      </c>
      <c r="F25" s="120">
        <f t="shared" si="1"/>
        <v>2.6023177521701555E-2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197024655</v>
      </c>
      <c r="D27" s="113">
        <v>206906562</v>
      </c>
      <c r="E27" s="113">
        <f t="shared" ref="E27:E38" si="2">D27-C27</f>
        <v>9881907</v>
      </c>
      <c r="F27" s="114">
        <f t="shared" ref="F27:F38" si="3">IF(C27=0,0,E27/C27)</f>
        <v>5.0155687368162123E-2</v>
      </c>
    </row>
    <row r="28" spans="1:6" x14ac:dyDescent="0.2">
      <c r="A28" s="115">
        <v>2</v>
      </c>
      <c r="B28" s="116" t="s">
        <v>114</v>
      </c>
      <c r="C28" s="113">
        <v>24831238</v>
      </c>
      <c r="D28" s="113">
        <v>33560478</v>
      </c>
      <c r="E28" s="113">
        <f t="shared" si="2"/>
        <v>8729240</v>
      </c>
      <c r="F28" s="114">
        <f t="shared" si="3"/>
        <v>0.35154268184292703</v>
      </c>
    </row>
    <row r="29" spans="1:6" x14ac:dyDescent="0.2">
      <c r="A29" s="115">
        <v>3</v>
      </c>
      <c r="B29" s="116" t="s">
        <v>115</v>
      </c>
      <c r="C29" s="113">
        <v>62332606</v>
      </c>
      <c r="D29" s="113">
        <v>82631036</v>
      </c>
      <c r="E29" s="113">
        <f t="shared" si="2"/>
        <v>20298430</v>
      </c>
      <c r="F29" s="114">
        <f t="shared" si="3"/>
        <v>0.32564706182828296</v>
      </c>
    </row>
    <row r="30" spans="1:6" x14ac:dyDescent="0.2">
      <c r="A30" s="115">
        <v>4</v>
      </c>
      <c r="B30" s="116" t="s">
        <v>116</v>
      </c>
      <c r="C30" s="113">
        <v>8800766</v>
      </c>
      <c r="D30" s="113">
        <v>0</v>
      </c>
      <c r="E30" s="113">
        <f t="shared" si="2"/>
        <v>-8800766</v>
      </c>
      <c r="F30" s="114">
        <f t="shared" si="3"/>
        <v>-1</v>
      </c>
    </row>
    <row r="31" spans="1:6" x14ac:dyDescent="0.2">
      <c r="A31" s="115">
        <v>5</v>
      </c>
      <c r="B31" s="116" t="s">
        <v>117</v>
      </c>
      <c r="C31" s="113">
        <v>987989</v>
      </c>
      <c r="D31" s="113">
        <v>869852</v>
      </c>
      <c r="E31" s="113">
        <f t="shared" si="2"/>
        <v>-118137</v>
      </c>
      <c r="F31" s="114">
        <f t="shared" si="3"/>
        <v>-0.11957319362867401</v>
      </c>
    </row>
    <row r="32" spans="1:6" x14ac:dyDescent="0.2">
      <c r="A32" s="115">
        <v>6</v>
      </c>
      <c r="B32" s="116" t="s">
        <v>118</v>
      </c>
      <c r="C32" s="113">
        <v>151844482</v>
      </c>
      <c r="D32" s="113">
        <v>154463515</v>
      </c>
      <c r="E32" s="113">
        <f t="shared" si="2"/>
        <v>2619033</v>
      </c>
      <c r="F32" s="114">
        <f t="shared" si="3"/>
        <v>1.7248127594126205E-2</v>
      </c>
    </row>
    <row r="33" spans="1:6" x14ac:dyDescent="0.2">
      <c r="A33" s="115">
        <v>7</v>
      </c>
      <c r="B33" s="116" t="s">
        <v>119</v>
      </c>
      <c r="C33" s="113">
        <v>150929028</v>
      </c>
      <c r="D33" s="113">
        <v>160059768</v>
      </c>
      <c r="E33" s="113">
        <f t="shared" si="2"/>
        <v>9130740</v>
      </c>
      <c r="F33" s="114">
        <f t="shared" si="3"/>
        <v>6.0496911170725885E-2</v>
      </c>
    </row>
    <row r="34" spans="1:6" x14ac:dyDescent="0.2">
      <c r="A34" s="115">
        <v>8</v>
      </c>
      <c r="B34" s="116" t="s">
        <v>120</v>
      </c>
      <c r="C34" s="113">
        <v>5002982</v>
      </c>
      <c r="D34" s="113">
        <v>5677411</v>
      </c>
      <c r="E34" s="113">
        <f t="shared" si="2"/>
        <v>674429</v>
      </c>
      <c r="F34" s="114">
        <f t="shared" si="3"/>
        <v>0.13480540205821248</v>
      </c>
    </row>
    <row r="35" spans="1:6" x14ac:dyDescent="0.2">
      <c r="A35" s="115">
        <v>9</v>
      </c>
      <c r="B35" s="116" t="s">
        <v>121</v>
      </c>
      <c r="C35" s="113">
        <v>30198901</v>
      </c>
      <c r="D35" s="113">
        <v>28950356</v>
      </c>
      <c r="E35" s="113">
        <f t="shared" si="2"/>
        <v>-1248545</v>
      </c>
      <c r="F35" s="114">
        <f t="shared" si="3"/>
        <v>-4.1344054209125028E-2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1124628</v>
      </c>
      <c r="D37" s="113">
        <v>614280</v>
      </c>
      <c r="E37" s="113">
        <f t="shared" si="2"/>
        <v>-510348</v>
      </c>
      <c r="F37" s="114">
        <f t="shared" si="3"/>
        <v>-0.45379272079300886</v>
      </c>
    </row>
    <row r="38" spans="1:6" ht="15.75" x14ac:dyDescent="0.25">
      <c r="A38" s="117"/>
      <c r="B38" s="118" t="s">
        <v>126</v>
      </c>
      <c r="C38" s="119">
        <f>SUM(C27:C37)</f>
        <v>633077275</v>
      </c>
      <c r="D38" s="119">
        <f>SUM(D27:D37)</f>
        <v>673733258</v>
      </c>
      <c r="E38" s="119">
        <f t="shared" si="2"/>
        <v>40655983</v>
      </c>
      <c r="F38" s="120">
        <f t="shared" si="3"/>
        <v>6.4219621530404794E-2</v>
      </c>
    </row>
    <row r="39" spans="1:6" ht="15" customHeight="1" x14ac:dyDescent="0.2">
      <c r="A39" s="773" t="s">
        <v>127</v>
      </c>
      <c r="B39" s="775" t="s">
        <v>128</v>
      </c>
      <c r="C39" s="777"/>
      <c r="D39" s="778"/>
      <c r="E39" s="778"/>
      <c r="F39" s="779"/>
    </row>
    <row r="40" spans="1:6" ht="15" customHeight="1" x14ac:dyDescent="0.2">
      <c r="A40" s="774"/>
      <c r="B40" s="776"/>
      <c r="C40" s="780"/>
      <c r="D40" s="781"/>
      <c r="E40" s="781"/>
      <c r="F40" s="782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454286041</v>
      </c>
      <c r="D41" s="119">
        <f t="shared" si="4"/>
        <v>470392052</v>
      </c>
      <c r="E41" s="123">
        <f t="shared" ref="E41:E52" si="5">D41-C41</f>
        <v>16106011</v>
      </c>
      <c r="F41" s="124">
        <f t="shared" ref="F41:F52" si="6">IF(C41=0,0,E41/C41)</f>
        <v>3.5453457835830794E-2</v>
      </c>
    </row>
    <row r="42" spans="1:6" ht="15.75" x14ac:dyDescent="0.25">
      <c r="A42" s="121">
        <v>2</v>
      </c>
      <c r="B42" s="122" t="s">
        <v>114</v>
      </c>
      <c r="C42" s="119">
        <f t="shared" si="4"/>
        <v>54450757</v>
      </c>
      <c r="D42" s="119">
        <f t="shared" si="4"/>
        <v>68366992</v>
      </c>
      <c r="E42" s="123">
        <f t="shared" si="5"/>
        <v>13916235</v>
      </c>
      <c r="F42" s="124">
        <f t="shared" si="6"/>
        <v>0.25557468374590275</v>
      </c>
    </row>
    <row r="43" spans="1:6" ht="15.75" x14ac:dyDescent="0.25">
      <c r="A43" s="121">
        <v>3</v>
      </c>
      <c r="B43" s="122" t="s">
        <v>115</v>
      </c>
      <c r="C43" s="119">
        <f t="shared" si="4"/>
        <v>129677720</v>
      </c>
      <c r="D43" s="119">
        <f t="shared" si="4"/>
        <v>159185527</v>
      </c>
      <c r="E43" s="123">
        <f t="shared" si="5"/>
        <v>29507807</v>
      </c>
      <c r="F43" s="124">
        <f t="shared" si="6"/>
        <v>0.22754723787555797</v>
      </c>
    </row>
    <row r="44" spans="1:6" ht="15.75" x14ac:dyDescent="0.25">
      <c r="A44" s="121">
        <v>4</v>
      </c>
      <c r="B44" s="122" t="s">
        <v>116</v>
      </c>
      <c r="C44" s="119">
        <f t="shared" si="4"/>
        <v>14195987</v>
      </c>
      <c r="D44" s="119">
        <f t="shared" si="4"/>
        <v>0</v>
      </c>
      <c r="E44" s="123">
        <f t="shared" si="5"/>
        <v>-14195987</v>
      </c>
      <c r="F44" s="124">
        <f t="shared" si="6"/>
        <v>-1</v>
      </c>
    </row>
    <row r="45" spans="1:6" ht="15.75" x14ac:dyDescent="0.25">
      <c r="A45" s="121">
        <v>5</v>
      </c>
      <c r="B45" s="122" t="s">
        <v>117</v>
      </c>
      <c r="C45" s="119">
        <f t="shared" si="4"/>
        <v>1482484</v>
      </c>
      <c r="D45" s="119">
        <f t="shared" si="4"/>
        <v>1415083</v>
      </c>
      <c r="E45" s="123">
        <f t="shared" si="5"/>
        <v>-67401</v>
      </c>
      <c r="F45" s="124">
        <f t="shared" si="6"/>
        <v>-4.5464908896149972E-2</v>
      </c>
    </row>
    <row r="46" spans="1:6" ht="15.75" x14ac:dyDescent="0.25">
      <c r="A46" s="121">
        <v>6</v>
      </c>
      <c r="B46" s="122" t="s">
        <v>118</v>
      </c>
      <c r="C46" s="119">
        <f t="shared" si="4"/>
        <v>234586501</v>
      </c>
      <c r="D46" s="119">
        <f t="shared" si="4"/>
        <v>237734578</v>
      </c>
      <c r="E46" s="123">
        <f t="shared" si="5"/>
        <v>3148077</v>
      </c>
      <c r="F46" s="124">
        <f t="shared" si="6"/>
        <v>1.341968521880123E-2</v>
      </c>
    </row>
    <row r="47" spans="1:6" ht="15.75" x14ac:dyDescent="0.25">
      <c r="A47" s="121">
        <v>7</v>
      </c>
      <c r="B47" s="122" t="s">
        <v>119</v>
      </c>
      <c r="C47" s="119">
        <f t="shared" si="4"/>
        <v>241259013</v>
      </c>
      <c r="D47" s="119">
        <f t="shared" si="4"/>
        <v>250342213</v>
      </c>
      <c r="E47" s="123">
        <f t="shared" si="5"/>
        <v>9083200</v>
      </c>
      <c r="F47" s="124">
        <f t="shared" si="6"/>
        <v>3.764916339104811E-2</v>
      </c>
    </row>
    <row r="48" spans="1:6" ht="15.75" x14ac:dyDescent="0.25">
      <c r="A48" s="121">
        <v>8</v>
      </c>
      <c r="B48" s="122" t="s">
        <v>120</v>
      </c>
      <c r="C48" s="119">
        <f t="shared" si="4"/>
        <v>8667641</v>
      </c>
      <c r="D48" s="119">
        <f t="shared" si="4"/>
        <v>8311609</v>
      </c>
      <c r="E48" s="123">
        <f t="shared" si="5"/>
        <v>-356032</v>
      </c>
      <c r="F48" s="124">
        <f t="shared" si="6"/>
        <v>-4.1075997494589359E-2</v>
      </c>
    </row>
    <row r="49" spans="1:6" ht="15.75" x14ac:dyDescent="0.25">
      <c r="A49" s="121">
        <v>9</v>
      </c>
      <c r="B49" s="122" t="s">
        <v>121</v>
      </c>
      <c r="C49" s="119">
        <f t="shared" si="4"/>
        <v>36547912</v>
      </c>
      <c r="D49" s="119">
        <f t="shared" si="4"/>
        <v>34444606</v>
      </c>
      <c r="E49" s="123">
        <f t="shared" si="5"/>
        <v>-2103306</v>
      </c>
      <c r="F49" s="124">
        <f t="shared" si="6"/>
        <v>-5.7549279422583706E-2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1924004</v>
      </c>
      <c r="D51" s="119">
        <f t="shared" si="4"/>
        <v>1698012</v>
      </c>
      <c r="E51" s="123">
        <f t="shared" si="5"/>
        <v>-225992</v>
      </c>
      <c r="F51" s="124">
        <f t="shared" si="6"/>
        <v>-0.11745921526150674</v>
      </c>
    </row>
    <row r="52" spans="1:6" ht="18.75" customHeight="1" thickBot="1" x14ac:dyDescent="0.3">
      <c r="A52" s="125"/>
      <c r="B52" s="126" t="s">
        <v>128</v>
      </c>
      <c r="C52" s="127">
        <f>SUM(C41:C51)</f>
        <v>1177078060</v>
      </c>
      <c r="D52" s="128">
        <f>SUM(D41:D51)</f>
        <v>1231890672</v>
      </c>
      <c r="E52" s="127">
        <f t="shared" si="5"/>
        <v>54812612</v>
      </c>
      <c r="F52" s="129">
        <f t="shared" si="6"/>
        <v>4.6566675450564428E-2</v>
      </c>
    </row>
    <row r="53" spans="1:6" x14ac:dyDescent="0.2">
      <c r="A53" s="773" t="s">
        <v>44</v>
      </c>
      <c r="B53" s="775" t="s">
        <v>129</v>
      </c>
      <c r="C53" s="777"/>
      <c r="D53" s="778"/>
      <c r="E53" s="778"/>
      <c r="F53" s="779"/>
    </row>
    <row r="54" spans="1:6" ht="15" customHeight="1" x14ac:dyDescent="0.2">
      <c r="A54" s="774"/>
      <c r="B54" s="776"/>
      <c r="C54" s="780"/>
      <c r="D54" s="781"/>
      <c r="E54" s="781"/>
      <c r="F54" s="782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86964011</v>
      </c>
      <c r="D57" s="113">
        <v>86165813</v>
      </c>
      <c r="E57" s="113">
        <f t="shared" ref="E57:E68" si="7">D57-C57</f>
        <v>-798198</v>
      </c>
      <c r="F57" s="114">
        <f t="shared" ref="F57:F68" si="8">IF(C57=0,0,E57/C57)</f>
        <v>-9.1784864890833984E-3</v>
      </c>
    </row>
    <row r="58" spans="1:6" x14ac:dyDescent="0.2">
      <c r="A58" s="115">
        <v>2</v>
      </c>
      <c r="B58" s="116" t="s">
        <v>114</v>
      </c>
      <c r="C58" s="113">
        <v>9284752</v>
      </c>
      <c r="D58" s="113">
        <v>10865677</v>
      </c>
      <c r="E58" s="113">
        <f t="shared" si="7"/>
        <v>1580925</v>
      </c>
      <c r="F58" s="114">
        <f t="shared" si="8"/>
        <v>0.17027110686424365</v>
      </c>
    </row>
    <row r="59" spans="1:6" x14ac:dyDescent="0.2">
      <c r="A59" s="115">
        <v>3</v>
      </c>
      <c r="B59" s="116" t="s">
        <v>115</v>
      </c>
      <c r="C59" s="113">
        <v>17439366</v>
      </c>
      <c r="D59" s="113">
        <v>16870763</v>
      </c>
      <c r="E59" s="113">
        <f t="shared" si="7"/>
        <v>-568603</v>
      </c>
      <c r="F59" s="114">
        <f t="shared" si="8"/>
        <v>-3.2604568308274511E-2</v>
      </c>
    </row>
    <row r="60" spans="1:6" x14ac:dyDescent="0.2">
      <c r="A60" s="115">
        <v>4</v>
      </c>
      <c r="B60" s="116" t="s">
        <v>116</v>
      </c>
      <c r="C60" s="113">
        <v>684900</v>
      </c>
      <c r="D60" s="113">
        <v>0</v>
      </c>
      <c r="E60" s="113">
        <f t="shared" si="7"/>
        <v>-684900</v>
      </c>
      <c r="F60" s="114">
        <f t="shared" si="8"/>
        <v>-1</v>
      </c>
    </row>
    <row r="61" spans="1:6" x14ac:dyDescent="0.2">
      <c r="A61" s="115">
        <v>5</v>
      </c>
      <c r="B61" s="116" t="s">
        <v>117</v>
      </c>
      <c r="C61" s="113">
        <v>158895</v>
      </c>
      <c r="D61" s="113">
        <v>183218</v>
      </c>
      <c r="E61" s="113">
        <f t="shared" si="7"/>
        <v>24323</v>
      </c>
      <c r="F61" s="114">
        <f t="shared" si="8"/>
        <v>0.15307593064602409</v>
      </c>
    </row>
    <row r="62" spans="1:6" x14ac:dyDescent="0.2">
      <c r="A62" s="115">
        <v>6</v>
      </c>
      <c r="B62" s="116" t="s">
        <v>118</v>
      </c>
      <c r="C62" s="113">
        <v>47902443</v>
      </c>
      <c r="D62" s="113">
        <v>44362671</v>
      </c>
      <c r="E62" s="113">
        <f t="shared" si="7"/>
        <v>-3539772</v>
      </c>
      <c r="F62" s="114">
        <f t="shared" si="8"/>
        <v>-7.3895437858983518E-2</v>
      </c>
    </row>
    <row r="63" spans="1:6" x14ac:dyDescent="0.2">
      <c r="A63" s="115">
        <v>7</v>
      </c>
      <c r="B63" s="116" t="s">
        <v>119</v>
      </c>
      <c r="C63" s="113">
        <v>56299653</v>
      </c>
      <c r="D63" s="113">
        <v>58314614</v>
      </c>
      <c r="E63" s="113">
        <f t="shared" si="7"/>
        <v>2014961</v>
      </c>
      <c r="F63" s="114">
        <f t="shared" si="8"/>
        <v>3.5789936396233207E-2</v>
      </c>
    </row>
    <row r="64" spans="1:6" x14ac:dyDescent="0.2">
      <c r="A64" s="115">
        <v>8</v>
      </c>
      <c r="B64" s="116" t="s">
        <v>120</v>
      </c>
      <c r="C64" s="113">
        <v>2521139</v>
      </c>
      <c r="D64" s="113">
        <v>1812223</v>
      </c>
      <c r="E64" s="113">
        <f t="shared" si="7"/>
        <v>-708916</v>
      </c>
      <c r="F64" s="114">
        <f t="shared" si="8"/>
        <v>-0.28118878015055893</v>
      </c>
    </row>
    <row r="65" spans="1:6" x14ac:dyDescent="0.2">
      <c r="A65" s="115">
        <v>9</v>
      </c>
      <c r="B65" s="116" t="s">
        <v>121</v>
      </c>
      <c r="C65" s="113">
        <v>1343992</v>
      </c>
      <c r="D65" s="113">
        <v>1444587</v>
      </c>
      <c r="E65" s="113">
        <f t="shared" si="7"/>
        <v>100595</v>
      </c>
      <c r="F65" s="114">
        <f t="shared" si="8"/>
        <v>7.4847915761403344E-2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230040</v>
      </c>
      <c r="D67" s="113">
        <v>454694</v>
      </c>
      <c r="E67" s="113">
        <f t="shared" si="7"/>
        <v>224654</v>
      </c>
      <c r="F67" s="114">
        <f t="shared" si="8"/>
        <v>0.97658668057729092</v>
      </c>
    </row>
    <row r="68" spans="1:6" ht="15.75" x14ac:dyDescent="0.25">
      <c r="A68" s="117"/>
      <c r="B68" s="118" t="s">
        <v>131</v>
      </c>
      <c r="C68" s="119">
        <f>SUM(C57:C67)</f>
        <v>222829191</v>
      </c>
      <c r="D68" s="119">
        <f>SUM(D57:D67)</f>
        <v>220474260</v>
      </c>
      <c r="E68" s="119">
        <f t="shared" si="7"/>
        <v>-2354931</v>
      </c>
      <c r="F68" s="120">
        <f t="shared" si="8"/>
        <v>-1.0568323608911724E-2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66601733</v>
      </c>
      <c r="D70" s="113">
        <v>67663204</v>
      </c>
      <c r="E70" s="113">
        <f t="shared" ref="E70:E81" si="9">D70-C70</f>
        <v>1061471</v>
      </c>
      <c r="F70" s="114">
        <f t="shared" ref="F70:F81" si="10">IF(C70=0,0,E70/C70)</f>
        <v>1.5937588290683067E-2</v>
      </c>
    </row>
    <row r="71" spans="1:6" x14ac:dyDescent="0.2">
      <c r="A71" s="115">
        <v>2</v>
      </c>
      <c r="B71" s="116" t="s">
        <v>114</v>
      </c>
      <c r="C71" s="113">
        <v>7783782</v>
      </c>
      <c r="D71" s="113">
        <v>10476697</v>
      </c>
      <c r="E71" s="113">
        <f t="shared" si="9"/>
        <v>2692915</v>
      </c>
      <c r="F71" s="114">
        <f t="shared" si="10"/>
        <v>0.34596485358916784</v>
      </c>
    </row>
    <row r="72" spans="1:6" x14ac:dyDescent="0.2">
      <c r="A72" s="115">
        <v>3</v>
      </c>
      <c r="B72" s="116" t="s">
        <v>115</v>
      </c>
      <c r="C72" s="113">
        <v>16105372</v>
      </c>
      <c r="D72" s="113">
        <v>18209887</v>
      </c>
      <c r="E72" s="113">
        <f t="shared" si="9"/>
        <v>2104515</v>
      </c>
      <c r="F72" s="114">
        <f t="shared" si="10"/>
        <v>0.13067161689900736</v>
      </c>
    </row>
    <row r="73" spans="1:6" x14ac:dyDescent="0.2">
      <c r="A73" s="115">
        <v>4</v>
      </c>
      <c r="B73" s="116" t="s">
        <v>116</v>
      </c>
      <c r="C73" s="113">
        <v>1135195</v>
      </c>
      <c r="D73" s="113">
        <v>0</v>
      </c>
      <c r="E73" s="113">
        <f t="shared" si="9"/>
        <v>-1135195</v>
      </c>
      <c r="F73" s="114">
        <f t="shared" si="10"/>
        <v>-1</v>
      </c>
    </row>
    <row r="74" spans="1:6" x14ac:dyDescent="0.2">
      <c r="A74" s="115">
        <v>5</v>
      </c>
      <c r="B74" s="116" t="s">
        <v>117</v>
      </c>
      <c r="C74" s="113">
        <v>207161</v>
      </c>
      <c r="D74" s="113">
        <v>196969</v>
      </c>
      <c r="E74" s="113">
        <f t="shared" si="9"/>
        <v>-10192</v>
      </c>
      <c r="F74" s="114">
        <f t="shared" si="10"/>
        <v>-4.9198449515111438E-2</v>
      </c>
    </row>
    <row r="75" spans="1:6" x14ac:dyDescent="0.2">
      <c r="A75" s="115">
        <v>6</v>
      </c>
      <c r="B75" s="116" t="s">
        <v>118</v>
      </c>
      <c r="C75" s="113">
        <v>92848271</v>
      </c>
      <c r="D75" s="113">
        <v>94941460</v>
      </c>
      <c r="E75" s="113">
        <f t="shared" si="9"/>
        <v>2093189</v>
      </c>
      <c r="F75" s="114">
        <f t="shared" si="10"/>
        <v>2.254418932583031E-2</v>
      </c>
    </row>
    <row r="76" spans="1:6" x14ac:dyDescent="0.2">
      <c r="A76" s="115">
        <v>7</v>
      </c>
      <c r="B76" s="116" t="s">
        <v>119</v>
      </c>
      <c r="C76" s="113">
        <v>89591228</v>
      </c>
      <c r="D76" s="113">
        <v>92632504</v>
      </c>
      <c r="E76" s="113">
        <f t="shared" si="9"/>
        <v>3041276</v>
      </c>
      <c r="F76" s="114">
        <f t="shared" si="10"/>
        <v>3.3946135887321469E-2</v>
      </c>
    </row>
    <row r="77" spans="1:6" x14ac:dyDescent="0.2">
      <c r="A77" s="115">
        <v>8</v>
      </c>
      <c r="B77" s="116" t="s">
        <v>120</v>
      </c>
      <c r="C77" s="113">
        <v>3441075</v>
      </c>
      <c r="D77" s="113">
        <v>2021222</v>
      </c>
      <c r="E77" s="113">
        <f t="shared" si="9"/>
        <v>-1419853</v>
      </c>
      <c r="F77" s="114">
        <f t="shared" si="10"/>
        <v>-0.41261902167200659</v>
      </c>
    </row>
    <row r="78" spans="1:6" x14ac:dyDescent="0.2">
      <c r="A78" s="115">
        <v>9</v>
      </c>
      <c r="B78" s="116" t="s">
        <v>121</v>
      </c>
      <c r="C78" s="113">
        <v>6392663</v>
      </c>
      <c r="D78" s="113">
        <v>7611833</v>
      </c>
      <c r="E78" s="113">
        <f t="shared" si="9"/>
        <v>1219170</v>
      </c>
      <c r="F78" s="114">
        <f t="shared" si="10"/>
        <v>0.19071394816213524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295665</v>
      </c>
      <c r="D80" s="113">
        <v>257729</v>
      </c>
      <c r="E80" s="113">
        <f t="shared" si="9"/>
        <v>-37936</v>
      </c>
      <c r="F80" s="114">
        <f t="shared" si="10"/>
        <v>-0.1283073749006477</v>
      </c>
    </row>
    <row r="81" spans="1:6" ht="15.75" x14ac:dyDescent="0.25">
      <c r="A81" s="117"/>
      <c r="B81" s="118" t="s">
        <v>133</v>
      </c>
      <c r="C81" s="119">
        <f>SUM(C70:C80)</f>
        <v>284402145</v>
      </c>
      <c r="D81" s="119">
        <f>SUM(D70:D80)</f>
        <v>294011505</v>
      </c>
      <c r="E81" s="119">
        <f t="shared" si="9"/>
        <v>9609360</v>
      </c>
      <c r="F81" s="120">
        <f t="shared" si="10"/>
        <v>3.3787930818876211E-2</v>
      </c>
    </row>
    <row r="82" spans="1:6" ht="15" customHeight="1" x14ac:dyDescent="0.2">
      <c r="A82" s="773" t="s">
        <v>127</v>
      </c>
      <c r="B82" s="775" t="s">
        <v>134</v>
      </c>
      <c r="C82" s="777"/>
      <c r="D82" s="778"/>
      <c r="E82" s="778"/>
      <c r="F82" s="779"/>
    </row>
    <row r="83" spans="1:6" ht="15" customHeight="1" x14ac:dyDescent="0.2">
      <c r="A83" s="774"/>
      <c r="B83" s="776"/>
      <c r="C83" s="780"/>
      <c r="D83" s="781"/>
      <c r="E83" s="781"/>
      <c r="F83" s="782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153565744</v>
      </c>
      <c r="D84" s="119">
        <f t="shared" si="11"/>
        <v>153829017</v>
      </c>
      <c r="E84" s="119">
        <f t="shared" ref="E84:E95" si="12">D84-C84</f>
        <v>263273</v>
      </c>
      <c r="F84" s="120">
        <f t="shared" ref="F84:F95" si="13">IF(C84=0,0,E84/C84)</f>
        <v>1.7143992738380507E-3</v>
      </c>
    </row>
    <row r="85" spans="1:6" ht="15.75" x14ac:dyDescent="0.25">
      <c r="A85" s="130">
        <v>2</v>
      </c>
      <c r="B85" s="122" t="s">
        <v>114</v>
      </c>
      <c r="C85" s="119">
        <f t="shared" si="11"/>
        <v>17068534</v>
      </c>
      <c r="D85" s="119">
        <f t="shared" si="11"/>
        <v>21342374</v>
      </c>
      <c r="E85" s="119">
        <f t="shared" si="12"/>
        <v>4273840</v>
      </c>
      <c r="F85" s="120">
        <f t="shared" si="13"/>
        <v>0.25039291599383989</v>
      </c>
    </row>
    <row r="86" spans="1:6" ht="15.75" x14ac:dyDescent="0.25">
      <c r="A86" s="130">
        <v>3</v>
      </c>
      <c r="B86" s="122" t="s">
        <v>115</v>
      </c>
      <c r="C86" s="119">
        <f t="shared" si="11"/>
        <v>33544738</v>
      </c>
      <c r="D86" s="119">
        <f t="shared" si="11"/>
        <v>35080650</v>
      </c>
      <c r="E86" s="119">
        <f t="shared" si="12"/>
        <v>1535912</v>
      </c>
      <c r="F86" s="120">
        <f t="shared" si="13"/>
        <v>4.5786972609534168E-2</v>
      </c>
    </row>
    <row r="87" spans="1:6" ht="15.75" x14ac:dyDescent="0.25">
      <c r="A87" s="130">
        <v>4</v>
      </c>
      <c r="B87" s="122" t="s">
        <v>116</v>
      </c>
      <c r="C87" s="119">
        <f t="shared" si="11"/>
        <v>1820095</v>
      </c>
      <c r="D87" s="119">
        <f t="shared" si="11"/>
        <v>0</v>
      </c>
      <c r="E87" s="119">
        <f t="shared" si="12"/>
        <v>-1820095</v>
      </c>
      <c r="F87" s="120">
        <f t="shared" si="13"/>
        <v>-1</v>
      </c>
    </row>
    <row r="88" spans="1:6" ht="15.75" x14ac:dyDescent="0.25">
      <c r="A88" s="130">
        <v>5</v>
      </c>
      <c r="B88" s="122" t="s">
        <v>117</v>
      </c>
      <c r="C88" s="119">
        <f t="shared" si="11"/>
        <v>366056</v>
      </c>
      <c r="D88" s="119">
        <f t="shared" si="11"/>
        <v>380187</v>
      </c>
      <c r="E88" s="119">
        <f t="shared" si="12"/>
        <v>14131</v>
      </c>
      <c r="F88" s="120">
        <f t="shared" si="13"/>
        <v>3.8603383088926281E-2</v>
      </c>
    </row>
    <row r="89" spans="1:6" ht="15.75" x14ac:dyDescent="0.25">
      <c r="A89" s="130">
        <v>6</v>
      </c>
      <c r="B89" s="122" t="s">
        <v>118</v>
      </c>
      <c r="C89" s="119">
        <f t="shared" si="11"/>
        <v>140750714</v>
      </c>
      <c r="D89" s="119">
        <f t="shared" si="11"/>
        <v>139304131</v>
      </c>
      <c r="E89" s="119">
        <f t="shared" si="12"/>
        <v>-1446583</v>
      </c>
      <c r="F89" s="120">
        <f t="shared" si="13"/>
        <v>-1.0277624595211645E-2</v>
      </c>
    </row>
    <row r="90" spans="1:6" ht="15.75" x14ac:dyDescent="0.25">
      <c r="A90" s="130">
        <v>7</v>
      </c>
      <c r="B90" s="122" t="s">
        <v>119</v>
      </c>
      <c r="C90" s="119">
        <f t="shared" si="11"/>
        <v>145890881</v>
      </c>
      <c r="D90" s="119">
        <f t="shared" si="11"/>
        <v>150947118</v>
      </c>
      <c r="E90" s="119">
        <f t="shared" si="12"/>
        <v>5056237</v>
      </c>
      <c r="F90" s="120">
        <f t="shared" si="13"/>
        <v>3.4657663079024112E-2</v>
      </c>
    </row>
    <row r="91" spans="1:6" ht="15.75" x14ac:dyDescent="0.25">
      <c r="A91" s="130">
        <v>8</v>
      </c>
      <c r="B91" s="122" t="s">
        <v>120</v>
      </c>
      <c r="C91" s="119">
        <f t="shared" si="11"/>
        <v>5962214</v>
      </c>
      <c r="D91" s="119">
        <f t="shared" si="11"/>
        <v>3833445</v>
      </c>
      <c r="E91" s="119">
        <f t="shared" si="12"/>
        <v>-2128769</v>
      </c>
      <c r="F91" s="120">
        <f t="shared" si="13"/>
        <v>-0.35704337348508458</v>
      </c>
    </row>
    <row r="92" spans="1:6" ht="15.75" x14ac:dyDescent="0.25">
      <c r="A92" s="130">
        <v>9</v>
      </c>
      <c r="B92" s="122" t="s">
        <v>121</v>
      </c>
      <c r="C92" s="119">
        <f t="shared" si="11"/>
        <v>7736655</v>
      </c>
      <c r="D92" s="119">
        <f t="shared" si="11"/>
        <v>9056420</v>
      </c>
      <c r="E92" s="119">
        <f t="shared" si="12"/>
        <v>1319765</v>
      </c>
      <c r="F92" s="120">
        <f t="shared" si="13"/>
        <v>0.17058599614432851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525705</v>
      </c>
      <c r="D94" s="119">
        <f t="shared" si="11"/>
        <v>712423</v>
      </c>
      <c r="E94" s="119">
        <f t="shared" si="12"/>
        <v>186718</v>
      </c>
      <c r="F94" s="120">
        <f t="shared" si="13"/>
        <v>0.3551763821915333</v>
      </c>
    </row>
    <row r="95" spans="1:6" ht="18.75" customHeight="1" thickBot="1" x14ac:dyDescent="0.3">
      <c r="A95" s="131"/>
      <c r="B95" s="132" t="s">
        <v>134</v>
      </c>
      <c r="C95" s="128">
        <f>SUM(C84:C94)</f>
        <v>507231336</v>
      </c>
      <c r="D95" s="128">
        <f>SUM(D84:D94)</f>
        <v>514485765</v>
      </c>
      <c r="E95" s="128">
        <f t="shared" si="12"/>
        <v>7254429</v>
      </c>
      <c r="F95" s="129">
        <f t="shared" si="13"/>
        <v>1.4302012681645521E-2</v>
      </c>
    </row>
    <row r="96" spans="1:6" x14ac:dyDescent="0.2">
      <c r="A96" s="773" t="s">
        <v>135</v>
      </c>
      <c r="B96" s="775" t="s">
        <v>136</v>
      </c>
      <c r="C96" s="777"/>
      <c r="D96" s="778"/>
      <c r="E96" s="778"/>
      <c r="F96" s="779"/>
    </row>
    <row r="97" spans="1:6" ht="15" customHeight="1" x14ac:dyDescent="0.2">
      <c r="A97" s="774"/>
      <c r="B97" s="776"/>
      <c r="C97" s="780"/>
      <c r="D97" s="781"/>
      <c r="E97" s="781"/>
      <c r="F97" s="782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7876</v>
      </c>
      <c r="D100" s="133">
        <v>7411</v>
      </c>
      <c r="E100" s="133">
        <f t="shared" ref="E100:E111" si="14">D100-C100</f>
        <v>-465</v>
      </c>
      <c r="F100" s="114">
        <f t="shared" ref="F100:F111" si="15">IF(C100=0,0,E100/C100)</f>
        <v>-5.9040121889283897E-2</v>
      </c>
    </row>
    <row r="101" spans="1:6" x14ac:dyDescent="0.2">
      <c r="A101" s="115">
        <v>2</v>
      </c>
      <c r="B101" s="116" t="s">
        <v>114</v>
      </c>
      <c r="C101" s="133">
        <v>860</v>
      </c>
      <c r="D101" s="133">
        <v>958</v>
      </c>
      <c r="E101" s="133">
        <f t="shared" si="14"/>
        <v>98</v>
      </c>
      <c r="F101" s="114">
        <f t="shared" si="15"/>
        <v>0.11395348837209303</v>
      </c>
    </row>
    <row r="102" spans="1:6" x14ac:dyDescent="0.2">
      <c r="A102" s="115">
        <v>3</v>
      </c>
      <c r="B102" s="116" t="s">
        <v>115</v>
      </c>
      <c r="C102" s="133">
        <v>3051</v>
      </c>
      <c r="D102" s="133">
        <v>3321</v>
      </c>
      <c r="E102" s="133">
        <f t="shared" si="14"/>
        <v>270</v>
      </c>
      <c r="F102" s="114">
        <f t="shared" si="15"/>
        <v>8.8495575221238937E-2</v>
      </c>
    </row>
    <row r="103" spans="1:6" x14ac:dyDescent="0.2">
      <c r="A103" s="115">
        <v>4</v>
      </c>
      <c r="B103" s="116" t="s">
        <v>116</v>
      </c>
      <c r="C103" s="133">
        <v>275</v>
      </c>
      <c r="D103" s="133">
        <v>0</v>
      </c>
      <c r="E103" s="133">
        <f t="shared" si="14"/>
        <v>-275</v>
      </c>
      <c r="F103" s="114">
        <f t="shared" si="15"/>
        <v>-1</v>
      </c>
    </row>
    <row r="104" spans="1:6" x14ac:dyDescent="0.2">
      <c r="A104" s="115">
        <v>5</v>
      </c>
      <c r="B104" s="116" t="s">
        <v>117</v>
      </c>
      <c r="C104" s="133">
        <v>34</v>
      </c>
      <c r="D104" s="133">
        <v>35</v>
      </c>
      <c r="E104" s="133">
        <f t="shared" si="14"/>
        <v>1</v>
      </c>
      <c r="F104" s="114">
        <f t="shared" si="15"/>
        <v>2.9411764705882353E-2</v>
      </c>
    </row>
    <row r="105" spans="1:6" x14ac:dyDescent="0.2">
      <c r="A105" s="115">
        <v>6</v>
      </c>
      <c r="B105" s="116" t="s">
        <v>118</v>
      </c>
      <c r="C105" s="133">
        <v>3144</v>
      </c>
      <c r="D105" s="133">
        <v>3030</v>
      </c>
      <c r="E105" s="133">
        <f t="shared" si="14"/>
        <v>-114</v>
      </c>
      <c r="F105" s="114">
        <f t="shared" si="15"/>
        <v>-3.6259541984732822E-2</v>
      </c>
    </row>
    <row r="106" spans="1:6" x14ac:dyDescent="0.2">
      <c r="A106" s="115">
        <v>7</v>
      </c>
      <c r="B106" s="116" t="s">
        <v>119</v>
      </c>
      <c r="C106" s="133">
        <v>4088</v>
      </c>
      <c r="D106" s="133">
        <v>3562</v>
      </c>
      <c r="E106" s="133">
        <f t="shared" si="14"/>
        <v>-526</v>
      </c>
      <c r="F106" s="114">
        <f t="shared" si="15"/>
        <v>-0.12866927592954991</v>
      </c>
    </row>
    <row r="107" spans="1:6" x14ac:dyDescent="0.2">
      <c r="A107" s="115">
        <v>8</v>
      </c>
      <c r="B107" s="116" t="s">
        <v>120</v>
      </c>
      <c r="C107" s="133">
        <v>92</v>
      </c>
      <c r="D107" s="133">
        <v>60</v>
      </c>
      <c r="E107" s="133">
        <f t="shared" si="14"/>
        <v>-32</v>
      </c>
      <c r="F107" s="114">
        <f t="shared" si="15"/>
        <v>-0.34782608695652173</v>
      </c>
    </row>
    <row r="108" spans="1:6" x14ac:dyDescent="0.2">
      <c r="A108" s="115">
        <v>9</v>
      </c>
      <c r="B108" s="116" t="s">
        <v>121</v>
      </c>
      <c r="C108" s="133">
        <v>197</v>
      </c>
      <c r="D108" s="133">
        <v>156</v>
      </c>
      <c r="E108" s="133">
        <f t="shared" si="14"/>
        <v>-41</v>
      </c>
      <c r="F108" s="114">
        <f t="shared" si="15"/>
        <v>-0.20812182741116753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51</v>
      </c>
      <c r="D110" s="133">
        <v>29</v>
      </c>
      <c r="E110" s="133">
        <f t="shared" si="14"/>
        <v>-22</v>
      </c>
      <c r="F110" s="114">
        <f t="shared" si="15"/>
        <v>-0.43137254901960786</v>
      </c>
    </row>
    <row r="111" spans="1:6" ht="15.75" x14ac:dyDescent="0.25">
      <c r="A111" s="117"/>
      <c r="B111" s="118" t="s">
        <v>138</v>
      </c>
      <c r="C111" s="134">
        <f>SUM(C100:C110)</f>
        <v>19668</v>
      </c>
      <c r="D111" s="134">
        <f>SUM(D100:D110)</f>
        <v>18562</v>
      </c>
      <c r="E111" s="134">
        <f t="shared" si="14"/>
        <v>-1106</v>
      </c>
      <c r="F111" s="120">
        <f t="shared" si="15"/>
        <v>-5.6233475696562944E-2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44205</v>
      </c>
      <c r="D113" s="133">
        <v>42905</v>
      </c>
      <c r="E113" s="133">
        <f t="shared" ref="E113:E124" si="16">D113-C113</f>
        <v>-1300</v>
      </c>
      <c r="F113" s="114">
        <f t="shared" ref="F113:F124" si="17">IF(C113=0,0,E113/C113)</f>
        <v>-2.9408437959506845E-2</v>
      </c>
    </row>
    <row r="114" spans="1:6" x14ac:dyDescent="0.2">
      <c r="A114" s="115">
        <v>2</v>
      </c>
      <c r="B114" s="116" t="s">
        <v>114</v>
      </c>
      <c r="C114" s="133">
        <v>4389</v>
      </c>
      <c r="D114" s="133">
        <v>5090</v>
      </c>
      <c r="E114" s="133">
        <f t="shared" si="16"/>
        <v>701</v>
      </c>
      <c r="F114" s="114">
        <f t="shared" si="17"/>
        <v>0.1597174755069492</v>
      </c>
    </row>
    <row r="115" spans="1:6" x14ac:dyDescent="0.2">
      <c r="A115" s="115">
        <v>3</v>
      </c>
      <c r="B115" s="116" t="s">
        <v>115</v>
      </c>
      <c r="C115" s="133">
        <v>14079</v>
      </c>
      <c r="D115" s="133">
        <v>16180</v>
      </c>
      <c r="E115" s="133">
        <f t="shared" si="16"/>
        <v>2101</v>
      </c>
      <c r="F115" s="114">
        <f t="shared" si="17"/>
        <v>0.14922934867533205</v>
      </c>
    </row>
    <row r="116" spans="1:6" x14ac:dyDescent="0.2">
      <c r="A116" s="115">
        <v>4</v>
      </c>
      <c r="B116" s="116" t="s">
        <v>116</v>
      </c>
      <c r="C116" s="133">
        <v>1119</v>
      </c>
      <c r="D116" s="133">
        <v>0</v>
      </c>
      <c r="E116" s="133">
        <f t="shared" si="16"/>
        <v>-1119</v>
      </c>
      <c r="F116" s="114">
        <f t="shared" si="17"/>
        <v>-1</v>
      </c>
    </row>
    <row r="117" spans="1:6" x14ac:dyDescent="0.2">
      <c r="A117" s="115">
        <v>5</v>
      </c>
      <c r="B117" s="116" t="s">
        <v>117</v>
      </c>
      <c r="C117" s="133">
        <v>102</v>
      </c>
      <c r="D117" s="133">
        <v>99</v>
      </c>
      <c r="E117" s="133">
        <f t="shared" si="16"/>
        <v>-3</v>
      </c>
      <c r="F117" s="114">
        <f t="shared" si="17"/>
        <v>-2.9411764705882353E-2</v>
      </c>
    </row>
    <row r="118" spans="1:6" x14ac:dyDescent="0.2">
      <c r="A118" s="115">
        <v>6</v>
      </c>
      <c r="B118" s="116" t="s">
        <v>118</v>
      </c>
      <c r="C118" s="133">
        <v>12728</v>
      </c>
      <c r="D118" s="133">
        <v>12675</v>
      </c>
      <c r="E118" s="133">
        <f t="shared" si="16"/>
        <v>-53</v>
      </c>
      <c r="F118" s="114">
        <f t="shared" si="17"/>
        <v>-4.1640477686989315E-3</v>
      </c>
    </row>
    <row r="119" spans="1:6" x14ac:dyDescent="0.2">
      <c r="A119" s="115">
        <v>7</v>
      </c>
      <c r="B119" s="116" t="s">
        <v>119</v>
      </c>
      <c r="C119" s="133">
        <v>14068</v>
      </c>
      <c r="D119" s="133">
        <v>13092</v>
      </c>
      <c r="E119" s="133">
        <f t="shared" si="16"/>
        <v>-976</v>
      </c>
      <c r="F119" s="114">
        <f t="shared" si="17"/>
        <v>-6.937731020756327E-2</v>
      </c>
    </row>
    <row r="120" spans="1:6" x14ac:dyDescent="0.2">
      <c r="A120" s="115">
        <v>8</v>
      </c>
      <c r="B120" s="116" t="s">
        <v>120</v>
      </c>
      <c r="C120" s="133">
        <v>317</v>
      </c>
      <c r="D120" s="133">
        <v>238</v>
      </c>
      <c r="E120" s="133">
        <f t="shared" si="16"/>
        <v>-79</v>
      </c>
      <c r="F120" s="114">
        <f t="shared" si="17"/>
        <v>-0.24921135646687698</v>
      </c>
    </row>
    <row r="121" spans="1:6" x14ac:dyDescent="0.2">
      <c r="A121" s="115">
        <v>9</v>
      </c>
      <c r="B121" s="116" t="s">
        <v>121</v>
      </c>
      <c r="C121" s="133">
        <v>751</v>
      </c>
      <c r="D121" s="133">
        <v>566</v>
      </c>
      <c r="E121" s="133">
        <f t="shared" si="16"/>
        <v>-185</v>
      </c>
      <c r="F121" s="114">
        <f t="shared" si="17"/>
        <v>-0.24633821571238348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252</v>
      </c>
      <c r="D123" s="133">
        <v>158</v>
      </c>
      <c r="E123" s="133">
        <f t="shared" si="16"/>
        <v>-94</v>
      </c>
      <c r="F123" s="114">
        <f t="shared" si="17"/>
        <v>-0.37301587301587302</v>
      </c>
    </row>
    <row r="124" spans="1:6" ht="15.75" x14ac:dyDescent="0.25">
      <c r="A124" s="117"/>
      <c r="B124" s="118" t="s">
        <v>140</v>
      </c>
      <c r="C124" s="134">
        <f>SUM(C113:C123)</f>
        <v>92010</v>
      </c>
      <c r="D124" s="134">
        <f>SUM(D113:D123)</f>
        <v>91003</v>
      </c>
      <c r="E124" s="134">
        <f t="shared" si="16"/>
        <v>-1007</v>
      </c>
      <c r="F124" s="120">
        <f t="shared" si="17"/>
        <v>-1.0944462558417562E-2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53584</v>
      </c>
      <c r="D126" s="133">
        <v>60172</v>
      </c>
      <c r="E126" s="133">
        <f t="shared" ref="E126:E137" si="18">D126-C126</f>
        <v>6588</v>
      </c>
      <c r="F126" s="114">
        <f t="shared" ref="F126:F137" si="19">IF(C126=0,0,E126/C126)</f>
        <v>0.12294714840250821</v>
      </c>
    </row>
    <row r="127" spans="1:6" x14ac:dyDescent="0.2">
      <c r="A127" s="115">
        <v>2</v>
      </c>
      <c r="B127" s="116" t="s">
        <v>114</v>
      </c>
      <c r="C127" s="133">
        <v>6695</v>
      </c>
      <c r="D127" s="133">
        <v>10374</v>
      </c>
      <c r="E127" s="133">
        <f t="shared" si="18"/>
        <v>3679</v>
      </c>
      <c r="F127" s="114">
        <f t="shared" si="19"/>
        <v>0.54951456310679614</v>
      </c>
    </row>
    <row r="128" spans="1:6" x14ac:dyDescent="0.2">
      <c r="A128" s="115">
        <v>3</v>
      </c>
      <c r="B128" s="116" t="s">
        <v>115</v>
      </c>
      <c r="C128" s="133">
        <v>31387</v>
      </c>
      <c r="D128" s="133">
        <v>39186</v>
      </c>
      <c r="E128" s="133">
        <f t="shared" si="18"/>
        <v>7799</v>
      </c>
      <c r="F128" s="114">
        <f t="shared" si="19"/>
        <v>0.24847866951285563</v>
      </c>
    </row>
    <row r="129" spans="1:6" x14ac:dyDescent="0.2">
      <c r="A129" s="115">
        <v>4</v>
      </c>
      <c r="B129" s="116" t="s">
        <v>116</v>
      </c>
      <c r="C129" s="133">
        <v>4820</v>
      </c>
      <c r="D129" s="133">
        <v>0</v>
      </c>
      <c r="E129" s="133">
        <f t="shared" si="18"/>
        <v>-4820</v>
      </c>
      <c r="F129" s="114">
        <f t="shared" si="19"/>
        <v>-1</v>
      </c>
    </row>
    <row r="130" spans="1:6" x14ac:dyDescent="0.2">
      <c r="A130" s="115">
        <v>5</v>
      </c>
      <c r="B130" s="116" t="s">
        <v>117</v>
      </c>
      <c r="C130" s="133">
        <v>314</v>
      </c>
      <c r="D130" s="133">
        <v>312</v>
      </c>
      <c r="E130" s="133">
        <f t="shared" si="18"/>
        <v>-2</v>
      </c>
      <c r="F130" s="114">
        <f t="shared" si="19"/>
        <v>-6.369426751592357E-3</v>
      </c>
    </row>
    <row r="131" spans="1:6" x14ac:dyDescent="0.2">
      <c r="A131" s="115">
        <v>6</v>
      </c>
      <c r="B131" s="116" t="s">
        <v>118</v>
      </c>
      <c r="C131" s="133">
        <v>42151</v>
      </c>
      <c r="D131" s="133">
        <v>52789</v>
      </c>
      <c r="E131" s="133">
        <f t="shared" si="18"/>
        <v>10638</v>
      </c>
      <c r="F131" s="114">
        <f t="shared" si="19"/>
        <v>0.25237835401295344</v>
      </c>
    </row>
    <row r="132" spans="1:6" x14ac:dyDescent="0.2">
      <c r="A132" s="115">
        <v>7</v>
      </c>
      <c r="B132" s="116" t="s">
        <v>119</v>
      </c>
      <c r="C132" s="133">
        <v>43469</v>
      </c>
      <c r="D132" s="133">
        <v>36670</v>
      </c>
      <c r="E132" s="133">
        <f t="shared" si="18"/>
        <v>-6799</v>
      </c>
      <c r="F132" s="114">
        <f t="shared" si="19"/>
        <v>-0.15641031539717959</v>
      </c>
    </row>
    <row r="133" spans="1:6" x14ac:dyDescent="0.2">
      <c r="A133" s="115">
        <v>8</v>
      </c>
      <c r="B133" s="116" t="s">
        <v>120</v>
      </c>
      <c r="C133" s="133">
        <v>1573</v>
      </c>
      <c r="D133" s="133">
        <v>1530</v>
      </c>
      <c r="E133" s="133">
        <f t="shared" si="18"/>
        <v>-43</v>
      </c>
      <c r="F133" s="114">
        <f t="shared" si="19"/>
        <v>-2.733630006357279E-2</v>
      </c>
    </row>
    <row r="134" spans="1:6" x14ac:dyDescent="0.2">
      <c r="A134" s="115">
        <v>9</v>
      </c>
      <c r="B134" s="116" t="s">
        <v>121</v>
      </c>
      <c r="C134" s="133">
        <v>14012</v>
      </c>
      <c r="D134" s="133">
        <v>13821</v>
      </c>
      <c r="E134" s="133">
        <f t="shared" si="18"/>
        <v>-191</v>
      </c>
      <c r="F134" s="114">
        <f t="shared" si="19"/>
        <v>-1.3631173280045676E-2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606</v>
      </c>
      <c r="D136" s="133">
        <v>302</v>
      </c>
      <c r="E136" s="133">
        <f t="shared" si="18"/>
        <v>-304</v>
      </c>
      <c r="F136" s="114">
        <f t="shared" si="19"/>
        <v>-0.50165016501650161</v>
      </c>
    </row>
    <row r="137" spans="1:6" ht="15.75" x14ac:dyDescent="0.25">
      <c r="A137" s="117"/>
      <c r="B137" s="118" t="s">
        <v>142</v>
      </c>
      <c r="C137" s="134">
        <f>SUM(C126:C136)</f>
        <v>198611</v>
      </c>
      <c r="D137" s="134">
        <f>SUM(D126:D136)</f>
        <v>215156</v>
      </c>
      <c r="E137" s="134">
        <f t="shared" si="18"/>
        <v>16545</v>
      </c>
      <c r="F137" s="120">
        <f t="shared" si="19"/>
        <v>8.3303543106877265E-2</v>
      </c>
    </row>
    <row r="138" spans="1:6" x14ac:dyDescent="0.2">
      <c r="A138" s="773" t="s">
        <v>143</v>
      </c>
      <c r="B138" s="775" t="s">
        <v>144</v>
      </c>
      <c r="C138" s="777"/>
      <c r="D138" s="778"/>
      <c r="E138" s="778"/>
      <c r="F138" s="779"/>
    </row>
    <row r="139" spans="1:6" ht="15" customHeight="1" x14ac:dyDescent="0.2">
      <c r="A139" s="774"/>
      <c r="B139" s="776"/>
      <c r="C139" s="780"/>
      <c r="D139" s="781"/>
      <c r="E139" s="781"/>
      <c r="F139" s="782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19482193</v>
      </c>
      <c r="D142" s="113">
        <v>21464461</v>
      </c>
      <c r="E142" s="113">
        <f t="shared" ref="E142:E153" si="20">D142-C142</f>
        <v>1982268</v>
      </c>
      <c r="F142" s="114">
        <f t="shared" ref="F142:F153" si="21">IF(C142=0,0,E142/C142)</f>
        <v>0.10174768312786964</v>
      </c>
    </row>
    <row r="143" spans="1:6" x14ac:dyDescent="0.2">
      <c r="A143" s="115">
        <v>2</v>
      </c>
      <c r="B143" s="116" t="s">
        <v>114</v>
      </c>
      <c r="C143" s="113">
        <v>2151990</v>
      </c>
      <c r="D143" s="113">
        <v>2964103</v>
      </c>
      <c r="E143" s="113">
        <f t="shared" si="20"/>
        <v>812113</v>
      </c>
      <c r="F143" s="114">
        <f t="shared" si="21"/>
        <v>0.37737768298179825</v>
      </c>
    </row>
    <row r="144" spans="1:6" x14ac:dyDescent="0.2">
      <c r="A144" s="115">
        <v>3</v>
      </c>
      <c r="B144" s="116" t="s">
        <v>115</v>
      </c>
      <c r="C144" s="113">
        <v>23017268</v>
      </c>
      <c r="D144" s="113">
        <v>30673802</v>
      </c>
      <c r="E144" s="113">
        <f t="shared" si="20"/>
        <v>7656534</v>
      </c>
      <c r="F144" s="114">
        <f t="shared" si="21"/>
        <v>0.33264303999936046</v>
      </c>
    </row>
    <row r="145" spans="1:6" x14ac:dyDescent="0.2">
      <c r="A145" s="115">
        <v>4</v>
      </c>
      <c r="B145" s="116" t="s">
        <v>116</v>
      </c>
      <c r="C145" s="113">
        <v>4131508</v>
      </c>
      <c r="D145" s="113">
        <v>0</v>
      </c>
      <c r="E145" s="113">
        <f t="shared" si="20"/>
        <v>-4131508</v>
      </c>
      <c r="F145" s="114">
        <f t="shared" si="21"/>
        <v>-1</v>
      </c>
    </row>
    <row r="146" spans="1:6" x14ac:dyDescent="0.2">
      <c r="A146" s="115">
        <v>5</v>
      </c>
      <c r="B146" s="116" t="s">
        <v>117</v>
      </c>
      <c r="C146" s="113">
        <v>322117</v>
      </c>
      <c r="D146" s="113">
        <v>306989</v>
      </c>
      <c r="E146" s="113">
        <f t="shared" si="20"/>
        <v>-15128</v>
      </c>
      <c r="F146" s="114">
        <f t="shared" si="21"/>
        <v>-4.6964301790964155E-2</v>
      </c>
    </row>
    <row r="147" spans="1:6" x14ac:dyDescent="0.2">
      <c r="A147" s="115">
        <v>6</v>
      </c>
      <c r="B147" s="116" t="s">
        <v>118</v>
      </c>
      <c r="C147" s="113">
        <v>25504326</v>
      </c>
      <c r="D147" s="113">
        <v>25979503</v>
      </c>
      <c r="E147" s="113">
        <f t="shared" si="20"/>
        <v>475177</v>
      </c>
      <c r="F147" s="114">
        <f t="shared" si="21"/>
        <v>1.8631231423249531E-2</v>
      </c>
    </row>
    <row r="148" spans="1:6" x14ac:dyDescent="0.2">
      <c r="A148" s="115">
        <v>7</v>
      </c>
      <c r="B148" s="116" t="s">
        <v>119</v>
      </c>
      <c r="C148" s="113">
        <v>22799084</v>
      </c>
      <c r="D148" s="113">
        <v>23570505</v>
      </c>
      <c r="E148" s="113">
        <f t="shared" si="20"/>
        <v>771421</v>
      </c>
      <c r="F148" s="114">
        <f t="shared" si="21"/>
        <v>3.3835613746587362E-2</v>
      </c>
    </row>
    <row r="149" spans="1:6" x14ac:dyDescent="0.2">
      <c r="A149" s="115">
        <v>8</v>
      </c>
      <c r="B149" s="116" t="s">
        <v>120</v>
      </c>
      <c r="C149" s="113">
        <v>2172979</v>
      </c>
      <c r="D149" s="113">
        <v>2106388</v>
      </c>
      <c r="E149" s="113">
        <f t="shared" si="20"/>
        <v>-66591</v>
      </c>
      <c r="F149" s="114">
        <f t="shared" si="21"/>
        <v>-3.064502694227602E-2</v>
      </c>
    </row>
    <row r="150" spans="1:6" x14ac:dyDescent="0.2">
      <c r="A150" s="115">
        <v>9</v>
      </c>
      <c r="B150" s="116" t="s">
        <v>121</v>
      </c>
      <c r="C150" s="113">
        <v>12066037</v>
      </c>
      <c r="D150" s="113">
        <v>11584881</v>
      </c>
      <c r="E150" s="113">
        <f t="shared" si="20"/>
        <v>-481156</v>
      </c>
      <c r="F150" s="114">
        <f t="shared" si="21"/>
        <v>-3.9876887498355926E-2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174677</v>
      </c>
      <c r="D152" s="113">
        <v>482812</v>
      </c>
      <c r="E152" s="113">
        <f t="shared" si="20"/>
        <v>308135</v>
      </c>
      <c r="F152" s="114">
        <f t="shared" si="21"/>
        <v>1.7640273189944871</v>
      </c>
    </row>
    <row r="153" spans="1:6" ht="33.75" customHeight="1" x14ac:dyDescent="0.25">
      <c r="A153" s="117"/>
      <c r="B153" s="118" t="s">
        <v>146</v>
      </c>
      <c r="C153" s="119">
        <f>SUM(C142:C152)</f>
        <v>111822179</v>
      </c>
      <c r="D153" s="119">
        <f>SUM(D142:D152)</f>
        <v>119133444</v>
      </c>
      <c r="E153" s="119">
        <f t="shared" si="20"/>
        <v>7311265</v>
      </c>
      <c r="F153" s="120">
        <f t="shared" si="21"/>
        <v>6.5382959493214668E-2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3720817</v>
      </c>
      <c r="D155" s="113">
        <v>3764021</v>
      </c>
      <c r="E155" s="113">
        <f t="shared" ref="E155:E166" si="22">D155-C155</f>
        <v>43204</v>
      </c>
      <c r="F155" s="114">
        <f t="shared" ref="F155:F166" si="23">IF(C155=0,0,E155/C155)</f>
        <v>1.1611428350278985E-2</v>
      </c>
    </row>
    <row r="156" spans="1:6" x14ac:dyDescent="0.2">
      <c r="A156" s="115">
        <v>2</v>
      </c>
      <c r="B156" s="116" t="s">
        <v>114</v>
      </c>
      <c r="C156" s="113">
        <v>624704</v>
      </c>
      <c r="D156" s="113">
        <v>479182</v>
      </c>
      <c r="E156" s="113">
        <f t="shared" si="22"/>
        <v>-145522</v>
      </c>
      <c r="F156" s="114">
        <f t="shared" si="23"/>
        <v>-0.23294552299969265</v>
      </c>
    </row>
    <row r="157" spans="1:6" x14ac:dyDescent="0.2">
      <c r="A157" s="115">
        <v>3</v>
      </c>
      <c r="B157" s="116" t="s">
        <v>115</v>
      </c>
      <c r="C157" s="113">
        <v>3315492</v>
      </c>
      <c r="D157" s="113">
        <v>5617326</v>
      </c>
      <c r="E157" s="113">
        <f t="shared" si="22"/>
        <v>2301834</v>
      </c>
      <c r="F157" s="114">
        <f t="shared" si="23"/>
        <v>0.69426619035726822</v>
      </c>
    </row>
    <row r="158" spans="1:6" x14ac:dyDescent="0.2">
      <c r="A158" s="115">
        <v>4</v>
      </c>
      <c r="B158" s="116" t="s">
        <v>116</v>
      </c>
      <c r="C158" s="113">
        <v>1013449</v>
      </c>
      <c r="D158" s="113">
        <v>0</v>
      </c>
      <c r="E158" s="113">
        <f t="shared" si="22"/>
        <v>-1013449</v>
      </c>
      <c r="F158" s="114">
        <f t="shared" si="23"/>
        <v>-1</v>
      </c>
    </row>
    <row r="159" spans="1:6" x14ac:dyDescent="0.2">
      <c r="A159" s="115">
        <v>5</v>
      </c>
      <c r="B159" s="116" t="s">
        <v>117</v>
      </c>
      <c r="C159" s="113">
        <v>105963</v>
      </c>
      <c r="D159" s="113">
        <v>100385</v>
      </c>
      <c r="E159" s="113">
        <f t="shared" si="22"/>
        <v>-5578</v>
      </c>
      <c r="F159" s="114">
        <f t="shared" si="23"/>
        <v>-5.2641016203769243E-2</v>
      </c>
    </row>
    <row r="160" spans="1:6" x14ac:dyDescent="0.2">
      <c r="A160" s="115">
        <v>6</v>
      </c>
      <c r="B160" s="116" t="s">
        <v>118</v>
      </c>
      <c r="C160" s="113">
        <v>16457065</v>
      </c>
      <c r="D160" s="113">
        <v>16024642</v>
      </c>
      <c r="E160" s="113">
        <f t="shared" si="22"/>
        <v>-432423</v>
      </c>
      <c r="F160" s="114">
        <f t="shared" si="23"/>
        <v>-2.6275827433384993E-2</v>
      </c>
    </row>
    <row r="161" spans="1:6" x14ac:dyDescent="0.2">
      <c r="A161" s="115">
        <v>7</v>
      </c>
      <c r="B161" s="116" t="s">
        <v>119</v>
      </c>
      <c r="C161" s="113">
        <v>14867571</v>
      </c>
      <c r="D161" s="113">
        <v>15617382</v>
      </c>
      <c r="E161" s="113">
        <f t="shared" si="22"/>
        <v>749811</v>
      </c>
      <c r="F161" s="114">
        <f t="shared" si="23"/>
        <v>5.0432649691062516E-2</v>
      </c>
    </row>
    <row r="162" spans="1:6" x14ac:dyDescent="0.2">
      <c r="A162" s="115">
        <v>8</v>
      </c>
      <c r="B162" s="116" t="s">
        <v>120</v>
      </c>
      <c r="C162" s="113">
        <v>1503097</v>
      </c>
      <c r="D162" s="113">
        <v>1443283</v>
      </c>
      <c r="E162" s="113">
        <f t="shared" si="22"/>
        <v>-59814</v>
      </c>
      <c r="F162" s="114">
        <f t="shared" si="23"/>
        <v>-3.9793838987104625E-2</v>
      </c>
    </row>
    <row r="163" spans="1:6" x14ac:dyDescent="0.2">
      <c r="A163" s="115">
        <v>9</v>
      </c>
      <c r="B163" s="116" t="s">
        <v>121</v>
      </c>
      <c r="C163" s="113">
        <v>1759626</v>
      </c>
      <c r="D163" s="113">
        <v>1666453</v>
      </c>
      <c r="E163" s="113">
        <f t="shared" si="22"/>
        <v>-93173</v>
      </c>
      <c r="F163" s="114">
        <f t="shared" si="23"/>
        <v>-5.2950456517464509E-2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19222</v>
      </c>
      <c r="D165" s="113">
        <v>138936</v>
      </c>
      <c r="E165" s="113">
        <f t="shared" si="22"/>
        <v>119714</v>
      </c>
      <c r="F165" s="114">
        <f t="shared" si="23"/>
        <v>6.2279679533867442</v>
      </c>
    </row>
    <row r="166" spans="1:6" ht="33.75" customHeight="1" x14ac:dyDescent="0.25">
      <c r="A166" s="117"/>
      <c r="B166" s="118" t="s">
        <v>148</v>
      </c>
      <c r="C166" s="119">
        <f>SUM(C155:C165)</f>
        <v>43387006</v>
      </c>
      <c r="D166" s="119">
        <f>SUM(D155:D165)</f>
        <v>44851610</v>
      </c>
      <c r="E166" s="119">
        <f t="shared" si="22"/>
        <v>1464604</v>
      </c>
      <c r="F166" s="120">
        <f t="shared" si="23"/>
        <v>3.3756742744590396E-2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8051</v>
      </c>
      <c r="D168" s="133">
        <v>8760</v>
      </c>
      <c r="E168" s="133">
        <f t="shared" ref="E168:E179" si="24">D168-C168</f>
        <v>709</v>
      </c>
      <c r="F168" s="114">
        <f t="shared" ref="F168:F179" si="25">IF(C168=0,0,E168/C168)</f>
        <v>8.8063594584523661E-2</v>
      </c>
    </row>
    <row r="169" spans="1:6" x14ac:dyDescent="0.2">
      <c r="A169" s="115">
        <v>2</v>
      </c>
      <c r="B169" s="116" t="s">
        <v>114</v>
      </c>
      <c r="C169" s="133">
        <v>916</v>
      </c>
      <c r="D169" s="133">
        <v>1201</v>
      </c>
      <c r="E169" s="133">
        <f t="shared" si="24"/>
        <v>285</v>
      </c>
      <c r="F169" s="114">
        <f t="shared" si="25"/>
        <v>0.31113537117903928</v>
      </c>
    </row>
    <row r="170" spans="1:6" x14ac:dyDescent="0.2">
      <c r="A170" s="115">
        <v>3</v>
      </c>
      <c r="B170" s="116" t="s">
        <v>115</v>
      </c>
      <c r="C170" s="133">
        <v>14196</v>
      </c>
      <c r="D170" s="133">
        <v>18776</v>
      </c>
      <c r="E170" s="133">
        <f t="shared" si="24"/>
        <v>4580</v>
      </c>
      <c r="F170" s="114">
        <f t="shared" si="25"/>
        <v>0.32262609185686109</v>
      </c>
    </row>
    <row r="171" spans="1:6" x14ac:dyDescent="0.2">
      <c r="A171" s="115">
        <v>4</v>
      </c>
      <c r="B171" s="116" t="s">
        <v>116</v>
      </c>
      <c r="C171" s="133">
        <v>3002</v>
      </c>
      <c r="D171" s="133">
        <v>0</v>
      </c>
      <c r="E171" s="133">
        <f t="shared" si="24"/>
        <v>-3002</v>
      </c>
      <c r="F171" s="114">
        <f t="shared" si="25"/>
        <v>-1</v>
      </c>
    </row>
    <row r="172" spans="1:6" x14ac:dyDescent="0.2">
      <c r="A172" s="115">
        <v>5</v>
      </c>
      <c r="B172" s="116" t="s">
        <v>117</v>
      </c>
      <c r="C172" s="133">
        <v>179</v>
      </c>
      <c r="D172" s="133">
        <v>159</v>
      </c>
      <c r="E172" s="133">
        <f t="shared" si="24"/>
        <v>-20</v>
      </c>
      <c r="F172" s="114">
        <f t="shared" si="25"/>
        <v>-0.11173184357541899</v>
      </c>
    </row>
    <row r="173" spans="1:6" x14ac:dyDescent="0.2">
      <c r="A173" s="115">
        <v>6</v>
      </c>
      <c r="B173" s="116" t="s">
        <v>118</v>
      </c>
      <c r="C173" s="133">
        <v>11704</v>
      </c>
      <c r="D173" s="133">
        <v>11415</v>
      </c>
      <c r="E173" s="133">
        <f t="shared" si="24"/>
        <v>-289</v>
      </c>
      <c r="F173" s="114">
        <f t="shared" si="25"/>
        <v>-2.4692412850307589E-2</v>
      </c>
    </row>
    <row r="174" spans="1:6" x14ac:dyDescent="0.2">
      <c r="A174" s="115">
        <v>7</v>
      </c>
      <c r="B174" s="116" t="s">
        <v>119</v>
      </c>
      <c r="C174" s="133">
        <v>10607</v>
      </c>
      <c r="D174" s="133">
        <v>10149</v>
      </c>
      <c r="E174" s="133">
        <f t="shared" si="24"/>
        <v>-458</v>
      </c>
      <c r="F174" s="114">
        <f t="shared" si="25"/>
        <v>-4.3179032714245308E-2</v>
      </c>
    </row>
    <row r="175" spans="1:6" x14ac:dyDescent="0.2">
      <c r="A175" s="115">
        <v>8</v>
      </c>
      <c r="B175" s="116" t="s">
        <v>120</v>
      </c>
      <c r="C175" s="133">
        <v>1344</v>
      </c>
      <c r="D175" s="133">
        <v>1267</v>
      </c>
      <c r="E175" s="133">
        <f t="shared" si="24"/>
        <v>-77</v>
      </c>
      <c r="F175" s="114">
        <f t="shared" si="25"/>
        <v>-5.7291666666666664E-2</v>
      </c>
    </row>
    <row r="176" spans="1:6" x14ac:dyDescent="0.2">
      <c r="A176" s="115">
        <v>9</v>
      </c>
      <c r="B176" s="116" t="s">
        <v>121</v>
      </c>
      <c r="C176" s="133">
        <v>6256</v>
      </c>
      <c r="D176" s="133">
        <v>5990</v>
      </c>
      <c r="E176" s="133">
        <f t="shared" si="24"/>
        <v>-266</v>
      </c>
      <c r="F176" s="114">
        <f t="shared" si="25"/>
        <v>-4.2519181585677752E-2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107</v>
      </c>
      <c r="D178" s="133">
        <v>300</v>
      </c>
      <c r="E178" s="133">
        <f t="shared" si="24"/>
        <v>193</v>
      </c>
      <c r="F178" s="114">
        <f t="shared" si="25"/>
        <v>1.8037383177570094</v>
      </c>
    </row>
    <row r="179" spans="1:6" ht="33.75" customHeight="1" x14ac:dyDescent="0.25">
      <c r="A179" s="117"/>
      <c r="B179" s="118" t="s">
        <v>150</v>
      </c>
      <c r="C179" s="134">
        <f>SUM(C168:C178)</f>
        <v>56362</v>
      </c>
      <c r="D179" s="134">
        <f>SUM(D168:D178)</f>
        <v>58017</v>
      </c>
      <c r="E179" s="134">
        <f t="shared" si="24"/>
        <v>1655</v>
      </c>
      <c r="F179" s="120">
        <f t="shared" si="25"/>
        <v>2.9363755721940315E-2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1"/>
  <sheetViews>
    <sheetView zoomScale="75" workbookViewId="0">
      <selection sqref="A1:F1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51198252</v>
      </c>
      <c r="D15" s="157">
        <v>59802385</v>
      </c>
      <c r="E15" s="157">
        <f>+D15-C15</f>
        <v>8604133</v>
      </c>
      <c r="F15" s="161">
        <f>IF(C15=0,0,E15/C15)</f>
        <v>0.16805521016615957</v>
      </c>
    </row>
    <row r="16" spans="1:6" ht="15" customHeight="1" x14ac:dyDescent="0.2">
      <c r="A16" s="147">
        <v>2</v>
      </c>
      <c r="B16" s="160" t="s">
        <v>157</v>
      </c>
      <c r="C16" s="157">
        <v>7349665</v>
      </c>
      <c r="D16" s="157">
        <v>8426011</v>
      </c>
      <c r="E16" s="157">
        <f>+D16-C16</f>
        <v>1076346</v>
      </c>
      <c r="F16" s="161">
        <f>IF(C16=0,0,E16/C16)</f>
        <v>0.14644830750789323</v>
      </c>
    </row>
    <row r="17" spans="1:6" ht="15" customHeight="1" x14ac:dyDescent="0.2">
      <c r="A17" s="147">
        <v>3</v>
      </c>
      <c r="B17" s="160" t="s">
        <v>158</v>
      </c>
      <c r="C17" s="157">
        <v>132952743</v>
      </c>
      <c r="D17" s="157">
        <v>122422314</v>
      </c>
      <c r="E17" s="157">
        <f>+D17-C17</f>
        <v>-10530429</v>
      </c>
      <c r="F17" s="161">
        <f>IF(C17=0,0,E17/C17)</f>
        <v>-7.9204300433275004E-2</v>
      </c>
    </row>
    <row r="18" spans="1:6" ht="15.75" customHeight="1" x14ac:dyDescent="0.25">
      <c r="A18" s="147"/>
      <c r="B18" s="162" t="s">
        <v>159</v>
      </c>
      <c r="C18" s="158">
        <f>SUM(C15:C17)</f>
        <v>191500660</v>
      </c>
      <c r="D18" s="158">
        <f>SUM(D15:D17)</f>
        <v>190650710</v>
      </c>
      <c r="E18" s="158">
        <f>+D18-C18</f>
        <v>-849950</v>
      </c>
      <c r="F18" s="159">
        <f>IF(C18=0,0,E18/C18)</f>
        <v>-4.4383659043263869E-3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17759434</v>
      </c>
      <c r="D21" s="157">
        <v>15272468</v>
      </c>
      <c r="E21" s="157">
        <f>+D21-C21</f>
        <v>-2486966</v>
      </c>
      <c r="F21" s="161">
        <f>IF(C21=0,0,E21/C21)</f>
        <v>-0.14003633223896664</v>
      </c>
    </row>
    <row r="22" spans="1:6" ht="15" customHeight="1" x14ac:dyDescent="0.2">
      <c r="A22" s="147">
        <v>2</v>
      </c>
      <c r="B22" s="160" t="s">
        <v>162</v>
      </c>
      <c r="C22" s="157">
        <v>2523856</v>
      </c>
      <c r="D22" s="157">
        <v>2151854</v>
      </c>
      <c r="E22" s="157">
        <f>+D22-C22</f>
        <v>-372002</v>
      </c>
      <c r="F22" s="161">
        <f>IF(C22=0,0,E22/C22)</f>
        <v>-0.14739430458790043</v>
      </c>
    </row>
    <row r="23" spans="1:6" ht="15" customHeight="1" x14ac:dyDescent="0.2">
      <c r="A23" s="147">
        <v>3</v>
      </c>
      <c r="B23" s="160" t="s">
        <v>163</v>
      </c>
      <c r="C23" s="157">
        <v>45843656</v>
      </c>
      <c r="D23" s="157">
        <v>31264486</v>
      </c>
      <c r="E23" s="157">
        <f>+D23-C23</f>
        <v>-14579170</v>
      </c>
      <c r="F23" s="161">
        <f>IF(C23=0,0,E23/C23)</f>
        <v>-0.31801935692039918</v>
      </c>
    </row>
    <row r="24" spans="1:6" ht="15.75" customHeight="1" x14ac:dyDescent="0.25">
      <c r="A24" s="147"/>
      <c r="B24" s="162" t="s">
        <v>164</v>
      </c>
      <c r="C24" s="158">
        <f>SUM(C21:C23)</f>
        <v>66126946</v>
      </c>
      <c r="D24" s="158">
        <f>SUM(D21:D23)</f>
        <v>48688808</v>
      </c>
      <c r="E24" s="158">
        <f>+D24-C24</f>
        <v>-17438138</v>
      </c>
      <c r="F24" s="159">
        <f>IF(C24=0,0,E24/C24)</f>
        <v>-0.26370699170047868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518598</v>
      </c>
      <c r="D27" s="157">
        <v>425977</v>
      </c>
      <c r="E27" s="157">
        <f>+D27-C27</f>
        <v>-92621</v>
      </c>
      <c r="F27" s="161">
        <f>IF(C27=0,0,E27/C27)</f>
        <v>-0.17859883763531675</v>
      </c>
    </row>
    <row r="28" spans="1:6" ht="15" customHeight="1" x14ac:dyDescent="0.2">
      <c r="A28" s="147">
        <v>2</v>
      </c>
      <c r="B28" s="160" t="s">
        <v>167</v>
      </c>
      <c r="C28" s="157">
        <v>55286603</v>
      </c>
      <c r="D28" s="157">
        <v>58191711</v>
      </c>
      <c r="E28" s="157">
        <f>+D28-C28</f>
        <v>2905108</v>
      </c>
      <c r="F28" s="161">
        <f>IF(C28=0,0,E28/C28)</f>
        <v>5.2546328447779657E-2</v>
      </c>
    </row>
    <row r="29" spans="1:6" ht="15" customHeight="1" x14ac:dyDescent="0.2">
      <c r="A29" s="147">
        <v>3</v>
      </c>
      <c r="B29" s="160" t="s">
        <v>168</v>
      </c>
      <c r="C29" s="157">
        <v>547540</v>
      </c>
      <c r="D29" s="157">
        <v>294565</v>
      </c>
      <c r="E29" s="157">
        <f>+D29-C29</f>
        <v>-252975</v>
      </c>
      <c r="F29" s="161">
        <f>IF(C29=0,0,E29/C29)</f>
        <v>-0.46202103955875368</v>
      </c>
    </row>
    <row r="30" spans="1:6" ht="15.75" customHeight="1" x14ac:dyDescent="0.25">
      <c r="A30" s="147"/>
      <c r="B30" s="162" t="s">
        <v>169</v>
      </c>
      <c r="C30" s="158">
        <f>SUM(C27:C29)</f>
        <v>56352741</v>
      </c>
      <c r="D30" s="158">
        <f>SUM(D27:D29)</f>
        <v>58912253</v>
      </c>
      <c r="E30" s="158">
        <f>+D30-C30</f>
        <v>2559512</v>
      </c>
      <c r="F30" s="159">
        <f>IF(C30=0,0,E30/C30)</f>
        <v>4.5419476578787886E-2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48662830</v>
      </c>
      <c r="D33" s="157">
        <v>48355907</v>
      </c>
      <c r="E33" s="157">
        <f>+D33-C33</f>
        <v>-306923</v>
      </c>
      <c r="F33" s="161">
        <f>IF(C33=0,0,E33/C33)</f>
        <v>-6.3071342131150203E-3</v>
      </c>
    </row>
    <row r="34" spans="1:6" ht="15" customHeight="1" x14ac:dyDescent="0.2">
      <c r="A34" s="147">
        <v>2</v>
      </c>
      <c r="B34" s="160" t="s">
        <v>173</v>
      </c>
      <c r="C34" s="157">
        <v>23316383</v>
      </c>
      <c r="D34" s="157">
        <v>25357779</v>
      </c>
      <c r="E34" s="157">
        <f>+D34-C34</f>
        <v>2041396</v>
      </c>
      <c r="F34" s="161">
        <f>IF(C34=0,0,E34/C34)</f>
        <v>8.7552001526137221E-2</v>
      </c>
    </row>
    <row r="35" spans="1:6" ht="15.75" customHeight="1" x14ac:dyDescent="0.25">
      <c r="A35" s="147"/>
      <c r="B35" s="162" t="s">
        <v>174</v>
      </c>
      <c r="C35" s="158">
        <f>SUM(C33:C34)</f>
        <v>71979213</v>
      </c>
      <c r="D35" s="158">
        <f>SUM(D33:D34)</f>
        <v>73713686</v>
      </c>
      <c r="E35" s="158">
        <f>+D35-C35</f>
        <v>1734473</v>
      </c>
      <c r="F35" s="159">
        <f>IF(C35=0,0,E35/C35)</f>
        <v>2.4096859741992455E-2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11276350</v>
      </c>
      <c r="D38" s="157">
        <v>11470670</v>
      </c>
      <c r="E38" s="157">
        <f>+D38-C38</f>
        <v>194320</v>
      </c>
      <c r="F38" s="161">
        <f>IF(C38=0,0,E38/C38)</f>
        <v>1.723252648241674E-2</v>
      </c>
    </row>
    <row r="39" spans="1:6" ht="15" customHeight="1" x14ac:dyDescent="0.2">
      <c r="A39" s="147">
        <v>2</v>
      </c>
      <c r="B39" s="160" t="s">
        <v>178</v>
      </c>
      <c r="C39" s="157">
        <v>20152532</v>
      </c>
      <c r="D39" s="157">
        <v>18309761</v>
      </c>
      <c r="E39" s="157">
        <f>+D39-C39</f>
        <v>-1842771</v>
      </c>
      <c r="F39" s="161">
        <f>IF(C39=0,0,E39/C39)</f>
        <v>-9.1441164812441439E-2</v>
      </c>
    </row>
    <row r="40" spans="1:6" ht="15" customHeight="1" x14ac:dyDescent="0.2">
      <c r="A40" s="147">
        <v>3</v>
      </c>
      <c r="B40" s="160" t="s">
        <v>179</v>
      </c>
      <c r="C40" s="157">
        <v>234617</v>
      </c>
      <c r="D40" s="157">
        <v>252782</v>
      </c>
      <c r="E40" s="157">
        <f>+D40-C40</f>
        <v>18165</v>
      </c>
      <c r="F40" s="161">
        <f>IF(C40=0,0,E40/C40)</f>
        <v>7.7424057080262731E-2</v>
      </c>
    </row>
    <row r="41" spans="1:6" ht="15.75" customHeight="1" x14ac:dyDescent="0.25">
      <c r="A41" s="147"/>
      <c r="B41" s="162" t="s">
        <v>180</v>
      </c>
      <c r="C41" s="158">
        <f>SUM(C38:C40)</f>
        <v>31663499</v>
      </c>
      <c r="D41" s="158">
        <f>SUM(D38:D40)</f>
        <v>30033213</v>
      </c>
      <c r="E41" s="158">
        <f>+D41-C41</f>
        <v>-1630286</v>
      </c>
      <c r="F41" s="159">
        <f>IF(C41=0,0,E41/C41)</f>
        <v>-5.1487866202026507E-2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19413218</v>
      </c>
      <c r="D44" s="157">
        <v>0</v>
      </c>
      <c r="E44" s="157">
        <f>+D44-C44</f>
        <v>-19413218</v>
      </c>
      <c r="F44" s="161">
        <f>IF(C44=0,0,E44/C44)</f>
        <v>-1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4156056</v>
      </c>
      <c r="D47" s="157">
        <v>3984131</v>
      </c>
      <c r="E47" s="157">
        <f>+D47-C47</f>
        <v>-171925</v>
      </c>
      <c r="F47" s="161">
        <f>IF(C47=0,0,E47/C47)</f>
        <v>-4.1367344424617952E-2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6798516</v>
      </c>
      <c r="D50" s="157">
        <v>5581123</v>
      </c>
      <c r="E50" s="157">
        <f>+D50-C50</f>
        <v>-1217393</v>
      </c>
      <c r="F50" s="161">
        <f>IF(C50=0,0,E50/C50)</f>
        <v>-0.17906746119300154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588064</v>
      </c>
      <c r="D53" s="157">
        <v>554513</v>
      </c>
      <c r="E53" s="157">
        <f t="shared" ref="E53:E59" si="0">+D53-C53</f>
        <v>-33551</v>
      </c>
      <c r="F53" s="161">
        <f t="shared" ref="F53:F59" si="1">IF(C53=0,0,E53/C53)</f>
        <v>-5.7053313925014962E-2</v>
      </c>
    </row>
    <row r="54" spans="1:6" ht="15" customHeight="1" x14ac:dyDescent="0.2">
      <c r="A54" s="147">
        <v>2</v>
      </c>
      <c r="B54" s="160" t="s">
        <v>189</v>
      </c>
      <c r="C54" s="157">
        <v>124288</v>
      </c>
      <c r="D54" s="157">
        <v>133529</v>
      </c>
      <c r="E54" s="157">
        <f t="shared" si="0"/>
        <v>9241</v>
      </c>
      <c r="F54" s="161">
        <f t="shared" si="1"/>
        <v>7.4351506179196711E-2</v>
      </c>
    </row>
    <row r="55" spans="1:6" ht="15" customHeight="1" x14ac:dyDescent="0.2">
      <c r="A55" s="147">
        <v>3</v>
      </c>
      <c r="B55" s="160" t="s">
        <v>190</v>
      </c>
      <c r="C55" s="157">
        <v>2451108</v>
      </c>
      <c r="D55" s="157">
        <v>2003476</v>
      </c>
      <c r="E55" s="157">
        <f t="shared" si="0"/>
        <v>-447632</v>
      </c>
      <c r="F55" s="161">
        <f t="shared" si="1"/>
        <v>-0.18262434784595374</v>
      </c>
    </row>
    <row r="56" spans="1:6" ht="15" customHeight="1" x14ac:dyDescent="0.2">
      <c r="A56" s="147">
        <v>4</v>
      </c>
      <c r="B56" s="160" t="s">
        <v>191</v>
      </c>
      <c r="C56" s="157">
        <v>1764549</v>
      </c>
      <c r="D56" s="157">
        <v>1639447</v>
      </c>
      <c r="E56" s="157">
        <f t="shared" si="0"/>
        <v>-125102</v>
      </c>
      <c r="F56" s="161">
        <f t="shared" si="1"/>
        <v>-7.0897436115403986E-2</v>
      </c>
    </row>
    <row r="57" spans="1:6" ht="15" customHeight="1" x14ac:dyDescent="0.2">
      <c r="A57" s="147">
        <v>5</v>
      </c>
      <c r="B57" s="160" t="s">
        <v>192</v>
      </c>
      <c r="C57" s="157">
        <v>803386</v>
      </c>
      <c r="D57" s="157">
        <v>799668</v>
      </c>
      <c r="E57" s="157">
        <f t="shared" si="0"/>
        <v>-3718</v>
      </c>
      <c r="F57" s="161">
        <f t="shared" si="1"/>
        <v>-4.627912360932354E-3</v>
      </c>
    </row>
    <row r="58" spans="1:6" ht="15" customHeight="1" x14ac:dyDescent="0.2">
      <c r="A58" s="147">
        <v>6</v>
      </c>
      <c r="B58" s="160" t="s">
        <v>193</v>
      </c>
      <c r="C58" s="157">
        <v>23392</v>
      </c>
      <c r="D58" s="157">
        <v>30466</v>
      </c>
      <c r="E58" s="157">
        <f t="shared" si="0"/>
        <v>7074</v>
      </c>
      <c r="F58" s="161">
        <f t="shared" si="1"/>
        <v>0.30241108071135431</v>
      </c>
    </row>
    <row r="59" spans="1:6" ht="15.75" customHeight="1" x14ac:dyDescent="0.25">
      <c r="A59" s="147"/>
      <c r="B59" s="162" t="s">
        <v>194</v>
      </c>
      <c r="C59" s="158">
        <f>SUM(C53:C58)</f>
        <v>5754787</v>
      </c>
      <c r="D59" s="158">
        <f>SUM(D53:D58)</f>
        <v>5161099</v>
      </c>
      <c r="E59" s="158">
        <f t="shared" si="0"/>
        <v>-593688</v>
      </c>
      <c r="F59" s="159">
        <f t="shared" si="1"/>
        <v>-0.10316420051689142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528456</v>
      </c>
      <c r="D62" s="157">
        <v>391799</v>
      </c>
      <c r="E62" s="157">
        <f t="shared" ref="E62:E90" si="2">+D62-C62</f>
        <v>-136657</v>
      </c>
      <c r="F62" s="161">
        <f t="shared" ref="F62:F90" si="3">IF(C62=0,0,E62/C62)</f>
        <v>-0.25859674220748746</v>
      </c>
    </row>
    <row r="63" spans="1:6" ht="15" customHeight="1" x14ac:dyDescent="0.2">
      <c r="A63" s="147">
        <v>2</v>
      </c>
      <c r="B63" s="160" t="s">
        <v>198</v>
      </c>
      <c r="C63" s="157">
        <v>1575129</v>
      </c>
      <c r="D63" s="157">
        <v>1628646</v>
      </c>
      <c r="E63" s="157">
        <f t="shared" si="2"/>
        <v>53517</v>
      </c>
      <c r="F63" s="161">
        <f t="shared" si="3"/>
        <v>3.3976264801168665E-2</v>
      </c>
    </row>
    <row r="64" spans="1:6" ht="15" customHeight="1" x14ac:dyDescent="0.2">
      <c r="A64" s="147">
        <v>3</v>
      </c>
      <c r="B64" s="160" t="s">
        <v>199</v>
      </c>
      <c r="C64" s="157">
        <v>3144608</v>
      </c>
      <c r="D64" s="157">
        <v>3453870</v>
      </c>
      <c r="E64" s="157">
        <f t="shared" si="2"/>
        <v>309262</v>
      </c>
      <c r="F64" s="161">
        <f t="shared" si="3"/>
        <v>9.8346757370076018E-2</v>
      </c>
    </row>
    <row r="65" spans="1:6" ht="15" customHeight="1" x14ac:dyDescent="0.2">
      <c r="A65" s="147">
        <v>4</v>
      </c>
      <c r="B65" s="160" t="s">
        <v>200</v>
      </c>
      <c r="C65" s="157">
        <v>2379562</v>
      </c>
      <c r="D65" s="157">
        <v>2569247</v>
      </c>
      <c r="E65" s="157">
        <f t="shared" si="2"/>
        <v>189685</v>
      </c>
      <c r="F65" s="161">
        <f t="shared" si="3"/>
        <v>7.9714249933391101E-2</v>
      </c>
    </row>
    <row r="66" spans="1:6" ht="15" customHeight="1" x14ac:dyDescent="0.2">
      <c r="A66" s="147">
        <v>5</v>
      </c>
      <c r="B66" s="160" t="s">
        <v>201</v>
      </c>
      <c r="C66" s="157">
        <v>7154556</v>
      </c>
      <c r="D66" s="157">
        <v>7967245</v>
      </c>
      <c r="E66" s="157">
        <f t="shared" si="2"/>
        <v>812689</v>
      </c>
      <c r="F66" s="161">
        <f t="shared" si="3"/>
        <v>0.11359041707130393</v>
      </c>
    </row>
    <row r="67" spans="1:6" ht="15" customHeight="1" x14ac:dyDescent="0.2">
      <c r="A67" s="147">
        <v>6</v>
      </c>
      <c r="B67" s="160" t="s">
        <v>202</v>
      </c>
      <c r="C67" s="157">
        <v>0</v>
      </c>
      <c r="D67" s="157">
        <v>0</v>
      </c>
      <c r="E67" s="157">
        <f t="shared" si="2"/>
        <v>0</v>
      </c>
      <c r="F67" s="161">
        <f t="shared" si="3"/>
        <v>0</v>
      </c>
    </row>
    <row r="68" spans="1:6" ht="15" customHeight="1" x14ac:dyDescent="0.2">
      <c r="A68" s="147">
        <v>7</v>
      </c>
      <c r="B68" s="160" t="s">
        <v>203</v>
      </c>
      <c r="C68" s="157">
        <v>9325869</v>
      </c>
      <c r="D68" s="157">
        <v>9317105</v>
      </c>
      <c r="E68" s="157">
        <f t="shared" si="2"/>
        <v>-8764</v>
      </c>
      <c r="F68" s="161">
        <f t="shared" si="3"/>
        <v>-9.3975156631516052E-4</v>
      </c>
    </row>
    <row r="69" spans="1:6" ht="15" customHeight="1" x14ac:dyDescent="0.2">
      <c r="A69" s="147">
        <v>8</v>
      </c>
      <c r="B69" s="160" t="s">
        <v>204</v>
      </c>
      <c r="C69" s="157">
        <v>803571</v>
      </c>
      <c r="D69" s="157">
        <v>1583667</v>
      </c>
      <c r="E69" s="157">
        <f t="shared" si="2"/>
        <v>780096</v>
      </c>
      <c r="F69" s="161">
        <f t="shared" si="3"/>
        <v>0.97078665108621387</v>
      </c>
    </row>
    <row r="70" spans="1:6" ht="15" customHeight="1" x14ac:dyDescent="0.2">
      <c r="A70" s="147">
        <v>9</v>
      </c>
      <c r="B70" s="160" t="s">
        <v>205</v>
      </c>
      <c r="C70" s="157">
        <v>509660</v>
      </c>
      <c r="D70" s="157">
        <v>743827</v>
      </c>
      <c r="E70" s="157">
        <f t="shared" si="2"/>
        <v>234167</v>
      </c>
      <c r="F70" s="161">
        <f t="shared" si="3"/>
        <v>0.45945728524898954</v>
      </c>
    </row>
    <row r="71" spans="1:6" ht="15" customHeight="1" x14ac:dyDescent="0.2">
      <c r="A71" s="147">
        <v>10</v>
      </c>
      <c r="B71" s="160" t="s">
        <v>206</v>
      </c>
      <c r="C71" s="157">
        <v>346826</v>
      </c>
      <c r="D71" s="157">
        <v>472599</v>
      </c>
      <c r="E71" s="157">
        <f t="shared" si="2"/>
        <v>125773</v>
      </c>
      <c r="F71" s="161">
        <f t="shared" si="3"/>
        <v>0.36264005582049791</v>
      </c>
    </row>
    <row r="72" spans="1:6" ht="15" customHeight="1" x14ac:dyDescent="0.2">
      <c r="A72" s="147">
        <v>11</v>
      </c>
      <c r="B72" s="160" t="s">
        <v>207</v>
      </c>
      <c r="C72" s="157">
        <v>205513</v>
      </c>
      <c r="D72" s="157">
        <v>269461</v>
      </c>
      <c r="E72" s="157">
        <f t="shared" si="2"/>
        <v>63948</v>
      </c>
      <c r="F72" s="161">
        <f t="shared" si="3"/>
        <v>0.31116279748726355</v>
      </c>
    </row>
    <row r="73" spans="1:6" ht="15" customHeight="1" x14ac:dyDescent="0.2">
      <c r="A73" s="147">
        <v>12</v>
      </c>
      <c r="B73" s="160" t="s">
        <v>208</v>
      </c>
      <c r="C73" s="157">
        <v>1574038</v>
      </c>
      <c r="D73" s="157">
        <v>779274</v>
      </c>
      <c r="E73" s="157">
        <f t="shared" si="2"/>
        <v>-794764</v>
      </c>
      <c r="F73" s="161">
        <f t="shared" si="3"/>
        <v>-0.50492046570667293</v>
      </c>
    </row>
    <row r="74" spans="1:6" ht="15" customHeight="1" x14ac:dyDescent="0.2">
      <c r="A74" s="147">
        <v>13</v>
      </c>
      <c r="B74" s="160" t="s">
        <v>209</v>
      </c>
      <c r="C74" s="157">
        <v>371813</v>
      </c>
      <c r="D74" s="157">
        <v>255940</v>
      </c>
      <c r="E74" s="157">
        <f t="shared" si="2"/>
        <v>-115873</v>
      </c>
      <c r="F74" s="161">
        <f t="shared" si="3"/>
        <v>-0.31164321849962212</v>
      </c>
    </row>
    <row r="75" spans="1:6" ht="15" customHeight="1" x14ac:dyDescent="0.2">
      <c r="A75" s="147">
        <v>14</v>
      </c>
      <c r="B75" s="160" t="s">
        <v>210</v>
      </c>
      <c r="C75" s="157">
        <v>662491</v>
      </c>
      <c r="D75" s="157">
        <v>673582</v>
      </c>
      <c r="E75" s="157">
        <f t="shared" si="2"/>
        <v>11091</v>
      </c>
      <c r="F75" s="161">
        <f t="shared" si="3"/>
        <v>1.6741359505261205E-2</v>
      </c>
    </row>
    <row r="76" spans="1:6" ht="15" customHeight="1" x14ac:dyDescent="0.2">
      <c r="A76" s="147">
        <v>15</v>
      </c>
      <c r="B76" s="160" t="s">
        <v>211</v>
      </c>
      <c r="C76" s="157">
        <v>753853</v>
      </c>
      <c r="D76" s="157">
        <v>781362</v>
      </c>
      <c r="E76" s="157">
        <f t="shared" si="2"/>
        <v>27509</v>
      </c>
      <c r="F76" s="161">
        <f t="shared" si="3"/>
        <v>3.6491199212578582E-2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8756216</v>
      </c>
      <c r="D78" s="157">
        <v>9811410</v>
      </c>
      <c r="E78" s="157">
        <f t="shared" si="2"/>
        <v>1055194</v>
      </c>
      <c r="F78" s="161">
        <f t="shared" si="3"/>
        <v>0.12050799112310615</v>
      </c>
    </row>
    <row r="79" spans="1:6" ht="15" customHeight="1" x14ac:dyDescent="0.2">
      <c r="A79" s="147">
        <v>18</v>
      </c>
      <c r="B79" s="160" t="s">
        <v>214</v>
      </c>
      <c r="C79" s="157">
        <v>326425</v>
      </c>
      <c r="D79" s="157">
        <v>277057</v>
      </c>
      <c r="E79" s="157">
        <f t="shared" si="2"/>
        <v>-49368</v>
      </c>
      <c r="F79" s="161">
        <f t="shared" si="3"/>
        <v>-0.15123841617523168</v>
      </c>
    </row>
    <row r="80" spans="1:6" ht="15" customHeight="1" x14ac:dyDescent="0.2">
      <c r="A80" s="147">
        <v>19</v>
      </c>
      <c r="B80" s="160" t="s">
        <v>215</v>
      </c>
      <c r="C80" s="157">
        <v>5779814</v>
      </c>
      <c r="D80" s="157">
        <v>5911120</v>
      </c>
      <c r="E80" s="157">
        <f t="shared" si="2"/>
        <v>131306</v>
      </c>
      <c r="F80" s="161">
        <f t="shared" si="3"/>
        <v>2.2718032102763169E-2</v>
      </c>
    </row>
    <row r="81" spans="1:6" ht="15" customHeight="1" x14ac:dyDescent="0.2">
      <c r="A81" s="147">
        <v>20</v>
      </c>
      <c r="B81" s="160" t="s">
        <v>216</v>
      </c>
      <c r="C81" s="157">
        <v>4293697</v>
      </c>
      <c r="D81" s="157">
        <v>5044307</v>
      </c>
      <c r="E81" s="157">
        <f t="shared" si="2"/>
        <v>750610</v>
      </c>
      <c r="F81" s="161">
        <f t="shared" si="3"/>
        <v>0.17481671389480907</v>
      </c>
    </row>
    <row r="82" spans="1:6" ht="15" customHeight="1" x14ac:dyDescent="0.2">
      <c r="A82" s="147">
        <v>21</v>
      </c>
      <c r="B82" s="160" t="s">
        <v>217</v>
      </c>
      <c r="C82" s="157">
        <v>1254247</v>
      </c>
      <c r="D82" s="157">
        <v>2735697</v>
      </c>
      <c r="E82" s="157">
        <f t="shared" si="2"/>
        <v>1481450</v>
      </c>
      <c r="F82" s="161">
        <f t="shared" si="3"/>
        <v>1.1811469351730561</v>
      </c>
    </row>
    <row r="83" spans="1:6" ht="15" customHeight="1" x14ac:dyDescent="0.2">
      <c r="A83" s="147">
        <v>22</v>
      </c>
      <c r="B83" s="160" t="s">
        <v>218</v>
      </c>
      <c r="C83" s="157">
        <v>846262</v>
      </c>
      <c r="D83" s="157">
        <v>991221</v>
      </c>
      <c r="E83" s="157">
        <f t="shared" si="2"/>
        <v>144959</v>
      </c>
      <c r="F83" s="161">
        <f t="shared" si="3"/>
        <v>0.17129328742162592</v>
      </c>
    </row>
    <row r="84" spans="1:6" ht="15" customHeight="1" x14ac:dyDescent="0.2">
      <c r="A84" s="147">
        <v>23</v>
      </c>
      <c r="B84" s="160" t="s">
        <v>219</v>
      </c>
      <c r="C84" s="157">
        <v>1427496</v>
      </c>
      <c r="D84" s="157">
        <v>1509000</v>
      </c>
      <c r="E84" s="157">
        <f t="shared" si="2"/>
        <v>81504</v>
      </c>
      <c r="F84" s="161">
        <f t="shared" si="3"/>
        <v>5.7095781704467122E-2</v>
      </c>
    </row>
    <row r="85" spans="1:6" ht="15" customHeight="1" x14ac:dyDescent="0.2">
      <c r="A85" s="147">
        <v>24</v>
      </c>
      <c r="B85" s="160" t="s">
        <v>220</v>
      </c>
      <c r="C85" s="157">
        <v>132876</v>
      </c>
      <c r="D85" s="157">
        <v>249668</v>
      </c>
      <c r="E85" s="157">
        <f t="shared" si="2"/>
        <v>116792</v>
      </c>
      <c r="F85" s="161">
        <f t="shared" si="3"/>
        <v>0.87895481501550321</v>
      </c>
    </row>
    <row r="86" spans="1:6" ht="15" customHeight="1" x14ac:dyDescent="0.2">
      <c r="A86" s="147">
        <v>25</v>
      </c>
      <c r="B86" s="160" t="s">
        <v>221</v>
      </c>
      <c r="C86" s="157">
        <v>471665</v>
      </c>
      <c r="D86" s="157">
        <v>409631</v>
      </c>
      <c r="E86" s="157">
        <f t="shared" si="2"/>
        <v>-62034</v>
      </c>
      <c r="F86" s="161">
        <f t="shared" si="3"/>
        <v>-0.13152131279615828</v>
      </c>
    </row>
    <row r="87" spans="1:6" ht="15" customHeight="1" x14ac:dyDescent="0.2">
      <c r="A87" s="147">
        <v>26</v>
      </c>
      <c r="B87" s="160" t="s">
        <v>222</v>
      </c>
      <c r="C87" s="157">
        <v>287936</v>
      </c>
      <c r="D87" s="157">
        <v>262406</v>
      </c>
      <c r="E87" s="157">
        <f t="shared" si="2"/>
        <v>-25530</v>
      </c>
      <c r="F87" s="161">
        <f t="shared" si="3"/>
        <v>-8.8665536785952431E-2</v>
      </c>
    </row>
    <row r="88" spans="1:6" ht="15" customHeight="1" x14ac:dyDescent="0.2">
      <c r="A88" s="147">
        <v>27</v>
      </c>
      <c r="B88" s="160" t="s">
        <v>223</v>
      </c>
      <c r="C88" s="157">
        <v>8138981</v>
      </c>
      <c r="D88" s="157">
        <v>11754430</v>
      </c>
      <c r="E88" s="157">
        <f t="shared" si="2"/>
        <v>3615449</v>
      </c>
      <c r="F88" s="161">
        <f t="shared" si="3"/>
        <v>0.44421396241126498</v>
      </c>
    </row>
    <row r="89" spans="1:6" ht="15" customHeight="1" x14ac:dyDescent="0.2">
      <c r="A89" s="147">
        <v>28</v>
      </c>
      <c r="B89" s="160" t="s">
        <v>224</v>
      </c>
      <c r="C89" s="157">
        <v>0</v>
      </c>
      <c r="D89" s="157">
        <v>0</v>
      </c>
      <c r="E89" s="157">
        <f t="shared" si="2"/>
        <v>0</v>
      </c>
      <c r="F89" s="161">
        <f t="shared" si="3"/>
        <v>0</v>
      </c>
    </row>
    <row r="90" spans="1:6" ht="15.75" customHeight="1" x14ac:dyDescent="0.25">
      <c r="A90" s="147"/>
      <c r="B90" s="162" t="s">
        <v>225</v>
      </c>
      <c r="C90" s="158">
        <f>SUM(C62:C89)</f>
        <v>61051560</v>
      </c>
      <c r="D90" s="158">
        <f>SUM(D62:D89)</f>
        <v>69843571</v>
      </c>
      <c r="E90" s="158">
        <f t="shared" si="2"/>
        <v>8792011</v>
      </c>
      <c r="F90" s="159">
        <f t="shared" si="3"/>
        <v>0.14400960434098653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514797196</v>
      </c>
      <c r="D95" s="158">
        <f>+D93+D90+D59+D50+D47+D44+D41+D35+D30+D24+D18</f>
        <v>486568594</v>
      </c>
      <c r="E95" s="158">
        <f>+D95-C95</f>
        <v>-28228602</v>
      </c>
      <c r="F95" s="159">
        <f>IF(C95=0,0,E95/C95)</f>
        <v>-5.4834412889847986E-2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54474769</v>
      </c>
      <c r="D103" s="157">
        <v>54112719</v>
      </c>
      <c r="E103" s="157">
        <f t="shared" ref="E103:E121" si="4">D103-C103</f>
        <v>-362050</v>
      </c>
      <c r="F103" s="161">
        <f t="shared" ref="F103:F121" si="5">IF(C103=0,0,E103/C103)</f>
        <v>-6.6461961500011131E-3</v>
      </c>
    </row>
    <row r="104" spans="1:6" ht="15" customHeight="1" x14ac:dyDescent="0.2">
      <c r="A104" s="147">
        <v>2</v>
      </c>
      <c r="B104" s="169" t="s">
        <v>234</v>
      </c>
      <c r="C104" s="157">
        <v>1159533</v>
      </c>
      <c r="D104" s="157">
        <v>1126417</v>
      </c>
      <c r="E104" s="157">
        <f t="shared" si="4"/>
        <v>-33116</v>
      </c>
      <c r="F104" s="161">
        <f t="shared" si="5"/>
        <v>-2.85597736330057E-2</v>
      </c>
    </row>
    <row r="105" spans="1:6" ht="15" customHeight="1" x14ac:dyDescent="0.2">
      <c r="A105" s="147">
        <v>3</v>
      </c>
      <c r="B105" s="169" t="s">
        <v>235</v>
      </c>
      <c r="C105" s="157">
        <v>5397233</v>
      </c>
      <c r="D105" s="157">
        <v>5482141</v>
      </c>
      <c r="E105" s="157">
        <f t="shared" si="4"/>
        <v>84908</v>
      </c>
      <c r="F105" s="161">
        <f t="shared" si="5"/>
        <v>1.5731764776506778E-2</v>
      </c>
    </row>
    <row r="106" spans="1:6" ht="15" customHeight="1" x14ac:dyDescent="0.2">
      <c r="A106" s="147">
        <v>4</v>
      </c>
      <c r="B106" s="169" t="s">
        <v>236</v>
      </c>
      <c r="C106" s="157">
        <v>2264136</v>
      </c>
      <c r="D106" s="157">
        <v>2068878</v>
      </c>
      <c r="E106" s="157">
        <f t="shared" si="4"/>
        <v>-195258</v>
      </c>
      <c r="F106" s="161">
        <f t="shared" si="5"/>
        <v>-8.623951918082659E-2</v>
      </c>
    </row>
    <row r="107" spans="1:6" ht="15" customHeight="1" x14ac:dyDescent="0.2">
      <c r="A107" s="147">
        <v>5</v>
      </c>
      <c r="B107" s="169" t="s">
        <v>237</v>
      </c>
      <c r="C107" s="157">
        <v>23983097</v>
      </c>
      <c r="D107" s="157">
        <v>28351257</v>
      </c>
      <c r="E107" s="157">
        <f t="shared" si="4"/>
        <v>4368160</v>
      </c>
      <c r="F107" s="161">
        <f t="shared" si="5"/>
        <v>0.18213494278908182</v>
      </c>
    </row>
    <row r="108" spans="1:6" ht="15" customHeight="1" x14ac:dyDescent="0.2">
      <c r="A108" s="147">
        <v>6</v>
      </c>
      <c r="B108" s="169" t="s">
        <v>238</v>
      </c>
      <c r="C108" s="157">
        <v>2421315</v>
      </c>
      <c r="D108" s="157">
        <v>2404396</v>
      </c>
      <c r="E108" s="157">
        <f t="shared" si="4"/>
        <v>-16919</v>
      </c>
      <c r="F108" s="161">
        <f t="shared" si="5"/>
        <v>-6.9875253736089689E-3</v>
      </c>
    </row>
    <row r="109" spans="1:6" ht="15" customHeight="1" x14ac:dyDescent="0.2">
      <c r="A109" s="147">
        <v>7</v>
      </c>
      <c r="B109" s="169" t="s">
        <v>239</v>
      </c>
      <c r="C109" s="157">
        <v>3652357</v>
      </c>
      <c r="D109" s="157">
        <v>3342633</v>
      </c>
      <c r="E109" s="157">
        <f t="shared" si="4"/>
        <v>-309724</v>
      </c>
      <c r="F109" s="161">
        <f t="shared" si="5"/>
        <v>-8.4801129790981547E-2</v>
      </c>
    </row>
    <row r="110" spans="1:6" ht="15" customHeight="1" x14ac:dyDescent="0.2">
      <c r="A110" s="147">
        <v>8</v>
      </c>
      <c r="B110" s="169" t="s">
        <v>240</v>
      </c>
      <c r="C110" s="157">
        <v>224908</v>
      </c>
      <c r="D110" s="157">
        <v>0</v>
      </c>
      <c r="E110" s="157">
        <f t="shared" si="4"/>
        <v>-224908</v>
      </c>
      <c r="F110" s="161">
        <f t="shared" si="5"/>
        <v>-1</v>
      </c>
    </row>
    <row r="111" spans="1:6" ht="15" customHeight="1" x14ac:dyDescent="0.2">
      <c r="A111" s="147">
        <v>9</v>
      </c>
      <c r="B111" s="169" t="s">
        <v>241</v>
      </c>
      <c r="C111" s="157">
        <v>1434172</v>
      </c>
      <c r="D111" s="157">
        <v>1529799</v>
      </c>
      <c r="E111" s="157">
        <f t="shared" si="4"/>
        <v>95627</v>
      </c>
      <c r="F111" s="161">
        <f t="shared" si="5"/>
        <v>6.6677497538649474E-2</v>
      </c>
    </row>
    <row r="112" spans="1:6" ht="15" customHeight="1" x14ac:dyDescent="0.2">
      <c r="A112" s="147">
        <v>10</v>
      </c>
      <c r="B112" s="169" t="s">
        <v>242</v>
      </c>
      <c r="C112" s="157">
        <v>5396526</v>
      </c>
      <c r="D112" s="157">
        <v>5372241</v>
      </c>
      <c r="E112" s="157">
        <f t="shared" si="4"/>
        <v>-24285</v>
      </c>
      <c r="F112" s="161">
        <f t="shared" si="5"/>
        <v>-4.5001172976837324E-3</v>
      </c>
    </row>
    <row r="113" spans="1:6" ht="15" customHeight="1" x14ac:dyDescent="0.2">
      <c r="A113" s="147">
        <v>11</v>
      </c>
      <c r="B113" s="169" t="s">
        <v>243</v>
      </c>
      <c r="C113" s="157">
        <v>5725970</v>
      </c>
      <c r="D113" s="157">
        <v>5421719</v>
      </c>
      <c r="E113" s="157">
        <f t="shared" si="4"/>
        <v>-304251</v>
      </c>
      <c r="F113" s="161">
        <f t="shared" si="5"/>
        <v>-5.3135276643084053E-2</v>
      </c>
    </row>
    <row r="114" spans="1:6" ht="15" customHeight="1" x14ac:dyDescent="0.2">
      <c r="A114" s="147">
        <v>12</v>
      </c>
      <c r="B114" s="169" t="s">
        <v>244</v>
      </c>
      <c r="C114" s="157">
        <v>108195</v>
      </c>
      <c r="D114" s="157">
        <v>82686</v>
      </c>
      <c r="E114" s="157">
        <f t="shared" si="4"/>
        <v>-25509</v>
      </c>
      <c r="F114" s="161">
        <f t="shared" si="5"/>
        <v>-0.23576875086649104</v>
      </c>
    </row>
    <row r="115" spans="1:6" ht="15" customHeight="1" x14ac:dyDescent="0.2">
      <c r="A115" s="147">
        <v>13</v>
      </c>
      <c r="B115" s="169" t="s">
        <v>245</v>
      </c>
      <c r="C115" s="157">
        <v>13100462</v>
      </c>
      <c r="D115" s="157">
        <v>8877110</v>
      </c>
      <c r="E115" s="157">
        <f t="shared" si="4"/>
        <v>-4223352</v>
      </c>
      <c r="F115" s="161">
        <f t="shared" si="5"/>
        <v>-0.32238191294322294</v>
      </c>
    </row>
    <row r="116" spans="1:6" ht="15" customHeight="1" x14ac:dyDescent="0.2">
      <c r="A116" s="147">
        <v>14</v>
      </c>
      <c r="B116" s="169" t="s">
        <v>246</v>
      </c>
      <c r="C116" s="157">
        <v>3401797</v>
      </c>
      <c r="D116" s="157">
        <v>7429336</v>
      </c>
      <c r="E116" s="157">
        <f t="shared" si="4"/>
        <v>4027539</v>
      </c>
      <c r="F116" s="161">
        <f t="shared" si="5"/>
        <v>1.1839445446039256</v>
      </c>
    </row>
    <row r="117" spans="1:6" ht="15" customHeight="1" x14ac:dyDescent="0.2">
      <c r="A117" s="147">
        <v>15</v>
      </c>
      <c r="B117" s="169" t="s">
        <v>203</v>
      </c>
      <c r="C117" s="157">
        <v>1988884</v>
      </c>
      <c r="D117" s="157">
        <v>2769371</v>
      </c>
      <c r="E117" s="157">
        <f t="shared" si="4"/>
        <v>780487</v>
      </c>
      <c r="F117" s="161">
        <f t="shared" si="5"/>
        <v>0.39242459590403461</v>
      </c>
    </row>
    <row r="118" spans="1:6" ht="15" customHeight="1" x14ac:dyDescent="0.2">
      <c r="A118" s="147">
        <v>16</v>
      </c>
      <c r="B118" s="169" t="s">
        <v>247</v>
      </c>
      <c r="C118" s="157">
        <v>3321930</v>
      </c>
      <c r="D118" s="157">
        <v>2680334</v>
      </c>
      <c r="E118" s="157">
        <f t="shared" si="4"/>
        <v>-641596</v>
      </c>
      <c r="F118" s="161">
        <f t="shared" si="5"/>
        <v>-0.19313953033327011</v>
      </c>
    </row>
    <row r="119" spans="1:6" ht="15" customHeight="1" x14ac:dyDescent="0.2">
      <c r="A119" s="147">
        <v>17</v>
      </c>
      <c r="B119" s="169" t="s">
        <v>248</v>
      </c>
      <c r="C119" s="157">
        <v>11762899</v>
      </c>
      <c r="D119" s="157">
        <v>10558859</v>
      </c>
      <c r="E119" s="157">
        <f t="shared" si="4"/>
        <v>-1204040</v>
      </c>
      <c r="F119" s="161">
        <f t="shared" si="5"/>
        <v>-0.102359120825572</v>
      </c>
    </row>
    <row r="120" spans="1:6" ht="15" customHeight="1" x14ac:dyDescent="0.2">
      <c r="A120" s="147">
        <v>18</v>
      </c>
      <c r="B120" s="169" t="s">
        <v>249</v>
      </c>
      <c r="C120" s="157">
        <v>252303</v>
      </c>
      <c r="D120" s="157">
        <v>237184</v>
      </c>
      <c r="E120" s="157">
        <f t="shared" si="4"/>
        <v>-15119</v>
      </c>
      <c r="F120" s="161">
        <f t="shared" si="5"/>
        <v>-5.9923980293535947E-2</v>
      </c>
    </row>
    <row r="121" spans="1:6" ht="15.75" customHeight="1" x14ac:dyDescent="0.25">
      <c r="A121" s="147"/>
      <c r="B121" s="165" t="s">
        <v>250</v>
      </c>
      <c r="C121" s="158">
        <f>SUM(C103:C120)</f>
        <v>140070486</v>
      </c>
      <c r="D121" s="158">
        <f>SUM(D103:D120)</f>
        <v>141847080</v>
      </c>
      <c r="E121" s="158">
        <f t="shared" si="4"/>
        <v>1776594</v>
      </c>
      <c r="F121" s="159">
        <f t="shared" si="5"/>
        <v>1.268357132708171E-2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0</v>
      </c>
      <c r="D124" s="157">
        <v>0</v>
      </c>
      <c r="E124" s="157">
        <f t="shared" ref="E124:E130" si="6">D124-C124</f>
        <v>0</v>
      </c>
      <c r="F124" s="161">
        <f t="shared" ref="F124:F130" si="7">IF(C124=0,0,E124/C124)</f>
        <v>0</v>
      </c>
    </row>
    <row r="125" spans="1:6" ht="15" customHeight="1" x14ac:dyDescent="0.2">
      <c r="A125" s="147">
        <v>2</v>
      </c>
      <c r="B125" s="169" t="s">
        <v>253</v>
      </c>
      <c r="C125" s="157">
        <v>13223128</v>
      </c>
      <c r="D125" s="157">
        <v>14903307</v>
      </c>
      <c r="E125" s="157">
        <f t="shared" si="6"/>
        <v>1680179</v>
      </c>
      <c r="F125" s="161">
        <f t="shared" si="7"/>
        <v>0.12706365695015581</v>
      </c>
    </row>
    <row r="126" spans="1:6" ht="15" customHeight="1" x14ac:dyDescent="0.2">
      <c r="A126" s="147">
        <v>3</v>
      </c>
      <c r="B126" s="169" t="s">
        <v>254</v>
      </c>
      <c r="C126" s="157">
        <v>7673335</v>
      </c>
      <c r="D126" s="157">
        <v>6961838</v>
      </c>
      <c r="E126" s="157">
        <f t="shared" si="6"/>
        <v>-711497</v>
      </c>
      <c r="F126" s="161">
        <f t="shared" si="7"/>
        <v>-9.2723307401540528E-2</v>
      </c>
    </row>
    <row r="127" spans="1:6" ht="15" customHeight="1" x14ac:dyDescent="0.2">
      <c r="A127" s="147">
        <v>4</v>
      </c>
      <c r="B127" s="169" t="s">
        <v>255</v>
      </c>
      <c r="C127" s="157">
        <v>2132344</v>
      </c>
      <c r="D127" s="157">
        <v>2053130</v>
      </c>
      <c r="E127" s="157">
        <f t="shared" si="6"/>
        <v>-79214</v>
      </c>
      <c r="F127" s="161">
        <f t="shared" si="7"/>
        <v>-3.7148790251479123E-2</v>
      </c>
    </row>
    <row r="128" spans="1:6" ht="15" customHeight="1" x14ac:dyDescent="0.2">
      <c r="A128" s="147">
        <v>5</v>
      </c>
      <c r="B128" s="169" t="s">
        <v>256</v>
      </c>
      <c r="C128" s="157">
        <v>4258857</v>
      </c>
      <c r="D128" s="157">
        <v>3693673</v>
      </c>
      <c r="E128" s="157">
        <f t="shared" si="6"/>
        <v>-565184</v>
      </c>
      <c r="F128" s="161">
        <f t="shared" si="7"/>
        <v>-0.13270790730940249</v>
      </c>
    </row>
    <row r="129" spans="1:6" ht="15" customHeight="1" x14ac:dyDescent="0.2">
      <c r="A129" s="147">
        <v>6</v>
      </c>
      <c r="B129" s="169" t="s">
        <v>257</v>
      </c>
      <c r="C129" s="157">
        <v>563112</v>
      </c>
      <c r="D129" s="157">
        <v>317455</v>
      </c>
      <c r="E129" s="157">
        <f t="shared" si="6"/>
        <v>-245657</v>
      </c>
      <c r="F129" s="161">
        <f t="shared" si="7"/>
        <v>-0.43624891673414878</v>
      </c>
    </row>
    <row r="130" spans="1:6" ht="15.75" customHeight="1" x14ac:dyDescent="0.25">
      <c r="A130" s="147"/>
      <c r="B130" s="165" t="s">
        <v>258</v>
      </c>
      <c r="C130" s="158">
        <f>SUM(C124:C129)</f>
        <v>27850776</v>
      </c>
      <c r="D130" s="158">
        <f>SUM(D124:D129)</f>
        <v>27929403</v>
      </c>
      <c r="E130" s="158">
        <f t="shared" si="6"/>
        <v>78627</v>
      </c>
      <c r="F130" s="159">
        <f t="shared" si="7"/>
        <v>2.8231529347692145E-3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46195071</v>
      </c>
      <c r="D133" s="157">
        <v>46319722</v>
      </c>
      <c r="E133" s="157">
        <f t="shared" ref="E133:E167" si="8">D133-C133</f>
        <v>124651</v>
      </c>
      <c r="F133" s="161">
        <f t="shared" ref="F133:F167" si="9">IF(C133=0,0,E133/C133)</f>
        <v>2.6983614767038676E-3</v>
      </c>
    </row>
    <row r="134" spans="1:6" ht="15" customHeight="1" x14ac:dyDescent="0.2">
      <c r="A134" s="147">
        <v>2</v>
      </c>
      <c r="B134" s="169" t="s">
        <v>261</v>
      </c>
      <c r="C134" s="157">
        <v>4162608</v>
      </c>
      <c r="D134" s="157">
        <v>3511075</v>
      </c>
      <c r="E134" s="157">
        <f t="shared" si="8"/>
        <v>-651533</v>
      </c>
      <c r="F134" s="161">
        <f t="shared" si="9"/>
        <v>-0.15652038337503796</v>
      </c>
    </row>
    <row r="135" spans="1:6" ht="15" customHeight="1" x14ac:dyDescent="0.2">
      <c r="A135" s="147">
        <v>3</v>
      </c>
      <c r="B135" s="169" t="s">
        <v>262</v>
      </c>
      <c r="C135" s="157">
        <v>2797652</v>
      </c>
      <c r="D135" s="157">
        <v>4040899</v>
      </c>
      <c r="E135" s="157">
        <f t="shared" si="8"/>
        <v>1243247</v>
      </c>
      <c r="F135" s="161">
        <f t="shared" si="9"/>
        <v>0.44438943800015157</v>
      </c>
    </row>
    <row r="136" spans="1:6" ht="15" customHeight="1" x14ac:dyDescent="0.2">
      <c r="A136" s="147">
        <v>4</v>
      </c>
      <c r="B136" s="169" t="s">
        <v>263</v>
      </c>
      <c r="C136" s="157">
        <v>5665172</v>
      </c>
      <c r="D136" s="157">
        <v>5622656</v>
      </c>
      <c r="E136" s="157">
        <f t="shared" si="8"/>
        <v>-42516</v>
      </c>
      <c r="F136" s="161">
        <f t="shared" si="9"/>
        <v>-7.5048030315760933E-3</v>
      </c>
    </row>
    <row r="137" spans="1:6" ht="15" customHeight="1" x14ac:dyDescent="0.2">
      <c r="A137" s="147">
        <v>5</v>
      </c>
      <c r="B137" s="169" t="s">
        <v>264</v>
      </c>
      <c r="C137" s="157">
        <v>8723006</v>
      </c>
      <c r="D137" s="157">
        <v>8537997</v>
      </c>
      <c r="E137" s="157">
        <f t="shared" si="8"/>
        <v>-185009</v>
      </c>
      <c r="F137" s="161">
        <f t="shared" si="9"/>
        <v>-2.1209317063406813E-2</v>
      </c>
    </row>
    <row r="138" spans="1:6" ht="15" customHeight="1" x14ac:dyDescent="0.2">
      <c r="A138" s="147">
        <v>6</v>
      </c>
      <c r="B138" s="169" t="s">
        <v>265</v>
      </c>
      <c r="C138" s="157">
        <v>1969424</v>
      </c>
      <c r="D138" s="157">
        <v>1581236</v>
      </c>
      <c r="E138" s="157">
        <f t="shared" si="8"/>
        <v>-388188</v>
      </c>
      <c r="F138" s="161">
        <f t="shared" si="9"/>
        <v>-0.19710737758857413</v>
      </c>
    </row>
    <row r="139" spans="1:6" ht="15" customHeight="1" x14ac:dyDescent="0.2">
      <c r="A139" s="147">
        <v>7</v>
      </c>
      <c r="B139" s="169" t="s">
        <v>266</v>
      </c>
      <c r="C139" s="157">
        <v>4530084</v>
      </c>
      <c r="D139" s="157">
        <v>4476578</v>
      </c>
      <c r="E139" s="157">
        <f t="shared" si="8"/>
        <v>-53506</v>
      </c>
      <c r="F139" s="161">
        <f t="shared" si="9"/>
        <v>-1.1811260011955628E-2</v>
      </c>
    </row>
    <row r="140" spans="1:6" ht="15" customHeight="1" x14ac:dyDescent="0.2">
      <c r="A140" s="147">
        <v>8</v>
      </c>
      <c r="B140" s="169" t="s">
        <v>267</v>
      </c>
      <c r="C140" s="157">
        <v>2487354</v>
      </c>
      <c r="D140" s="157">
        <v>2249155</v>
      </c>
      <c r="E140" s="157">
        <f t="shared" si="8"/>
        <v>-238199</v>
      </c>
      <c r="F140" s="161">
        <f t="shared" si="9"/>
        <v>-9.5764012681749361E-2</v>
      </c>
    </row>
    <row r="141" spans="1:6" ht="15" customHeight="1" x14ac:dyDescent="0.2">
      <c r="A141" s="147">
        <v>9</v>
      </c>
      <c r="B141" s="169" t="s">
        <v>268</v>
      </c>
      <c r="C141" s="157">
        <v>2481204</v>
      </c>
      <c r="D141" s="157">
        <v>2100836</v>
      </c>
      <c r="E141" s="157">
        <f t="shared" si="8"/>
        <v>-380368</v>
      </c>
      <c r="F141" s="161">
        <f t="shared" si="9"/>
        <v>-0.1532997689831227</v>
      </c>
    </row>
    <row r="142" spans="1:6" ht="15" customHeight="1" x14ac:dyDescent="0.2">
      <c r="A142" s="147">
        <v>10</v>
      </c>
      <c r="B142" s="169" t="s">
        <v>269</v>
      </c>
      <c r="C142" s="157">
        <v>28384765</v>
      </c>
      <c r="D142" s="157">
        <v>26934688</v>
      </c>
      <c r="E142" s="157">
        <f t="shared" si="8"/>
        <v>-1450077</v>
      </c>
      <c r="F142" s="161">
        <f t="shared" si="9"/>
        <v>-5.1086454300396711E-2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18297366</v>
      </c>
      <c r="D144" s="157">
        <v>17231800</v>
      </c>
      <c r="E144" s="157">
        <f t="shared" si="8"/>
        <v>-1065566</v>
      </c>
      <c r="F144" s="161">
        <f t="shared" si="9"/>
        <v>-5.8236032443139629E-2</v>
      </c>
    </row>
    <row r="145" spans="1:6" ht="15" customHeight="1" x14ac:dyDescent="0.2">
      <c r="A145" s="147">
        <v>13</v>
      </c>
      <c r="B145" s="169" t="s">
        <v>272</v>
      </c>
      <c r="C145" s="157">
        <v>204337</v>
      </c>
      <c r="D145" s="157">
        <v>204376</v>
      </c>
      <c r="E145" s="157">
        <f t="shared" si="8"/>
        <v>39</v>
      </c>
      <c r="F145" s="161">
        <f t="shared" si="9"/>
        <v>1.9086117541120795E-4</v>
      </c>
    </row>
    <row r="146" spans="1:6" ht="15" customHeight="1" x14ac:dyDescent="0.2">
      <c r="A146" s="147">
        <v>14</v>
      </c>
      <c r="B146" s="169" t="s">
        <v>273</v>
      </c>
      <c r="C146" s="157">
        <v>154114</v>
      </c>
      <c r="D146" s="157">
        <v>155590</v>
      </c>
      <c r="E146" s="157">
        <f t="shared" si="8"/>
        <v>1476</v>
      </c>
      <c r="F146" s="161">
        <f t="shared" si="9"/>
        <v>9.5773258756504925E-3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3166891</v>
      </c>
      <c r="D150" s="157">
        <v>3207753</v>
      </c>
      <c r="E150" s="157">
        <f t="shared" si="8"/>
        <v>40862</v>
      </c>
      <c r="F150" s="161">
        <f t="shared" si="9"/>
        <v>1.2902875406826443E-2</v>
      </c>
    </row>
    <row r="151" spans="1:6" ht="15" customHeight="1" x14ac:dyDescent="0.2">
      <c r="A151" s="147">
        <v>19</v>
      </c>
      <c r="B151" s="169" t="s">
        <v>278</v>
      </c>
      <c r="C151" s="157">
        <v>1491887</v>
      </c>
      <c r="D151" s="157">
        <v>1867540</v>
      </c>
      <c r="E151" s="157">
        <f t="shared" si="8"/>
        <v>375653</v>
      </c>
      <c r="F151" s="161">
        <f t="shared" si="9"/>
        <v>0.25179722056697323</v>
      </c>
    </row>
    <row r="152" spans="1:6" ht="15" customHeight="1" x14ac:dyDescent="0.2">
      <c r="A152" s="147">
        <v>20</v>
      </c>
      <c r="B152" s="169" t="s">
        <v>279</v>
      </c>
      <c r="C152" s="157">
        <v>19549254</v>
      </c>
      <c r="D152" s="157">
        <v>22158613</v>
      </c>
      <c r="E152" s="157">
        <f t="shared" si="8"/>
        <v>2609359</v>
      </c>
      <c r="F152" s="161">
        <f t="shared" si="9"/>
        <v>0.13347614185175558</v>
      </c>
    </row>
    <row r="153" spans="1:6" ht="15" customHeight="1" x14ac:dyDescent="0.2">
      <c r="A153" s="147">
        <v>21</v>
      </c>
      <c r="B153" s="169" t="s">
        <v>280</v>
      </c>
      <c r="C153" s="157">
        <v>87172</v>
      </c>
      <c r="D153" s="157">
        <v>128149</v>
      </c>
      <c r="E153" s="157">
        <f t="shared" si="8"/>
        <v>40977</v>
      </c>
      <c r="F153" s="161">
        <f t="shared" si="9"/>
        <v>0.47007066489239663</v>
      </c>
    </row>
    <row r="154" spans="1:6" ht="15" customHeight="1" x14ac:dyDescent="0.2">
      <c r="A154" s="147">
        <v>22</v>
      </c>
      <c r="B154" s="169" t="s">
        <v>281</v>
      </c>
      <c r="C154" s="157">
        <v>3296015</v>
      </c>
      <c r="D154" s="157">
        <v>2962517</v>
      </c>
      <c r="E154" s="157">
        <f t="shared" si="8"/>
        <v>-333498</v>
      </c>
      <c r="F154" s="161">
        <f t="shared" si="9"/>
        <v>-0.10118218515389038</v>
      </c>
    </row>
    <row r="155" spans="1:6" ht="15" customHeight="1" x14ac:dyDescent="0.2">
      <c r="A155" s="147">
        <v>23</v>
      </c>
      <c r="B155" s="169" t="s">
        <v>282</v>
      </c>
      <c r="C155" s="157">
        <v>3091076</v>
      </c>
      <c r="D155" s="157">
        <v>1016670</v>
      </c>
      <c r="E155" s="157">
        <f t="shared" si="8"/>
        <v>-2074406</v>
      </c>
      <c r="F155" s="161">
        <f t="shared" si="9"/>
        <v>-0.67109511380503095</v>
      </c>
    </row>
    <row r="156" spans="1:6" ht="15" customHeight="1" x14ac:dyDescent="0.2">
      <c r="A156" s="147">
        <v>24</v>
      </c>
      <c r="B156" s="169" t="s">
        <v>283</v>
      </c>
      <c r="C156" s="157">
        <v>25227059</v>
      </c>
      <c r="D156" s="157">
        <v>24932342</v>
      </c>
      <c r="E156" s="157">
        <f t="shared" si="8"/>
        <v>-294717</v>
      </c>
      <c r="F156" s="161">
        <f t="shared" si="9"/>
        <v>-1.1682574651290108E-2</v>
      </c>
    </row>
    <row r="157" spans="1:6" ht="15" customHeight="1" x14ac:dyDescent="0.2">
      <c r="A157" s="147">
        <v>25</v>
      </c>
      <c r="B157" s="169" t="s">
        <v>284</v>
      </c>
      <c r="C157" s="157">
        <v>2125839</v>
      </c>
      <c r="D157" s="157">
        <v>1809130</v>
      </c>
      <c r="E157" s="157">
        <f t="shared" si="8"/>
        <v>-316709</v>
      </c>
      <c r="F157" s="161">
        <f t="shared" si="9"/>
        <v>-0.14898070832269047</v>
      </c>
    </row>
    <row r="158" spans="1:6" ht="15" customHeight="1" x14ac:dyDescent="0.2">
      <c r="A158" s="147">
        <v>26</v>
      </c>
      <c r="B158" s="169" t="s">
        <v>285</v>
      </c>
      <c r="C158" s="157">
        <v>1038432</v>
      </c>
      <c r="D158" s="157">
        <v>1062642</v>
      </c>
      <c r="E158" s="157">
        <f t="shared" si="8"/>
        <v>24210</v>
      </c>
      <c r="F158" s="161">
        <f t="shared" si="9"/>
        <v>2.3313996487011185E-2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5492210</v>
      </c>
      <c r="D160" s="157">
        <v>5042969</v>
      </c>
      <c r="E160" s="157">
        <f t="shared" si="8"/>
        <v>-449241</v>
      </c>
      <c r="F160" s="161">
        <f t="shared" si="9"/>
        <v>-8.1796034747396773E-2</v>
      </c>
    </row>
    <row r="161" spans="1:6" ht="15" customHeight="1" x14ac:dyDescent="0.2">
      <c r="A161" s="147">
        <v>29</v>
      </c>
      <c r="B161" s="169" t="s">
        <v>288</v>
      </c>
      <c r="C161" s="157">
        <v>1300453</v>
      </c>
      <c r="D161" s="157">
        <v>1356578</v>
      </c>
      <c r="E161" s="157">
        <f t="shared" si="8"/>
        <v>56125</v>
      </c>
      <c r="F161" s="161">
        <f t="shared" si="9"/>
        <v>4.3158038006756105E-2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616136</v>
      </c>
      <c r="D163" s="157">
        <v>622239</v>
      </c>
      <c r="E163" s="157">
        <f t="shared" si="8"/>
        <v>6103</v>
      </c>
      <c r="F163" s="161">
        <f t="shared" si="9"/>
        <v>9.9052806523235136E-3</v>
      </c>
    </row>
    <row r="164" spans="1:6" ht="15" customHeight="1" x14ac:dyDescent="0.2">
      <c r="A164" s="147">
        <v>32</v>
      </c>
      <c r="B164" s="169" t="s">
        <v>291</v>
      </c>
      <c r="C164" s="157">
        <v>8556360</v>
      </c>
      <c r="D164" s="157">
        <v>8150185</v>
      </c>
      <c r="E164" s="157">
        <f t="shared" si="8"/>
        <v>-406175</v>
      </c>
      <c r="F164" s="161">
        <f t="shared" si="9"/>
        <v>-4.7470536536564613E-2</v>
      </c>
    </row>
    <row r="165" spans="1:6" ht="15" customHeight="1" x14ac:dyDescent="0.2">
      <c r="A165" s="147">
        <v>33</v>
      </c>
      <c r="B165" s="169" t="s">
        <v>292</v>
      </c>
      <c r="C165" s="157">
        <v>1886155</v>
      </c>
      <c r="D165" s="157">
        <v>1772224</v>
      </c>
      <c r="E165" s="157">
        <f t="shared" si="8"/>
        <v>-113931</v>
      </c>
      <c r="F165" s="161">
        <f t="shared" si="9"/>
        <v>-6.0403837436477911E-2</v>
      </c>
    </row>
    <row r="166" spans="1:6" ht="15" customHeight="1" x14ac:dyDescent="0.2">
      <c r="A166" s="147">
        <v>34</v>
      </c>
      <c r="B166" s="169" t="s">
        <v>293</v>
      </c>
      <c r="C166" s="157">
        <v>11506752</v>
      </c>
      <c r="D166" s="157">
        <v>9971035</v>
      </c>
      <c r="E166" s="157">
        <f t="shared" si="8"/>
        <v>-1535717</v>
      </c>
      <c r="F166" s="161">
        <f t="shared" si="9"/>
        <v>-0.13346224894740061</v>
      </c>
    </row>
    <row r="167" spans="1:6" ht="15.75" customHeight="1" x14ac:dyDescent="0.25">
      <c r="A167" s="147"/>
      <c r="B167" s="165" t="s">
        <v>294</v>
      </c>
      <c r="C167" s="158">
        <f>SUM(C133:C166)</f>
        <v>214483848</v>
      </c>
      <c r="D167" s="158">
        <f>SUM(D133:D166)</f>
        <v>209027194</v>
      </c>
      <c r="E167" s="158">
        <f t="shared" si="8"/>
        <v>-5456654</v>
      </c>
      <c r="F167" s="159">
        <f t="shared" si="9"/>
        <v>-2.5440862101653455E-2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55912506</v>
      </c>
      <c r="D170" s="157">
        <v>53626466</v>
      </c>
      <c r="E170" s="157">
        <f t="shared" ref="E170:E183" si="10">D170-C170</f>
        <v>-2286040</v>
      </c>
      <c r="F170" s="161">
        <f t="shared" ref="F170:F183" si="11">IF(C170=0,0,E170/C170)</f>
        <v>-4.0886022887258892E-2</v>
      </c>
    </row>
    <row r="171" spans="1:6" ht="15" customHeight="1" x14ac:dyDescent="0.2">
      <c r="A171" s="147">
        <v>2</v>
      </c>
      <c r="B171" s="169" t="s">
        <v>297</v>
      </c>
      <c r="C171" s="157">
        <v>6688478</v>
      </c>
      <c r="D171" s="157">
        <v>6071854</v>
      </c>
      <c r="E171" s="157">
        <f t="shared" si="10"/>
        <v>-616624</v>
      </c>
      <c r="F171" s="161">
        <f t="shared" si="11"/>
        <v>-9.2191975513711791E-2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4834656</v>
      </c>
      <c r="D173" s="157">
        <v>5036734</v>
      </c>
      <c r="E173" s="157">
        <f t="shared" si="10"/>
        <v>202078</v>
      </c>
      <c r="F173" s="161">
        <f t="shared" si="11"/>
        <v>4.1797803194270698E-2</v>
      </c>
    </row>
    <row r="174" spans="1:6" ht="15" customHeight="1" x14ac:dyDescent="0.2">
      <c r="A174" s="147">
        <v>5</v>
      </c>
      <c r="B174" s="169" t="s">
        <v>300</v>
      </c>
      <c r="C174" s="157">
        <v>2955134</v>
      </c>
      <c r="D174" s="157">
        <v>2335875</v>
      </c>
      <c r="E174" s="157">
        <f t="shared" si="10"/>
        <v>-619259</v>
      </c>
      <c r="F174" s="161">
        <f t="shared" si="11"/>
        <v>-0.20955361076688908</v>
      </c>
    </row>
    <row r="175" spans="1:6" ht="15" customHeight="1" x14ac:dyDescent="0.2">
      <c r="A175" s="147">
        <v>6</v>
      </c>
      <c r="B175" s="169" t="s">
        <v>301</v>
      </c>
      <c r="C175" s="157">
        <v>5147778</v>
      </c>
      <c r="D175" s="157">
        <v>4946512</v>
      </c>
      <c r="E175" s="157">
        <f t="shared" si="10"/>
        <v>-201266</v>
      </c>
      <c r="F175" s="161">
        <f t="shared" si="11"/>
        <v>-3.9097645624966731E-2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5438980</v>
      </c>
      <c r="D177" s="157">
        <v>5190258</v>
      </c>
      <c r="E177" s="157">
        <f t="shared" si="10"/>
        <v>-248722</v>
      </c>
      <c r="F177" s="161">
        <f t="shared" si="11"/>
        <v>-4.572953016925968E-2</v>
      </c>
    </row>
    <row r="178" spans="1:6" ht="15" customHeight="1" x14ac:dyDescent="0.2">
      <c r="A178" s="147">
        <v>9</v>
      </c>
      <c r="B178" s="169" t="s">
        <v>304</v>
      </c>
      <c r="C178" s="157">
        <v>3365750</v>
      </c>
      <c r="D178" s="157">
        <v>3264967</v>
      </c>
      <c r="E178" s="157">
        <f t="shared" si="10"/>
        <v>-100783</v>
      </c>
      <c r="F178" s="161">
        <f t="shared" si="11"/>
        <v>-2.994369754140979E-2</v>
      </c>
    </row>
    <row r="179" spans="1:6" ht="15" customHeight="1" x14ac:dyDescent="0.2">
      <c r="A179" s="147">
        <v>10</v>
      </c>
      <c r="B179" s="169" t="s">
        <v>305</v>
      </c>
      <c r="C179" s="157">
        <v>9375458</v>
      </c>
      <c r="D179" s="157">
        <v>8217193</v>
      </c>
      <c r="E179" s="157">
        <f t="shared" si="10"/>
        <v>-1158265</v>
      </c>
      <c r="F179" s="161">
        <f t="shared" si="11"/>
        <v>-0.12354223121686428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7659224</v>
      </c>
      <c r="D181" s="157">
        <v>7373498</v>
      </c>
      <c r="E181" s="157">
        <f t="shared" si="10"/>
        <v>-285726</v>
      </c>
      <c r="F181" s="161">
        <f t="shared" si="11"/>
        <v>-3.7304823569593998E-2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101377964</v>
      </c>
      <c r="D183" s="158">
        <f>SUM(D170:D182)</f>
        <v>96063357</v>
      </c>
      <c r="E183" s="158">
        <f t="shared" si="10"/>
        <v>-5314607</v>
      </c>
      <c r="F183" s="159">
        <f t="shared" si="11"/>
        <v>-5.2423690418560785E-2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31014122</v>
      </c>
      <c r="D186" s="157">
        <v>11701560</v>
      </c>
      <c r="E186" s="157">
        <f>D186-C186</f>
        <v>-19312562</v>
      </c>
      <c r="F186" s="161">
        <f>IF(C186=0,0,E186/C186)</f>
        <v>-0.62270219998489718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514797196</v>
      </c>
      <c r="D188" s="158">
        <f>+D186+D183+D167+D130+D121</f>
        <v>486568594</v>
      </c>
      <c r="E188" s="158">
        <f>D188-C188</f>
        <v>-28228602</v>
      </c>
      <c r="F188" s="159">
        <f>IF(C188=0,0,E188/C188)</f>
        <v>-5.4834412889847986E-2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rintOptions gridLines="1"/>
  <pageMargins left="0.25" right="0.25" top="0.5" bottom="0.5" header="0.25" footer="0.25"/>
  <pageSetup scale="74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/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497720490</v>
      </c>
      <c r="D11" s="183">
        <v>521836000</v>
      </c>
      <c r="E11" s="76">
        <v>501863239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13930894</v>
      </c>
      <c r="D12" s="185">
        <v>22126583</v>
      </c>
      <c r="E12" s="185">
        <v>13159391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511651384</v>
      </c>
      <c r="D13" s="76">
        <f>+D11+D12</f>
        <v>543962583</v>
      </c>
      <c r="E13" s="76">
        <f>+E11+E12</f>
        <v>515022630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495471968</v>
      </c>
      <c r="D14" s="185">
        <v>514797196</v>
      </c>
      <c r="E14" s="185">
        <v>486568594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16179416</v>
      </c>
      <c r="D15" s="76">
        <f>+D13-D14</f>
        <v>29165387</v>
      </c>
      <c r="E15" s="76">
        <f>+E13-E14</f>
        <v>28454036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7506504</v>
      </c>
      <c r="D16" s="185">
        <v>24210874</v>
      </c>
      <c r="E16" s="185">
        <v>10187487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23685920</v>
      </c>
      <c r="D17" s="76">
        <f>D15+D16</f>
        <v>53376261</v>
      </c>
      <c r="E17" s="76">
        <f>E15+E16</f>
        <v>38641523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3.116473114244582E-2</v>
      </c>
      <c r="D20" s="189">
        <f>IF(+D27=0,0,+D24/+D27)</f>
        <v>5.1331836502879792E-2</v>
      </c>
      <c r="E20" s="189">
        <f>IF(+E27=0,0,+E24/+E27)</f>
        <v>5.4176481143450632E-2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1.4459000187626929E-2</v>
      </c>
      <c r="D21" s="189">
        <f>IF(D27=0,0,+D26/D27)</f>
        <v>4.2611765301102403E-2</v>
      </c>
      <c r="E21" s="189">
        <f>IF(E27=0,0,+E26/E27)</f>
        <v>1.9396974030490732E-2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4.5623731330072748E-2</v>
      </c>
      <c r="D22" s="189">
        <f>IF(D27=0,0,+D28/D27)</f>
        <v>9.3943601803982188E-2</v>
      </c>
      <c r="E22" s="189">
        <f>IF(E27=0,0,+E28/E27)</f>
        <v>7.3573455173941371E-2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16179416</v>
      </c>
      <c r="D24" s="76">
        <f>+D15</f>
        <v>29165387</v>
      </c>
      <c r="E24" s="76">
        <f>+E15</f>
        <v>28454036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511651384</v>
      </c>
      <c r="D25" s="76">
        <f>+D13</f>
        <v>543962583</v>
      </c>
      <c r="E25" s="76">
        <f>+E13</f>
        <v>515022630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7506504</v>
      </c>
      <c r="D26" s="76">
        <f>+D16</f>
        <v>24210874</v>
      </c>
      <c r="E26" s="76">
        <f>+E16</f>
        <v>10187487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519157888</v>
      </c>
      <c r="D27" s="76">
        <f>+D25+D26</f>
        <v>568173457</v>
      </c>
      <c r="E27" s="76">
        <f>+E25+E26</f>
        <v>525210117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23685920</v>
      </c>
      <c r="D28" s="76">
        <f>+D17</f>
        <v>53376261</v>
      </c>
      <c r="E28" s="76">
        <f>+E17</f>
        <v>38641523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332255763</v>
      </c>
      <c r="D31" s="76">
        <v>386002265</v>
      </c>
      <c r="E31" s="76">
        <v>400930008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388241578</v>
      </c>
      <c r="D32" s="76">
        <v>444621099</v>
      </c>
      <c r="E32" s="76">
        <v>486647111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-35763549</v>
      </c>
      <c r="D33" s="76">
        <f>+D32-C32</f>
        <v>56379521</v>
      </c>
      <c r="E33" s="76">
        <f>+E32-D32</f>
        <v>42026012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0.91559999999999997</v>
      </c>
      <c r="D34" s="193">
        <f>IF(C32=0,0,+D33/C32)</f>
        <v>0.14521762787601281</v>
      </c>
      <c r="E34" s="193">
        <f>IF(D32=0,0,+E33/D32)</f>
        <v>9.452095749509179E-2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0.44043692926356071</v>
      </c>
      <c r="D38" s="195">
        <f>IF((D40+D41)=0,0,+D39/(D40+D41))</f>
        <v>0.4301891737028502</v>
      </c>
      <c r="E38" s="195">
        <f>IF((E40+E41)=0,0,+E39/(E40+E41))</f>
        <v>0.39014394239457728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495471968</v>
      </c>
      <c r="D39" s="76">
        <v>514797196</v>
      </c>
      <c r="E39" s="196">
        <v>486568594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1113153089</v>
      </c>
      <c r="D40" s="76">
        <v>1177078060</v>
      </c>
      <c r="E40" s="196">
        <v>1231890672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11802461</v>
      </c>
      <c r="D41" s="76">
        <v>19598257</v>
      </c>
      <c r="E41" s="196">
        <v>15260805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1.3715529871159813</v>
      </c>
      <c r="D43" s="197">
        <f>IF(D38=0,0,IF((D46-D47)=0,0,((+D44-D45)/(D46-D47)/D38)))</f>
        <v>1.4038313141988148</v>
      </c>
      <c r="E43" s="197">
        <f>IF(E38=0,0,IF((E46-E47)=0,0,((+E44-E45)/(E46-E47)/E38)))</f>
        <v>1.5185389276461059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284025912</v>
      </c>
      <c r="D44" s="76">
        <v>300340464</v>
      </c>
      <c r="E44" s="196">
        <v>303141114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3211210</v>
      </c>
      <c r="D45" s="76">
        <v>7736655</v>
      </c>
      <c r="E45" s="196">
        <v>9056420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493210518</v>
      </c>
      <c r="D46" s="76">
        <v>521061067</v>
      </c>
      <c r="E46" s="196">
        <v>530833006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28349076</v>
      </c>
      <c r="D47" s="76">
        <v>36547912</v>
      </c>
      <c r="E47" s="76">
        <v>34444606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0.76935895962593148</v>
      </c>
      <c r="D49" s="198">
        <f>IF(D38=0,0,IF(D51=0,0,(D50/D51)/D38))</f>
        <v>0.77967507443163953</v>
      </c>
      <c r="E49" s="198">
        <f>IF(E38=0,0,IF(E51=0,0,(E50/E51)/E38))</f>
        <v>0.83338127236987325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166023806</v>
      </c>
      <c r="D50" s="199">
        <v>170634278</v>
      </c>
      <c r="E50" s="199">
        <v>175171391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489956613</v>
      </c>
      <c r="D51" s="199">
        <v>508736798</v>
      </c>
      <c r="E51" s="199">
        <v>538759044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0.55210107073335823</v>
      </c>
      <c r="D53" s="198">
        <f>IF(D38=0,0,IF(D55=0,0,(D54/D55)/D38))</f>
        <v>0.57138745541692637</v>
      </c>
      <c r="E53" s="198">
        <f>IF(E38=0,0,IF(E55=0,0,(E54/E55)/E38))</f>
        <v>0.56485786990320552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30627225</v>
      </c>
      <c r="D54" s="199">
        <v>35364833</v>
      </c>
      <c r="E54" s="199">
        <v>35080650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125952077</v>
      </c>
      <c r="D55" s="199">
        <v>143873707</v>
      </c>
      <c r="E55" s="199">
        <v>159185527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13011699.593650028</v>
      </c>
      <c r="D57" s="88">
        <f>+D60*D38</f>
        <v>14361005.185722249</v>
      </c>
      <c r="E57" s="88">
        <f>+E60*E38</f>
        <v>11728671.446865531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11359623</v>
      </c>
      <c r="D58" s="199">
        <v>13969782</v>
      </c>
      <c r="E58" s="199">
        <v>12948351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18183085</v>
      </c>
      <c r="D59" s="199">
        <v>19413218</v>
      </c>
      <c r="E59" s="199">
        <v>17114070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29542708</v>
      </c>
      <c r="D60" s="76">
        <v>33383000</v>
      </c>
      <c r="E60" s="201">
        <v>30062421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2.6261222498968961E-2</v>
      </c>
      <c r="D62" s="202">
        <f>IF(D63=0,0,+D57/D63)</f>
        <v>2.789643241514907E-2</v>
      </c>
      <c r="E62" s="202">
        <f>IF(E63=0,0,+E57/E63)</f>
        <v>2.4104867415395765E-2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495471968</v>
      </c>
      <c r="D63" s="199">
        <v>514797196</v>
      </c>
      <c r="E63" s="199">
        <v>486568594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1.9628431874494192</v>
      </c>
      <c r="D67" s="203">
        <f>IF(D69=0,0,D68/D69)</f>
        <v>2.3540234490943104</v>
      </c>
      <c r="E67" s="203">
        <f>IF(E69=0,0,E68/E69)</f>
        <v>1.924166611525276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116037544</v>
      </c>
      <c r="D68" s="204">
        <v>148404173</v>
      </c>
      <c r="E68" s="204">
        <v>150776089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59117073</v>
      </c>
      <c r="D69" s="204">
        <v>63042776</v>
      </c>
      <c r="E69" s="204">
        <v>78359165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28.541209795550998</v>
      </c>
      <c r="D71" s="203">
        <f>IF((D77/365)=0,0,+D74/(D77/365))</f>
        <v>41.143770551363552</v>
      </c>
      <c r="E71" s="203">
        <f>IF((E77/365)=0,0,+E74/(E77/365))</f>
        <v>47.595356656486608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36603282</v>
      </c>
      <c r="D72" s="183">
        <v>54460115</v>
      </c>
      <c r="E72" s="183">
        <v>59531409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36603282</v>
      </c>
      <c r="D74" s="204">
        <f>+D72+D73</f>
        <v>54460115</v>
      </c>
      <c r="E74" s="204">
        <f>+E72+E73</f>
        <v>59531409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495471968</v>
      </c>
      <c r="D75" s="204">
        <f>+D14</f>
        <v>514797196</v>
      </c>
      <c r="E75" s="204">
        <f>+E14</f>
        <v>486568594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27369949</v>
      </c>
      <c r="D76" s="204">
        <v>31663499</v>
      </c>
      <c r="E76" s="204">
        <v>30033213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468102019</v>
      </c>
      <c r="D77" s="204">
        <f>+D75-D76</f>
        <v>483133697</v>
      </c>
      <c r="E77" s="204">
        <f>+E75-E76</f>
        <v>456535381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30.951474521372429</v>
      </c>
      <c r="D79" s="203">
        <f>IF((D84/365)=0,0,+D83/(D84/365))</f>
        <v>35.010152921607556</v>
      </c>
      <c r="E79" s="203">
        <f>IF((E84/365)=0,0,+E83/(E84/365))</f>
        <v>35.48806072245511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53313528</v>
      </c>
      <c r="D80" s="212">
        <v>60038935</v>
      </c>
      <c r="E80" s="212">
        <v>57504970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11107547</v>
      </c>
      <c r="D82" s="212">
        <v>9985351</v>
      </c>
      <c r="E82" s="212">
        <v>8710030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42205981</v>
      </c>
      <c r="D83" s="212">
        <f>+D80+D81-D82</f>
        <v>50053584</v>
      </c>
      <c r="E83" s="212">
        <f>+E80+E81-E82</f>
        <v>48794940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497720490</v>
      </c>
      <c r="D84" s="204">
        <f>+D11</f>
        <v>521836000</v>
      </c>
      <c r="E84" s="204">
        <f>+E11</f>
        <v>501863239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46.096215716172757</v>
      </c>
      <c r="D86" s="203">
        <f>IF((D90/365)=0,0,+D87/(D90/365))</f>
        <v>47.627837559010089</v>
      </c>
      <c r="E86" s="203">
        <f>IF((E90/365)=0,0,+E87/(E90/365))</f>
        <v>62.648146048071574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59117073</v>
      </c>
      <c r="D87" s="76">
        <f>+D69</f>
        <v>63042776</v>
      </c>
      <c r="E87" s="76">
        <f>+E69</f>
        <v>78359165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495471968</v>
      </c>
      <c r="D88" s="76">
        <f t="shared" si="0"/>
        <v>514797196</v>
      </c>
      <c r="E88" s="76">
        <f t="shared" si="0"/>
        <v>486568594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27369949</v>
      </c>
      <c r="D89" s="201">
        <f t="shared" si="0"/>
        <v>31663499</v>
      </c>
      <c r="E89" s="201">
        <f t="shared" si="0"/>
        <v>30033213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468102019</v>
      </c>
      <c r="D90" s="76">
        <f>+D88-D89</f>
        <v>483133697</v>
      </c>
      <c r="E90" s="76">
        <f>+E88-E89</f>
        <v>456535381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54.291475705630354</v>
      </c>
      <c r="D94" s="214">
        <f>IF(D96=0,0,(D95/D96)*100)</f>
        <v>54.423068174539914</v>
      </c>
      <c r="E94" s="214">
        <f>IF(E96=0,0,(E95/E96)*100)</f>
        <v>55.543834561924065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388241578</v>
      </c>
      <c r="D95" s="76">
        <f>+D32</f>
        <v>444621099</v>
      </c>
      <c r="E95" s="76">
        <f>+E32</f>
        <v>486647111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715105959</v>
      </c>
      <c r="D96" s="76">
        <v>816971762</v>
      </c>
      <c r="E96" s="76">
        <v>876149648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16.405227549967993</v>
      </c>
      <c r="D98" s="214">
        <f>IF(D104=0,0,(D101/D104)*100)</f>
        <v>27.20203597705882</v>
      </c>
      <c r="E98" s="214">
        <f>IF(E104=0,0,(E101/E104)*100)</f>
        <v>21.126841939681963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23685920</v>
      </c>
      <c r="D99" s="76">
        <f>+D28</f>
        <v>53376261</v>
      </c>
      <c r="E99" s="76">
        <f>+E28</f>
        <v>38641523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27369949</v>
      </c>
      <c r="D100" s="201">
        <f>+D76</f>
        <v>31663499</v>
      </c>
      <c r="E100" s="201">
        <f>+E76</f>
        <v>30033213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51055869</v>
      </c>
      <c r="D101" s="76">
        <f>+D99+D100</f>
        <v>85039760</v>
      </c>
      <c r="E101" s="76">
        <f>+E99+E100</f>
        <v>68674736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59117073</v>
      </c>
      <c r="D102" s="204">
        <f>+D69</f>
        <v>63042776</v>
      </c>
      <c r="E102" s="204">
        <f>+E69</f>
        <v>78359165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252100000</v>
      </c>
      <c r="D103" s="216">
        <v>249580000</v>
      </c>
      <c r="E103" s="216">
        <v>246700000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311217073</v>
      </c>
      <c r="D104" s="204">
        <f>+D102+D103</f>
        <v>312622776</v>
      </c>
      <c r="E104" s="204">
        <f>+E102+E103</f>
        <v>325059165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39.369612822486438</v>
      </c>
      <c r="D106" s="214">
        <f>IF(D109=0,0,(D107/D109)*100)</f>
        <v>35.952118249239476</v>
      </c>
      <c r="E106" s="214">
        <f>IF(E109=0,0,(E107/E109)*100)</f>
        <v>33.640277066558184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252100000</v>
      </c>
      <c r="D107" s="204">
        <f>+D103</f>
        <v>249580000</v>
      </c>
      <c r="E107" s="204">
        <f>+E103</f>
        <v>246700000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388241578</v>
      </c>
      <c r="D108" s="204">
        <f>+D32</f>
        <v>444621099</v>
      </c>
      <c r="E108" s="204">
        <f>+E32</f>
        <v>486647111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640341578</v>
      </c>
      <c r="D109" s="204">
        <f>+D107+D108</f>
        <v>694201099</v>
      </c>
      <c r="E109" s="204">
        <f>+E107+E108</f>
        <v>733347111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1.4011525822115229</v>
      </c>
      <c r="D111" s="214">
        <f>IF((+D113+D115)=0,0,((+D112+D113+D114)/(+D113+D115)))</f>
        <v>1.8771721289325864</v>
      </c>
      <c r="E111" s="214">
        <f>IF((+E113+E115)=0,0,((+E112+E113+E114)/(+E113+E115)))</f>
        <v>13.117376534333635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23685920</v>
      </c>
      <c r="D112" s="76">
        <f>+D17</f>
        <v>53376261</v>
      </c>
      <c r="E112" s="76">
        <f>+E17</f>
        <v>38641523</v>
      </c>
    </row>
    <row r="113" spans="1:8" ht="24" customHeight="1" x14ac:dyDescent="0.2">
      <c r="A113" s="85">
        <v>17</v>
      </c>
      <c r="B113" s="75" t="s">
        <v>88</v>
      </c>
      <c r="C113" s="218">
        <v>4587742</v>
      </c>
      <c r="D113" s="76">
        <v>4156056</v>
      </c>
      <c r="E113" s="76">
        <v>3984131</v>
      </c>
    </row>
    <row r="114" spans="1:8" ht="24" customHeight="1" x14ac:dyDescent="0.2">
      <c r="A114" s="85">
        <v>18</v>
      </c>
      <c r="B114" s="75" t="s">
        <v>374</v>
      </c>
      <c r="C114" s="218">
        <v>27369949</v>
      </c>
      <c r="D114" s="76">
        <v>31663499</v>
      </c>
      <c r="E114" s="76">
        <v>30033213</v>
      </c>
    </row>
    <row r="115" spans="1:8" ht="24" customHeight="1" x14ac:dyDescent="0.2">
      <c r="A115" s="85">
        <v>19</v>
      </c>
      <c r="B115" s="75" t="s">
        <v>104</v>
      </c>
      <c r="C115" s="218">
        <v>35125000</v>
      </c>
      <c r="D115" s="76">
        <v>43360000</v>
      </c>
      <c r="E115" s="76">
        <v>1555000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10.954849897601198</v>
      </c>
      <c r="D119" s="214">
        <f>IF(+D121=0,0,(+D120)/(+D121))</f>
        <v>10.200325523088905</v>
      </c>
      <c r="E119" s="214">
        <f>IF(+E121=0,0,(+E120)/(+E121))</f>
        <v>10.931261966543506</v>
      </c>
    </row>
    <row r="120" spans="1:8" ht="24" customHeight="1" x14ac:dyDescent="0.2">
      <c r="A120" s="85">
        <v>21</v>
      </c>
      <c r="B120" s="75" t="s">
        <v>378</v>
      </c>
      <c r="C120" s="218">
        <v>299833683</v>
      </c>
      <c r="D120" s="218">
        <v>322977997</v>
      </c>
      <c r="E120" s="218">
        <v>328300919</v>
      </c>
    </row>
    <row r="121" spans="1:8" ht="24" customHeight="1" x14ac:dyDescent="0.2">
      <c r="A121" s="85">
        <v>22</v>
      </c>
      <c r="B121" s="75" t="s">
        <v>374</v>
      </c>
      <c r="C121" s="218">
        <v>27369949</v>
      </c>
      <c r="D121" s="218">
        <v>31663499</v>
      </c>
      <c r="E121" s="218">
        <v>30033213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96663</v>
      </c>
      <c r="D124" s="218">
        <v>92010</v>
      </c>
      <c r="E124" s="218">
        <v>91003</v>
      </c>
    </row>
    <row r="125" spans="1:8" ht="24" customHeight="1" x14ac:dyDescent="0.2">
      <c r="A125" s="85">
        <v>2</v>
      </c>
      <c r="B125" s="75" t="s">
        <v>381</v>
      </c>
      <c r="C125" s="218">
        <v>20763</v>
      </c>
      <c r="D125" s="218">
        <v>19668</v>
      </c>
      <c r="E125" s="218">
        <v>18562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4.6555411067764778</v>
      </c>
      <c r="D126" s="219">
        <f>IF(D125=0,0,D124/D125)</f>
        <v>4.6781574130567423</v>
      </c>
      <c r="E126" s="219">
        <f>IF(E125=0,0,E124/E125)</f>
        <v>4.9026505764465034</v>
      </c>
    </row>
    <row r="127" spans="1:8" ht="24" customHeight="1" x14ac:dyDescent="0.2">
      <c r="A127" s="85">
        <v>4</v>
      </c>
      <c r="B127" s="75" t="s">
        <v>383</v>
      </c>
      <c r="C127" s="218">
        <v>286</v>
      </c>
      <c r="D127" s="218">
        <v>265</v>
      </c>
      <c r="E127" s="218">
        <v>267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371</v>
      </c>
      <c r="E128" s="218">
        <v>371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371</v>
      </c>
      <c r="D129" s="218">
        <v>371</v>
      </c>
      <c r="E129" s="218">
        <v>371</v>
      </c>
    </row>
    <row r="130" spans="1:7" ht="24" customHeight="1" x14ac:dyDescent="0.2">
      <c r="A130" s="85">
        <v>7</v>
      </c>
      <c r="B130" s="75" t="s">
        <v>386</v>
      </c>
      <c r="C130" s="193">
        <v>0.92589999999999995</v>
      </c>
      <c r="D130" s="193">
        <v>0.95120000000000005</v>
      </c>
      <c r="E130" s="193">
        <v>0.93369999999999997</v>
      </c>
    </row>
    <row r="131" spans="1:7" ht="24" customHeight="1" x14ac:dyDescent="0.2">
      <c r="A131" s="85">
        <v>8</v>
      </c>
      <c r="B131" s="75" t="s">
        <v>387</v>
      </c>
      <c r="C131" s="193">
        <v>0.71379999999999999</v>
      </c>
      <c r="D131" s="193">
        <v>0.6794</v>
      </c>
      <c r="E131" s="193">
        <v>0.67200000000000004</v>
      </c>
    </row>
    <row r="132" spans="1:7" ht="24" customHeight="1" x14ac:dyDescent="0.2">
      <c r="A132" s="85">
        <v>9</v>
      </c>
      <c r="B132" s="75" t="s">
        <v>388</v>
      </c>
      <c r="C132" s="219">
        <v>2541.3000000000002</v>
      </c>
      <c r="D132" s="219">
        <v>2403.9</v>
      </c>
      <c r="E132" s="219">
        <v>2361.9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0.41760782644695155</v>
      </c>
      <c r="D135" s="227">
        <f>IF(D149=0,0,D143/D149)</f>
        <v>0.41162363947213493</v>
      </c>
      <c r="E135" s="227">
        <f>IF(E149=0,0,E143/E149)</f>
        <v>0.40294842008512261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0.44015204902333072</v>
      </c>
      <c r="D136" s="227">
        <f>IF(D149=0,0,D144/D149)</f>
        <v>0.43220310979205578</v>
      </c>
      <c r="E136" s="227">
        <f>IF(E149=0,0,E144/E149)</f>
        <v>0.43734322878288667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0.11314892645462532</v>
      </c>
      <c r="D137" s="227">
        <f>IF(D149=0,0,D145/D149)</f>
        <v>0.12222953760602759</v>
      </c>
      <c r="E137" s="227">
        <f>IF(E149=0,0,E145/E149)</f>
        <v>0.12922049871646402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2.4298113410706262E-3</v>
      </c>
      <c r="D138" s="227">
        <f>IF(D149=0,0,D146/D149)</f>
        <v>1.6345593936225437E-3</v>
      </c>
      <c r="E138" s="227">
        <f>IF(E149=0,0,E146/E149)</f>
        <v>1.3783788112002198E-3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2.5467364983434007E-2</v>
      </c>
      <c r="D139" s="227">
        <f>IF(D149=0,0,D147/D149)</f>
        <v>3.1049692660145241E-2</v>
      </c>
      <c r="E139" s="227">
        <f>IF(E149=0,0,E147/E149)</f>
        <v>2.7960765336487586E-2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1.1940217505878026E-3</v>
      </c>
      <c r="D140" s="227">
        <f>IF(D149=0,0,D148/D149)</f>
        <v>1.2594610760139392E-3</v>
      </c>
      <c r="E140" s="227">
        <f>IF(E149=0,0,E148/E149)</f>
        <v>1.148708267838885E-3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464861442</v>
      </c>
      <c r="D143" s="229">
        <f>+D46-D147</f>
        <v>484513155</v>
      </c>
      <c r="E143" s="229">
        <f>+E46-E147</f>
        <v>496388400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489956613</v>
      </c>
      <c r="D144" s="229">
        <f>+D51</f>
        <v>508736798</v>
      </c>
      <c r="E144" s="229">
        <f>+E51</f>
        <v>538759044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125952077</v>
      </c>
      <c r="D145" s="229">
        <f>+D55</f>
        <v>143873707</v>
      </c>
      <c r="E145" s="229">
        <f>+E55</f>
        <v>159185527</v>
      </c>
    </row>
    <row r="146" spans="1:7" ht="20.100000000000001" customHeight="1" x14ac:dyDescent="0.2">
      <c r="A146" s="226">
        <v>11</v>
      </c>
      <c r="B146" s="224" t="s">
        <v>400</v>
      </c>
      <c r="C146" s="228">
        <v>2704752</v>
      </c>
      <c r="D146" s="229">
        <v>1924004</v>
      </c>
      <c r="E146" s="229">
        <v>1698012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28349076</v>
      </c>
      <c r="D147" s="229">
        <f>+D47</f>
        <v>36547912</v>
      </c>
      <c r="E147" s="229">
        <f>+E47</f>
        <v>34444606</v>
      </c>
    </row>
    <row r="148" spans="1:7" ht="20.100000000000001" customHeight="1" x14ac:dyDescent="0.2">
      <c r="A148" s="226">
        <v>13</v>
      </c>
      <c r="B148" s="224" t="s">
        <v>402</v>
      </c>
      <c r="C148" s="230">
        <v>1329129</v>
      </c>
      <c r="D148" s="229">
        <v>1482484</v>
      </c>
      <c r="E148" s="229">
        <v>1415083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1113153089</v>
      </c>
      <c r="D149" s="229">
        <f>SUM(D143:D148)</f>
        <v>1177078060</v>
      </c>
      <c r="E149" s="229">
        <f>SUM(E143:E148)</f>
        <v>1231890672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0.5830750815895378</v>
      </c>
      <c r="D152" s="227">
        <f>IF(D166=0,0,D160/D166)</f>
        <v>0.57686461429504421</v>
      </c>
      <c r="E152" s="227">
        <f>IF(E166=0,0,E160/E166)</f>
        <v>0.57160900068828924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0.34472676658238355</v>
      </c>
      <c r="D153" s="227">
        <f>IF(D166=0,0,D161/D166)</f>
        <v>0.33640326590548025</v>
      </c>
      <c r="E153" s="227">
        <f>IF(E166=0,0,E161/E166)</f>
        <v>0.34047859613764048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6.3593435772946585E-2</v>
      </c>
      <c r="D154" s="227">
        <f>IF(D166=0,0,D162/D166)</f>
        <v>6.9721309568303164E-2</v>
      </c>
      <c r="E154" s="227">
        <f>IF(E166=0,0,E162/E166)</f>
        <v>6.8185851556067836E-2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1.1847349076949628E-3</v>
      </c>
      <c r="D155" s="227">
        <f>IF(D166=0,0,D163/D166)</f>
        <v>1.0364205889677131E-3</v>
      </c>
      <c r="E155" s="227">
        <f>IF(E166=0,0,E163/E166)</f>
        <v>1.3847283024438976E-3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6.6676584930056111E-3</v>
      </c>
      <c r="D156" s="227">
        <f>IF(D166=0,0,D164/D166)</f>
        <v>1.5252714986047314E-2</v>
      </c>
      <c r="E156" s="227">
        <f>IF(E166=0,0,E164/E166)</f>
        <v>1.7602858263726696E-2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7.5232265443142966E-4</v>
      </c>
      <c r="D157" s="227">
        <f>IF(D166=0,0,D165/D166)</f>
        <v>7.2167465615728438E-4</v>
      </c>
      <c r="E157" s="227">
        <f>IF(E166=0,0,E165/E166)</f>
        <v>7.3896505183190049E-4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0.99999999999999989</v>
      </c>
      <c r="E158" s="227">
        <f>SUM(E152:E157)</f>
        <v>0.99999999999999989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280814702</v>
      </c>
      <c r="D160" s="229">
        <f>+D44-D164</f>
        <v>292603809</v>
      </c>
      <c r="E160" s="229">
        <f>+E44-E164</f>
        <v>294084694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166023806</v>
      </c>
      <c r="D161" s="229">
        <f>+D50</f>
        <v>170634278</v>
      </c>
      <c r="E161" s="229">
        <f>+E50</f>
        <v>175171391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30627225</v>
      </c>
      <c r="D162" s="229">
        <f>+D54</f>
        <v>35364833</v>
      </c>
      <c r="E162" s="229">
        <f>+E54</f>
        <v>35080650</v>
      </c>
    </row>
    <row r="163" spans="1:6" ht="20.100000000000001" customHeight="1" x14ac:dyDescent="0.2">
      <c r="A163" s="226">
        <v>11</v>
      </c>
      <c r="B163" s="224" t="s">
        <v>415</v>
      </c>
      <c r="C163" s="228">
        <v>570580</v>
      </c>
      <c r="D163" s="229">
        <v>525705</v>
      </c>
      <c r="E163" s="229">
        <v>712423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3211210</v>
      </c>
      <c r="D164" s="229">
        <f>+D45</f>
        <v>7736655</v>
      </c>
      <c r="E164" s="229">
        <f>+E45</f>
        <v>9056420</v>
      </c>
    </row>
    <row r="165" spans="1:6" ht="20.100000000000001" customHeight="1" x14ac:dyDescent="0.2">
      <c r="A165" s="226">
        <v>13</v>
      </c>
      <c r="B165" s="224" t="s">
        <v>417</v>
      </c>
      <c r="C165" s="230">
        <v>362326</v>
      </c>
      <c r="D165" s="229">
        <v>366056</v>
      </c>
      <c r="E165" s="229">
        <v>380187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481609849</v>
      </c>
      <c r="D166" s="229">
        <f>SUM(D160:D165)</f>
        <v>507231336</v>
      </c>
      <c r="E166" s="229">
        <f>SUM(E160:E165)</f>
        <v>514485765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8068</v>
      </c>
      <c r="D169" s="218">
        <v>7521</v>
      </c>
      <c r="E169" s="218">
        <v>6808</v>
      </c>
    </row>
    <row r="170" spans="1:6" ht="20.100000000000001" customHeight="1" x14ac:dyDescent="0.2">
      <c r="A170" s="226">
        <v>2</v>
      </c>
      <c r="B170" s="224" t="s">
        <v>420</v>
      </c>
      <c r="C170" s="218">
        <v>9495</v>
      </c>
      <c r="D170" s="218">
        <v>8736</v>
      </c>
      <c r="E170" s="218">
        <v>8369</v>
      </c>
    </row>
    <row r="171" spans="1:6" ht="20.100000000000001" customHeight="1" x14ac:dyDescent="0.2">
      <c r="A171" s="226">
        <v>3</v>
      </c>
      <c r="B171" s="224" t="s">
        <v>421</v>
      </c>
      <c r="C171" s="218">
        <v>3166</v>
      </c>
      <c r="D171" s="218">
        <v>3377</v>
      </c>
      <c r="E171" s="218">
        <v>3350</v>
      </c>
    </row>
    <row r="172" spans="1:6" ht="20.100000000000001" customHeight="1" x14ac:dyDescent="0.2">
      <c r="A172" s="226">
        <v>4</v>
      </c>
      <c r="B172" s="224" t="s">
        <v>422</v>
      </c>
      <c r="C172" s="218">
        <v>3069</v>
      </c>
      <c r="D172" s="218">
        <v>3326</v>
      </c>
      <c r="E172" s="218">
        <v>3321</v>
      </c>
    </row>
    <row r="173" spans="1:6" ht="20.100000000000001" customHeight="1" x14ac:dyDescent="0.2">
      <c r="A173" s="226">
        <v>5</v>
      </c>
      <c r="B173" s="224" t="s">
        <v>423</v>
      </c>
      <c r="C173" s="218">
        <v>97</v>
      </c>
      <c r="D173" s="218">
        <v>51</v>
      </c>
      <c r="E173" s="218">
        <v>29</v>
      </c>
    </row>
    <row r="174" spans="1:6" ht="20.100000000000001" customHeight="1" x14ac:dyDescent="0.2">
      <c r="A174" s="226">
        <v>6</v>
      </c>
      <c r="B174" s="224" t="s">
        <v>424</v>
      </c>
      <c r="C174" s="218">
        <v>34</v>
      </c>
      <c r="D174" s="218">
        <v>34</v>
      </c>
      <c r="E174" s="218">
        <v>35</v>
      </c>
    </row>
    <row r="175" spans="1:6" ht="20.100000000000001" customHeight="1" x14ac:dyDescent="0.2">
      <c r="A175" s="226">
        <v>7</v>
      </c>
      <c r="B175" s="224" t="s">
        <v>425</v>
      </c>
      <c r="C175" s="218">
        <v>248</v>
      </c>
      <c r="D175" s="218">
        <v>197</v>
      </c>
      <c r="E175" s="218">
        <v>156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20763</v>
      </c>
      <c r="D176" s="218">
        <f>+D169+D170+D171+D174</f>
        <v>19668</v>
      </c>
      <c r="E176" s="218">
        <f>+E169+E170+E171+E174</f>
        <v>18562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1.1952</v>
      </c>
      <c r="D179" s="231">
        <v>1.2112000000000001</v>
      </c>
      <c r="E179" s="231">
        <v>1.2166999999999999</v>
      </c>
    </row>
    <row r="180" spans="1:6" ht="20.100000000000001" customHeight="1" x14ac:dyDescent="0.2">
      <c r="A180" s="226">
        <v>2</v>
      </c>
      <c r="B180" s="224" t="s">
        <v>420</v>
      </c>
      <c r="C180" s="231">
        <v>1.3328</v>
      </c>
      <c r="D180" s="231">
        <v>1.3210999999999999</v>
      </c>
      <c r="E180" s="231">
        <v>1.5411600000000001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1.027836</v>
      </c>
      <c r="D181" s="231">
        <v>0.98915299999999995</v>
      </c>
      <c r="E181" s="231">
        <v>1.0354779999999999</v>
      </c>
    </row>
    <row r="182" spans="1:6" ht="20.100000000000001" customHeight="1" x14ac:dyDescent="0.2">
      <c r="A182" s="226">
        <v>4</v>
      </c>
      <c r="B182" s="224" t="s">
        <v>422</v>
      </c>
      <c r="C182" s="231">
        <v>1.0314000000000001</v>
      </c>
      <c r="D182" s="231">
        <v>0.99129999999999996</v>
      </c>
      <c r="E182" s="231">
        <v>1.034</v>
      </c>
    </row>
    <row r="183" spans="1:6" ht="20.100000000000001" customHeight="1" x14ac:dyDescent="0.2">
      <c r="A183" s="226">
        <v>5</v>
      </c>
      <c r="B183" s="224" t="s">
        <v>423</v>
      </c>
      <c r="C183" s="231">
        <v>0.91510000000000002</v>
      </c>
      <c r="D183" s="231">
        <v>0.84919999999999995</v>
      </c>
      <c r="E183" s="231">
        <v>1.2048000000000001</v>
      </c>
    </row>
    <row r="184" spans="1:6" ht="20.100000000000001" customHeight="1" x14ac:dyDescent="0.2">
      <c r="A184" s="226">
        <v>6</v>
      </c>
      <c r="B184" s="224" t="s">
        <v>424</v>
      </c>
      <c r="C184" s="231">
        <v>0.90149999999999997</v>
      </c>
      <c r="D184" s="231">
        <v>0.96240000000000003</v>
      </c>
      <c r="E184" s="231">
        <v>0.87509999999999999</v>
      </c>
    </row>
    <row r="185" spans="1:6" ht="20.100000000000001" customHeight="1" x14ac:dyDescent="0.2">
      <c r="A185" s="226">
        <v>7</v>
      </c>
      <c r="B185" s="224" t="s">
        <v>425</v>
      </c>
      <c r="C185" s="231">
        <v>1.2153</v>
      </c>
      <c r="D185" s="231">
        <v>1.2902</v>
      </c>
      <c r="E185" s="231">
        <v>1.2056</v>
      </c>
    </row>
    <row r="186" spans="1:6" ht="20.100000000000001" customHeight="1" x14ac:dyDescent="0.2">
      <c r="A186" s="226">
        <v>8</v>
      </c>
      <c r="B186" s="224" t="s">
        <v>429</v>
      </c>
      <c r="C186" s="231">
        <v>1.232124</v>
      </c>
      <c r="D186" s="231">
        <v>1.2214590000000001</v>
      </c>
      <c r="E186" s="231">
        <v>1.3296380000000001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14603</v>
      </c>
      <c r="D189" s="218">
        <v>14260</v>
      </c>
      <c r="E189" s="218">
        <v>11548</v>
      </c>
    </row>
    <row r="190" spans="1:6" ht="20.100000000000001" customHeight="1" x14ac:dyDescent="0.2">
      <c r="A190" s="226">
        <v>2</v>
      </c>
      <c r="B190" s="224" t="s">
        <v>433</v>
      </c>
      <c r="C190" s="218">
        <v>54992</v>
      </c>
      <c r="D190" s="218">
        <v>56362</v>
      </c>
      <c r="E190" s="218">
        <v>58017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69595</v>
      </c>
      <c r="D191" s="218">
        <f>+D190+D189</f>
        <v>70622</v>
      </c>
      <c r="E191" s="218">
        <f>+E190+E189</f>
        <v>69565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/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2</v>
      </c>
      <c r="B4" s="787"/>
      <c r="C4" s="787"/>
      <c r="D4" s="787"/>
      <c r="E4" s="787"/>
      <c r="F4" s="787"/>
    </row>
    <row r="5" spans="1:7" ht="20.25" customHeight="1" x14ac:dyDescent="0.3">
      <c r="A5" s="787" t="s">
        <v>435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88"/>
      <c r="D9" s="789"/>
      <c r="E9" s="789"/>
      <c r="F9" s="790"/>
      <c r="G9" s="245"/>
    </row>
    <row r="10" spans="1:7" ht="20.25" customHeight="1" x14ac:dyDescent="0.3">
      <c r="A10" s="791" t="s">
        <v>12</v>
      </c>
      <c r="B10" s="793" t="s">
        <v>114</v>
      </c>
      <c r="C10" s="795"/>
      <c r="D10" s="796"/>
      <c r="E10" s="796"/>
      <c r="F10" s="797"/>
    </row>
    <row r="11" spans="1:7" ht="20.25" customHeight="1" x14ac:dyDescent="0.3">
      <c r="A11" s="792"/>
      <c r="B11" s="794"/>
      <c r="C11" s="798"/>
      <c r="D11" s="799"/>
      <c r="E11" s="799"/>
      <c r="F11" s="800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184071</v>
      </c>
      <c r="D14" s="258">
        <v>104293</v>
      </c>
      <c r="E14" s="258">
        <f t="shared" ref="E14:E24" si="0">D14-C14</f>
        <v>-79778</v>
      </c>
      <c r="F14" s="259">
        <f t="shared" ref="F14:F24" si="1">IF(C14=0,0,E14/C14)</f>
        <v>-0.43340884767290883</v>
      </c>
    </row>
    <row r="15" spans="1:7" ht="20.25" customHeight="1" x14ac:dyDescent="0.3">
      <c r="A15" s="256">
        <v>2</v>
      </c>
      <c r="B15" s="257" t="s">
        <v>442</v>
      </c>
      <c r="C15" s="258">
        <v>89455</v>
      </c>
      <c r="D15" s="258">
        <v>36464</v>
      </c>
      <c r="E15" s="258">
        <f t="shared" si="0"/>
        <v>-52991</v>
      </c>
      <c r="F15" s="259">
        <f t="shared" si="1"/>
        <v>-0.59237605499972057</v>
      </c>
    </row>
    <row r="16" spans="1:7" ht="20.25" customHeight="1" x14ac:dyDescent="0.3">
      <c r="A16" s="256">
        <v>3</v>
      </c>
      <c r="B16" s="257" t="s">
        <v>443</v>
      </c>
      <c r="C16" s="258">
        <v>45506</v>
      </c>
      <c r="D16" s="258">
        <v>75831</v>
      </c>
      <c r="E16" s="258">
        <f t="shared" si="0"/>
        <v>30325</v>
      </c>
      <c r="F16" s="259">
        <f t="shared" si="1"/>
        <v>0.66639564013536678</v>
      </c>
    </row>
    <row r="17" spans="1:6" ht="20.25" customHeight="1" x14ac:dyDescent="0.3">
      <c r="A17" s="256">
        <v>4</v>
      </c>
      <c r="B17" s="257" t="s">
        <v>444</v>
      </c>
      <c r="C17" s="258">
        <v>27273</v>
      </c>
      <c r="D17" s="258">
        <v>48406</v>
      </c>
      <c r="E17" s="258">
        <f t="shared" si="0"/>
        <v>21133</v>
      </c>
      <c r="F17" s="259">
        <f t="shared" si="1"/>
        <v>0.77486891797748692</v>
      </c>
    </row>
    <row r="18" spans="1:6" ht="20.25" customHeight="1" x14ac:dyDescent="0.3">
      <c r="A18" s="256">
        <v>5</v>
      </c>
      <c r="B18" s="257" t="s">
        <v>381</v>
      </c>
      <c r="C18" s="260">
        <v>7</v>
      </c>
      <c r="D18" s="260">
        <v>4</v>
      </c>
      <c r="E18" s="260">
        <f t="shared" si="0"/>
        <v>-3</v>
      </c>
      <c r="F18" s="259">
        <f t="shared" si="1"/>
        <v>-0.42857142857142855</v>
      </c>
    </row>
    <row r="19" spans="1:6" ht="20.25" customHeight="1" x14ac:dyDescent="0.3">
      <c r="A19" s="256">
        <v>6</v>
      </c>
      <c r="B19" s="257" t="s">
        <v>380</v>
      </c>
      <c r="C19" s="260">
        <v>24</v>
      </c>
      <c r="D19" s="260">
        <v>16</v>
      </c>
      <c r="E19" s="260">
        <f t="shared" si="0"/>
        <v>-8</v>
      </c>
      <c r="F19" s="259">
        <f t="shared" si="1"/>
        <v>-0.33333333333333331</v>
      </c>
    </row>
    <row r="20" spans="1:6" ht="20.25" customHeight="1" x14ac:dyDescent="0.3">
      <c r="A20" s="256">
        <v>7</v>
      </c>
      <c r="B20" s="257" t="s">
        <v>445</v>
      </c>
      <c r="C20" s="260">
        <v>11</v>
      </c>
      <c r="D20" s="260">
        <v>16</v>
      </c>
      <c r="E20" s="260">
        <f t="shared" si="0"/>
        <v>5</v>
      </c>
      <c r="F20" s="259">
        <f t="shared" si="1"/>
        <v>0.45454545454545453</v>
      </c>
    </row>
    <row r="21" spans="1:6" ht="20.25" customHeight="1" x14ac:dyDescent="0.3">
      <c r="A21" s="256">
        <v>8</v>
      </c>
      <c r="B21" s="257" t="s">
        <v>446</v>
      </c>
      <c r="C21" s="260">
        <v>6</v>
      </c>
      <c r="D21" s="260">
        <v>7</v>
      </c>
      <c r="E21" s="260">
        <f t="shared" si="0"/>
        <v>1</v>
      </c>
      <c r="F21" s="259">
        <f t="shared" si="1"/>
        <v>0.16666666666666666</v>
      </c>
    </row>
    <row r="22" spans="1:6" ht="20.25" customHeight="1" x14ac:dyDescent="0.3">
      <c r="A22" s="256">
        <v>9</v>
      </c>
      <c r="B22" s="257" t="s">
        <v>447</v>
      </c>
      <c r="C22" s="260">
        <v>6</v>
      </c>
      <c r="D22" s="260">
        <v>4</v>
      </c>
      <c r="E22" s="260">
        <f t="shared" si="0"/>
        <v>-2</v>
      </c>
      <c r="F22" s="259">
        <f t="shared" si="1"/>
        <v>-0.33333333333333331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229577</v>
      </c>
      <c r="D23" s="263">
        <f>+D14+D16</f>
        <v>180124</v>
      </c>
      <c r="E23" s="263">
        <f t="shared" si="0"/>
        <v>-49453</v>
      </c>
      <c r="F23" s="264">
        <f t="shared" si="1"/>
        <v>-0.21540920911066874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116728</v>
      </c>
      <c r="D24" s="263">
        <f>+D15+D17</f>
        <v>84870</v>
      </c>
      <c r="E24" s="263">
        <f t="shared" si="0"/>
        <v>-31858</v>
      </c>
      <c r="F24" s="264">
        <f t="shared" si="1"/>
        <v>-0.27292509080940308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4645478</v>
      </c>
      <c r="D40" s="258">
        <v>5211042</v>
      </c>
      <c r="E40" s="258">
        <f t="shared" ref="E40:E50" si="4">D40-C40</f>
        <v>565564</v>
      </c>
      <c r="F40" s="259">
        <f t="shared" ref="F40:F50" si="5">IF(C40=0,0,E40/C40)</f>
        <v>0.12174506046525245</v>
      </c>
    </row>
    <row r="41" spans="1:6" ht="20.25" customHeight="1" x14ac:dyDescent="0.3">
      <c r="A41" s="256">
        <v>2</v>
      </c>
      <c r="B41" s="257" t="s">
        <v>442</v>
      </c>
      <c r="C41" s="258">
        <v>1441573</v>
      </c>
      <c r="D41" s="258">
        <v>1655326</v>
      </c>
      <c r="E41" s="258">
        <f t="shared" si="4"/>
        <v>213753</v>
      </c>
      <c r="F41" s="259">
        <f t="shared" si="5"/>
        <v>0.1482776106378241</v>
      </c>
    </row>
    <row r="42" spans="1:6" ht="20.25" customHeight="1" x14ac:dyDescent="0.3">
      <c r="A42" s="256">
        <v>3</v>
      </c>
      <c r="B42" s="257" t="s">
        <v>443</v>
      </c>
      <c r="C42" s="258">
        <v>4156255</v>
      </c>
      <c r="D42" s="258">
        <v>5470953</v>
      </c>
      <c r="E42" s="258">
        <f t="shared" si="4"/>
        <v>1314698</v>
      </c>
      <c r="F42" s="259">
        <f t="shared" si="5"/>
        <v>0.31631793525661922</v>
      </c>
    </row>
    <row r="43" spans="1:6" ht="20.25" customHeight="1" x14ac:dyDescent="0.3">
      <c r="A43" s="256">
        <v>4</v>
      </c>
      <c r="B43" s="257" t="s">
        <v>444</v>
      </c>
      <c r="C43" s="258">
        <v>1221226</v>
      </c>
      <c r="D43" s="258">
        <v>1627117</v>
      </c>
      <c r="E43" s="258">
        <f t="shared" si="4"/>
        <v>405891</v>
      </c>
      <c r="F43" s="259">
        <f t="shared" si="5"/>
        <v>0.33236354286593967</v>
      </c>
    </row>
    <row r="44" spans="1:6" ht="20.25" customHeight="1" x14ac:dyDescent="0.3">
      <c r="A44" s="256">
        <v>5</v>
      </c>
      <c r="B44" s="257" t="s">
        <v>381</v>
      </c>
      <c r="C44" s="260">
        <v>120</v>
      </c>
      <c r="D44" s="260">
        <v>136</v>
      </c>
      <c r="E44" s="260">
        <f t="shared" si="4"/>
        <v>16</v>
      </c>
      <c r="F44" s="259">
        <f t="shared" si="5"/>
        <v>0.13333333333333333</v>
      </c>
    </row>
    <row r="45" spans="1:6" ht="20.25" customHeight="1" x14ac:dyDescent="0.3">
      <c r="A45" s="256">
        <v>6</v>
      </c>
      <c r="B45" s="257" t="s">
        <v>380</v>
      </c>
      <c r="C45" s="260">
        <v>580</v>
      </c>
      <c r="D45" s="260">
        <v>655</v>
      </c>
      <c r="E45" s="260">
        <f t="shared" si="4"/>
        <v>75</v>
      </c>
      <c r="F45" s="259">
        <f t="shared" si="5"/>
        <v>0.12931034482758622</v>
      </c>
    </row>
    <row r="46" spans="1:6" ht="20.25" customHeight="1" x14ac:dyDescent="0.3">
      <c r="A46" s="256">
        <v>7</v>
      </c>
      <c r="B46" s="257" t="s">
        <v>445</v>
      </c>
      <c r="C46" s="260">
        <v>967</v>
      </c>
      <c r="D46" s="260">
        <v>1270</v>
      </c>
      <c r="E46" s="260">
        <f t="shared" si="4"/>
        <v>303</v>
      </c>
      <c r="F46" s="259">
        <f t="shared" si="5"/>
        <v>0.31334022750775592</v>
      </c>
    </row>
    <row r="47" spans="1:6" ht="20.25" customHeight="1" x14ac:dyDescent="0.3">
      <c r="A47" s="256">
        <v>8</v>
      </c>
      <c r="B47" s="257" t="s">
        <v>446</v>
      </c>
      <c r="C47" s="260">
        <v>121</v>
      </c>
      <c r="D47" s="260">
        <v>148</v>
      </c>
      <c r="E47" s="260">
        <f t="shared" si="4"/>
        <v>27</v>
      </c>
      <c r="F47" s="259">
        <f t="shared" si="5"/>
        <v>0.2231404958677686</v>
      </c>
    </row>
    <row r="48" spans="1:6" ht="20.25" customHeight="1" x14ac:dyDescent="0.3">
      <c r="A48" s="256">
        <v>9</v>
      </c>
      <c r="B48" s="257" t="s">
        <v>447</v>
      </c>
      <c r="C48" s="260">
        <v>79</v>
      </c>
      <c r="D48" s="260">
        <v>100</v>
      </c>
      <c r="E48" s="260">
        <f t="shared" si="4"/>
        <v>21</v>
      </c>
      <c r="F48" s="259">
        <f t="shared" si="5"/>
        <v>0.26582278481012656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8801733</v>
      </c>
      <c r="D49" s="263">
        <f>+D40+D42</f>
        <v>10681995</v>
      </c>
      <c r="E49" s="263">
        <f t="shared" si="4"/>
        <v>1880262</v>
      </c>
      <c r="F49" s="264">
        <f t="shared" si="5"/>
        <v>0.21362406698771708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2662799</v>
      </c>
      <c r="D50" s="263">
        <f>+D41+D43</f>
        <v>3282443</v>
      </c>
      <c r="E50" s="263">
        <f t="shared" si="4"/>
        <v>619644</v>
      </c>
      <c r="F50" s="264">
        <f t="shared" si="5"/>
        <v>0.23270400807571281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4731066</v>
      </c>
      <c r="D66" s="258">
        <v>4112886</v>
      </c>
      <c r="E66" s="258">
        <f t="shared" ref="E66:E76" si="8">D66-C66</f>
        <v>-618180</v>
      </c>
      <c r="F66" s="259">
        <f t="shared" ref="F66:F76" si="9">IF(C66=0,0,E66/C66)</f>
        <v>-0.13066399834625009</v>
      </c>
    </row>
    <row r="67" spans="1:6" ht="20.25" customHeight="1" x14ac:dyDescent="0.3">
      <c r="A67" s="256">
        <v>2</v>
      </c>
      <c r="B67" s="257" t="s">
        <v>442</v>
      </c>
      <c r="C67" s="258">
        <v>1449904</v>
      </c>
      <c r="D67" s="258">
        <v>1238969</v>
      </c>
      <c r="E67" s="258">
        <f t="shared" si="8"/>
        <v>-210935</v>
      </c>
      <c r="F67" s="259">
        <f t="shared" si="9"/>
        <v>-0.14548204570785375</v>
      </c>
    </row>
    <row r="68" spans="1:6" ht="20.25" customHeight="1" x14ac:dyDescent="0.3">
      <c r="A68" s="256">
        <v>3</v>
      </c>
      <c r="B68" s="257" t="s">
        <v>443</v>
      </c>
      <c r="C68" s="258">
        <v>4471653</v>
      </c>
      <c r="D68" s="258">
        <v>3007884</v>
      </c>
      <c r="E68" s="258">
        <f t="shared" si="8"/>
        <v>-1463769</v>
      </c>
      <c r="F68" s="259">
        <f t="shared" si="9"/>
        <v>-0.32734404928110478</v>
      </c>
    </row>
    <row r="69" spans="1:6" ht="20.25" customHeight="1" x14ac:dyDescent="0.3">
      <c r="A69" s="256">
        <v>4</v>
      </c>
      <c r="B69" s="257" t="s">
        <v>444</v>
      </c>
      <c r="C69" s="258">
        <v>2007458</v>
      </c>
      <c r="D69" s="258">
        <v>1443291</v>
      </c>
      <c r="E69" s="258">
        <f t="shared" si="8"/>
        <v>-564167</v>
      </c>
      <c r="F69" s="259">
        <f t="shared" si="9"/>
        <v>-0.28103551855132214</v>
      </c>
    </row>
    <row r="70" spans="1:6" ht="20.25" customHeight="1" x14ac:dyDescent="0.3">
      <c r="A70" s="256">
        <v>5</v>
      </c>
      <c r="B70" s="257" t="s">
        <v>381</v>
      </c>
      <c r="C70" s="260">
        <v>148</v>
      </c>
      <c r="D70" s="260">
        <v>113</v>
      </c>
      <c r="E70" s="260">
        <f t="shared" si="8"/>
        <v>-35</v>
      </c>
      <c r="F70" s="259">
        <f t="shared" si="9"/>
        <v>-0.23648648648648649</v>
      </c>
    </row>
    <row r="71" spans="1:6" ht="20.25" customHeight="1" x14ac:dyDescent="0.3">
      <c r="A71" s="256">
        <v>6</v>
      </c>
      <c r="B71" s="257" t="s">
        <v>380</v>
      </c>
      <c r="C71" s="260">
        <v>745</v>
      </c>
      <c r="D71" s="260">
        <v>682</v>
      </c>
      <c r="E71" s="260">
        <f t="shared" si="8"/>
        <v>-63</v>
      </c>
      <c r="F71" s="259">
        <f t="shared" si="9"/>
        <v>-8.4563758389261751E-2</v>
      </c>
    </row>
    <row r="72" spans="1:6" ht="20.25" customHeight="1" x14ac:dyDescent="0.3">
      <c r="A72" s="256">
        <v>7</v>
      </c>
      <c r="B72" s="257" t="s">
        <v>445</v>
      </c>
      <c r="C72" s="260">
        <v>1041</v>
      </c>
      <c r="D72" s="260">
        <v>855</v>
      </c>
      <c r="E72" s="260">
        <f t="shared" si="8"/>
        <v>-186</v>
      </c>
      <c r="F72" s="259">
        <f t="shared" si="9"/>
        <v>-0.17867435158501441</v>
      </c>
    </row>
    <row r="73" spans="1:6" ht="20.25" customHeight="1" x14ac:dyDescent="0.3">
      <c r="A73" s="256">
        <v>8</v>
      </c>
      <c r="B73" s="257" t="s">
        <v>446</v>
      </c>
      <c r="C73" s="260">
        <v>220</v>
      </c>
      <c r="D73" s="260">
        <v>163</v>
      </c>
      <c r="E73" s="260">
        <f t="shared" si="8"/>
        <v>-57</v>
      </c>
      <c r="F73" s="259">
        <f t="shared" si="9"/>
        <v>-0.25909090909090909</v>
      </c>
    </row>
    <row r="74" spans="1:6" ht="20.25" customHeight="1" x14ac:dyDescent="0.3">
      <c r="A74" s="256">
        <v>9</v>
      </c>
      <c r="B74" s="257" t="s">
        <v>447</v>
      </c>
      <c r="C74" s="260">
        <v>115</v>
      </c>
      <c r="D74" s="260">
        <v>90</v>
      </c>
      <c r="E74" s="260">
        <f t="shared" si="8"/>
        <v>-25</v>
      </c>
      <c r="F74" s="259">
        <f t="shared" si="9"/>
        <v>-0.21739130434782608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9202719</v>
      </c>
      <c r="D75" s="263">
        <f>+D66+D68</f>
        <v>7120770</v>
      </c>
      <c r="E75" s="263">
        <f t="shared" si="8"/>
        <v>-2081949</v>
      </c>
      <c r="F75" s="264">
        <f t="shared" si="9"/>
        <v>-0.22623194297250629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3457362</v>
      </c>
      <c r="D76" s="263">
        <f>+D67+D69</f>
        <v>2682260</v>
      </c>
      <c r="E76" s="263">
        <f t="shared" si="8"/>
        <v>-775102</v>
      </c>
      <c r="F76" s="264">
        <f t="shared" si="9"/>
        <v>-0.2241888468722685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3724042</v>
      </c>
      <c r="D118" s="258">
        <v>9232176</v>
      </c>
      <c r="E118" s="258">
        <f t="shared" ref="E118:E128" si="16">D118-C118</f>
        <v>5508134</v>
      </c>
      <c r="F118" s="259">
        <f t="shared" ref="F118:F128" si="17">IF(C118=0,0,E118/C118)</f>
        <v>1.4790740813342063</v>
      </c>
    </row>
    <row r="119" spans="1:6" ht="20.25" customHeight="1" x14ac:dyDescent="0.3">
      <c r="A119" s="256">
        <v>2</v>
      </c>
      <c r="B119" s="257" t="s">
        <v>442</v>
      </c>
      <c r="C119" s="258">
        <v>999878</v>
      </c>
      <c r="D119" s="258">
        <v>2987736</v>
      </c>
      <c r="E119" s="258">
        <f t="shared" si="16"/>
        <v>1987858</v>
      </c>
      <c r="F119" s="259">
        <f t="shared" si="17"/>
        <v>1.9881005482668885</v>
      </c>
    </row>
    <row r="120" spans="1:6" ht="20.25" customHeight="1" x14ac:dyDescent="0.3">
      <c r="A120" s="256">
        <v>3</v>
      </c>
      <c r="B120" s="257" t="s">
        <v>443</v>
      </c>
      <c r="C120" s="258">
        <v>3607071</v>
      </c>
      <c r="D120" s="258">
        <v>10443625</v>
      </c>
      <c r="E120" s="258">
        <f t="shared" si="16"/>
        <v>6836554</v>
      </c>
      <c r="F120" s="259">
        <f t="shared" si="17"/>
        <v>1.8953200533064085</v>
      </c>
    </row>
    <row r="121" spans="1:6" ht="20.25" customHeight="1" x14ac:dyDescent="0.3">
      <c r="A121" s="256">
        <v>4</v>
      </c>
      <c r="B121" s="257" t="s">
        <v>444</v>
      </c>
      <c r="C121" s="258">
        <v>1202903</v>
      </c>
      <c r="D121" s="258">
        <v>3207211</v>
      </c>
      <c r="E121" s="258">
        <f t="shared" si="16"/>
        <v>2004308</v>
      </c>
      <c r="F121" s="259">
        <f t="shared" si="17"/>
        <v>1.6662257887793115</v>
      </c>
    </row>
    <row r="122" spans="1:6" ht="20.25" customHeight="1" x14ac:dyDescent="0.3">
      <c r="A122" s="256">
        <v>5</v>
      </c>
      <c r="B122" s="257" t="s">
        <v>381</v>
      </c>
      <c r="C122" s="260">
        <v>98</v>
      </c>
      <c r="D122" s="260">
        <v>258</v>
      </c>
      <c r="E122" s="260">
        <f t="shared" si="16"/>
        <v>160</v>
      </c>
      <c r="F122" s="259">
        <f t="shared" si="17"/>
        <v>1.6326530612244898</v>
      </c>
    </row>
    <row r="123" spans="1:6" ht="20.25" customHeight="1" x14ac:dyDescent="0.3">
      <c r="A123" s="256">
        <v>6</v>
      </c>
      <c r="B123" s="257" t="s">
        <v>380</v>
      </c>
      <c r="C123" s="260">
        <v>621</v>
      </c>
      <c r="D123" s="260">
        <v>1322</v>
      </c>
      <c r="E123" s="260">
        <f t="shared" si="16"/>
        <v>701</v>
      </c>
      <c r="F123" s="259">
        <f t="shared" si="17"/>
        <v>1.1288244766505635</v>
      </c>
    </row>
    <row r="124" spans="1:6" ht="20.25" customHeight="1" x14ac:dyDescent="0.3">
      <c r="A124" s="256">
        <v>7</v>
      </c>
      <c r="B124" s="257" t="s">
        <v>445</v>
      </c>
      <c r="C124" s="260">
        <v>839</v>
      </c>
      <c r="D124" s="260">
        <v>2640</v>
      </c>
      <c r="E124" s="260">
        <f t="shared" si="16"/>
        <v>1801</v>
      </c>
      <c r="F124" s="259">
        <f t="shared" si="17"/>
        <v>2.1466030989272946</v>
      </c>
    </row>
    <row r="125" spans="1:6" ht="20.25" customHeight="1" x14ac:dyDescent="0.3">
      <c r="A125" s="256">
        <v>8</v>
      </c>
      <c r="B125" s="257" t="s">
        <v>446</v>
      </c>
      <c r="C125" s="260">
        <v>121</v>
      </c>
      <c r="D125" s="260">
        <v>329</v>
      </c>
      <c r="E125" s="260">
        <f t="shared" si="16"/>
        <v>208</v>
      </c>
      <c r="F125" s="259">
        <f t="shared" si="17"/>
        <v>1.71900826446281</v>
      </c>
    </row>
    <row r="126" spans="1:6" ht="20.25" customHeight="1" x14ac:dyDescent="0.3">
      <c r="A126" s="256">
        <v>9</v>
      </c>
      <c r="B126" s="257" t="s">
        <v>447</v>
      </c>
      <c r="C126" s="260">
        <v>76</v>
      </c>
      <c r="D126" s="260">
        <v>198</v>
      </c>
      <c r="E126" s="260">
        <f t="shared" si="16"/>
        <v>122</v>
      </c>
      <c r="F126" s="259">
        <f t="shared" si="17"/>
        <v>1.6052631578947369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7331113</v>
      </c>
      <c r="D127" s="263">
        <f>+D118+D120</f>
        <v>19675801</v>
      </c>
      <c r="E127" s="263">
        <f t="shared" si="16"/>
        <v>12344688</v>
      </c>
      <c r="F127" s="264">
        <f t="shared" si="17"/>
        <v>1.6838763772976899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2202781</v>
      </c>
      <c r="D128" s="263">
        <f>+D119+D121</f>
        <v>6194947</v>
      </c>
      <c r="E128" s="263">
        <f t="shared" si="16"/>
        <v>3992166</v>
      </c>
      <c r="F128" s="264">
        <f t="shared" si="17"/>
        <v>1.812329959265129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16090165</v>
      </c>
      <c r="D144" s="258">
        <v>15851873</v>
      </c>
      <c r="E144" s="258">
        <f t="shared" ref="E144:E154" si="20">D144-C144</f>
        <v>-238292</v>
      </c>
      <c r="F144" s="259">
        <f t="shared" ref="F144:F154" si="21">IF(C144=0,0,E144/C144)</f>
        <v>-1.4809792192932764E-2</v>
      </c>
    </row>
    <row r="145" spans="1:6" ht="20.25" customHeight="1" x14ac:dyDescent="0.3">
      <c r="A145" s="256">
        <v>2</v>
      </c>
      <c r="B145" s="257" t="s">
        <v>442</v>
      </c>
      <c r="C145" s="258">
        <v>5214117</v>
      </c>
      <c r="D145" s="258">
        <v>4849184</v>
      </c>
      <c r="E145" s="258">
        <f t="shared" si="20"/>
        <v>-364933</v>
      </c>
      <c r="F145" s="259">
        <f t="shared" si="21"/>
        <v>-6.9989415273957217E-2</v>
      </c>
    </row>
    <row r="146" spans="1:6" ht="20.25" customHeight="1" x14ac:dyDescent="0.3">
      <c r="A146" s="256">
        <v>3</v>
      </c>
      <c r="B146" s="257" t="s">
        <v>443</v>
      </c>
      <c r="C146" s="258">
        <v>12302814</v>
      </c>
      <c r="D146" s="258">
        <v>14412520</v>
      </c>
      <c r="E146" s="258">
        <f t="shared" si="20"/>
        <v>2109706</v>
      </c>
      <c r="F146" s="259">
        <f t="shared" si="21"/>
        <v>0.17148158136829508</v>
      </c>
    </row>
    <row r="147" spans="1:6" ht="20.25" customHeight="1" x14ac:dyDescent="0.3">
      <c r="A147" s="256">
        <v>4</v>
      </c>
      <c r="B147" s="257" t="s">
        <v>444</v>
      </c>
      <c r="C147" s="258">
        <v>3261529</v>
      </c>
      <c r="D147" s="258">
        <v>4108698</v>
      </c>
      <c r="E147" s="258">
        <f t="shared" si="20"/>
        <v>847169</v>
      </c>
      <c r="F147" s="259">
        <f t="shared" si="21"/>
        <v>0.25974596577249504</v>
      </c>
    </row>
    <row r="148" spans="1:6" ht="20.25" customHeight="1" x14ac:dyDescent="0.3">
      <c r="A148" s="256">
        <v>5</v>
      </c>
      <c r="B148" s="257" t="s">
        <v>381</v>
      </c>
      <c r="C148" s="260">
        <v>476</v>
      </c>
      <c r="D148" s="260">
        <v>440</v>
      </c>
      <c r="E148" s="260">
        <f t="shared" si="20"/>
        <v>-36</v>
      </c>
      <c r="F148" s="259">
        <f t="shared" si="21"/>
        <v>-7.5630252100840331E-2</v>
      </c>
    </row>
    <row r="149" spans="1:6" ht="20.25" customHeight="1" x14ac:dyDescent="0.3">
      <c r="A149" s="256">
        <v>6</v>
      </c>
      <c r="B149" s="257" t="s">
        <v>380</v>
      </c>
      <c r="C149" s="260">
        <v>2371</v>
      </c>
      <c r="D149" s="260">
        <v>2373</v>
      </c>
      <c r="E149" s="260">
        <f t="shared" si="20"/>
        <v>2</v>
      </c>
      <c r="F149" s="259">
        <f t="shared" si="21"/>
        <v>8.4352593842260647E-4</v>
      </c>
    </row>
    <row r="150" spans="1:6" ht="20.25" customHeight="1" x14ac:dyDescent="0.3">
      <c r="A150" s="256">
        <v>7</v>
      </c>
      <c r="B150" s="257" t="s">
        <v>445</v>
      </c>
      <c r="C150" s="260">
        <v>2863</v>
      </c>
      <c r="D150" s="260">
        <v>4242</v>
      </c>
      <c r="E150" s="260">
        <f t="shared" si="20"/>
        <v>1379</v>
      </c>
      <c r="F150" s="259">
        <f t="shared" si="21"/>
        <v>0.48166259168704156</v>
      </c>
    </row>
    <row r="151" spans="1:6" ht="20.25" customHeight="1" x14ac:dyDescent="0.3">
      <c r="A151" s="256">
        <v>8</v>
      </c>
      <c r="B151" s="257" t="s">
        <v>446</v>
      </c>
      <c r="C151" s="260">
        <v>423</v>
      </c>
      <c r="D151" s="260">
        <v>549</v>
      </c>
      <c r="E151" s="260">
        <f t="shared" si="20"/>
        <v>126</v>
      </c>
      <c r="F151" s="259">
        <f t="shared" si="21"/>
        <v>0.2978723404255319</v>
      </c>
    </row>
    <row r="152" spans="1:6" ht="20.25" customHeight="1" x14ac:dyDescent="0.3">
      <c r="A152" s="256">
        <v>9</v>
      </c>
      <c r="B152" s="257" t="s">
        <v>447</v>
      </c>
      <c r="C152" s="260">
        <v>350</v>
      </c>
      <c r="D152" s="260">
        <v>334</v>
      </c>
      <c r="E152" s="260">
        <f t="shared" si="20"/>
        <v>-16</v>
      </c>
      <c r="F152" s="259">
        <f t="shared" si="21"/>
        <v>-4.5714285714285714E-2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28392979</v>
      </c>
      <c r="D153" s="263">
        <f>+D144+D146</f>
        <v>30264393</v>
      </c>
      <c r="E153" s="263">
        <f t="shared" si="20"/>
        <v>1871414</v>
      </c>
      <c r="F153" s="264">
        <f t="shared" si="21"/>
        <v>6.5911153598923175E-2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8475646</v>
      </c>
      <c r="D154" s="263">
        <f>+D145+D147</f>
        <v>8957882</v>
      </c>
      <c r="E154" s="263">
        <f t="shared" si="20"/>
        <v>482236</v>
      </c>
      <c r="F154" s="264">
        <f t="shared" si="21"/>
        <v>5.6896666047638142E-2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244697</v>
      </c>
      <c r="D183" s="258">
        <v>294244</v>
      </c>
      <c r="E183" s="258">
        <f t="shared" ref="E183:E193" si="26">D183-C183</f>
        <v>49547</v>
      </c>
      <c r="F183" s="259">
        <f t="shared" ref="F183:F193" si="27">IF(C183=0,0,E183/C183)</f>
        <v>0.20248307089992931</v>
      </c>
    </row>
    <row r="184" spans="1:6" ht="20.25" customHeight="1" x14ac:dyDescent="0.3">
      <c r="A184" s="256">
        <v>2</v>
      </c>
      <c r="B184" s="257" t="s">
        <v>442</v>
      </c>
      <c r="C184" s="258">
        <v>89825</v>
      </c>
      <c r="D184" s="258">
        <v>97998</v>
      </c>
      <c r="E184" s="258">
        <f t="shared" si="26"/>
        <v>8173</v>
      </c>
      <c r="F184" s="259">
        <f t="shared" si="27"/>
        <v>9.0988032284998605E-2</v>
      </c>
    </row>
    <row r="185" spans="1:6" ht="20.25" customHeight="1" x14ac:dyDescent="0.3">
      <c r="A185" s="256">
        <v>3</v>
      </c>
      <c r="B185" s="257" t="s">
        <v>443</v>
      </c>
      <c r="C185" s="258">
        <v>247939</v>
      </c>
      <c r="D185" s="258">
        <v>149665</v>
      </c>
      <c r="E185" s="258">
        <f t="shared" si="26"/>
        <v>-98274</v>
      </c>
      <c r="F185" s="259">
        <f t="shared" si="27"/>
        <v>-0.39636362169727229</v>
      </c>
    </row>
    <row r="186" spans="1:6" ht="20.25" customHeight="1" x14ac:dyDescent="0.3">
      <c r="A186" s="256">
        <v>4</v>
      </c>
      <c r="B186" s="257" t="s">
        <v>444</v>
      </c>
      <c r="C186" s="258">
        <v>63393</v>
      </c>
      <c r="D186" s="258">
        <v>41974</v>
      </c>
      <c r="E186" s="258">
        <f t="shared" si="26"/>
        <v>-21419</v>
      </c>
      <c r="F186" s="259">
        <f t="shared" si="27"/>
        <v>-0.33787642168693705</v>
      </c>
    </row>
    <row r="187" spans="1:6" ht="20.25" customHeight="1" x14ac:dyDescent="0.3">
      <c r="A187" s="256">
        <v>5</v>
      </c>
      <c r="B187" s="257" t="s">
        <v>381</v>
      </c>
      <c r="C187" s="260">
        <v>11</v>
      </c>
      <c r="D187" s="260">
        <v>7</v>
      </c>
      <c r="E187" s="260">
        <f t="shared" si="26"/>
        <v>-4</v>
      </c>
      <c r="F187" s="259">
        <f t="shared" si="27"/>
        <v>-0.36363636363636365</v>
      </c>
    </row>
    <row r="188" spans="1:6" ht="20.25" customHeight="1" x14ac:dyDescent="0.3">
      <c r="A188" s="256">
        <v>6</v>
      </c>
      <c r="B188" s="257" t="s">
        <v>380</v>
      </c>
      <c r="C188" s="260">
        <v>48</v>
      </c>
      <c r="D188" s="260">
        <v>42</v>
      </c>
      <c r="E188" s="260">
        <f t="shared" si="26"/>
        <v>-6</v>
      </c>
      <c r="F188" s="259">
        <f t="shared" si="27"/>
        <v>-0.125</v>
      </c>
    </row>
    <row r="189" spans="1:6" ht="20.25" customHeight="1" x14ac:dyDescent="0.3">
      <c r="A189" s="256">
        <v>7</v>
      </c>
      <c r="B189" s="257" t="s">
        <v>445</v>
      </c>
      <c r="C189" s="260">
        <v>58</v>
      </c>
      <c r="D189" s="260">
        <v>150</v>
      </c>
      <c r="E189" s="260">
        <f t="shared" si="26"/>
        <v>92</v>
      </c>
      <c r="F189" s="259">
        <f t="shared" si="27"/>
        <v>1.5862068965517242</v>
      </c>
    </row>
    <row r="190" spans="1:6" ht="20.25" customHeight="1" x14ac:dyDescent="0.3">
      <c r="A190" s="256">
        <v>8</v>
      </c>
      <c r="B190" s="257" t="s">
        <v>446</v>
      </c>
      <c r="C190" s="260">
        <v>25</v>
      </c>
      <c r="D190" s="260">
        <v>5</v>
      </c>
      <c r="E190" s="260">
        <f t="shared" si="26"/>
        <v>-20</v>
      </c>
      <c r="F190" s="259">
        <f t="shared" si="27"/>
        <v>-0.8</v>
      </c>
    </row>
    <row r="191" spans="1:6" ht="20.25" customHeight="1" x14ac:dyDescent="0.3">
      <c r="A191" s="256">
        <v>9</v>
      </c>
      <c r="B191" s="257" t="s">
        <v>447</v>
      </c>
      <c r="C191" s="260">
        <v>9</v>
      </c>
      <c r="D191" s="260">
        <v>6</v>
      </c>
      <c r="E191" s="260">
        <f t="shared" si="26"/>
        <v>-3</v>
      </c>
      <c r="F191" s="259">
        <f t="shared" si="27"/>
        <v>-0.33333333333333331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492636</v>
      </c>
      <c r="D192" s="263">
        <f>+D183+D185</f>
        <v>443909</v>
      </c>
      <c r="E192" s="263">
        <f t="shared" si="26"/>
        <v>-48727</v>
      </c>
      <c r="F192" s="264">
        <f t="shared" si="27"/>
        <v>-9.8910757638499824E-2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153218</v>
      </c>
      <c r="D193" s="263">
        <f>+D184+D186</f>
        <v>139972</v>
      </c>
      <c r="E193" s="263">
        <f t="shared" si="26"/>
        <v>-13246</v>
      </c>
      <c r="F193" s="264">
        <f t="shared" si="27"/>
        <v>-8.6451983448419895E-2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801" t="s">
        <v>44</v>
      </c>
      <c r="B195" s="802" t="s">
        <v>464</v>
      </c>
      <c r="C195" s="804"/>
      <c r="D195" s="805"/>
      <c r="E195" s="805"/>
      <c r="F195" s="806"/>
      <c r="G195" s="786"/>
      <c r="H195" s="786"/>
      <c r="I195" s="786"/>
    </row>
    <row r="196" spans="1:9" ht="20.25" customHeight="1" x14ac:dyDescent="0.3">
      <c r="A196" s="792"/>
      <c r="B196" s="803"/>
      <c r="C196" s="798"/>
      <c r="D196" s="799"/>
      <c r="E196" s="799"/>
      <c r="F196" s="800"/>
      <c r="G196" s="786"/>
      <c r="H196" s="786"/>
      <c r="I196" s="78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29619519</v>
      </c>
      <c r="D198" s="263">
        <f t="shared" si="28"/>
        <v>34806514</v>
      </c>
      <c r="E198" s="263">
        <f t="shared" ref="E198:E208" si="29">D198-C198</f>
        <v>5186995</v>
      </c>
      <c r="F198" s="273">
        <f t="shared" ref="F198:F208" si="30">IF(C198=0,0,E198/C198)</f>
        <v>0.17512083839038708</v>
      </c>
    </row>
    <row r="199" spans="1:9" ht="20.25" customHeight="1" x14ac:dyDescent="0.3">
      <c r="A199" s="271"/>
      <c r="B199" s="272" t="s">
        <v>466</v>
      </c>
      <c r="C199" s="263">
        <f t="shared" si="28"/>
        <v>9284752</v>
      </c>
      <c r="D199" s="263">
        <f t="shared" si="28"/>
        <v>10865677</v>
      </c>
      <c r="E199" s="263">
        <f t="shared" si="29"/>
        <v>1580925</v>
      </c>
      <c r="F199" s="273">
        <f t="shared" si="30"/>
        <v>0.17027110686424365</v>
      </c>
    </row>
    <row r="200" spans="1:9" ht="20.25" customHeight="1" x14ac:dyDescent="0.3">
      <c r="A200" s="271"/>
      <c r="B200" s="272" t="s">
        <v>467</v>
      </c>
      <c r="C200" s="263">
        <f t="shared" si="28"/>
        <v>24831238</v>
      </c>
      <c r="D200" s="263">
        <f t="shared" si="28"/>
        <v>33560478</v>
      </c>
      <c r="E200" s="263">
        <f t="shared" si="29"/>
        <v>8729240</v>
      </c>
      <c r="F200" s="273">
        <f t="shared" si="30"/>
        <v>0.35154268184292703</v>
      </c>
    </row>
    <row r="201" spans="1:9" ht="20.25" customHeight="1" x14ac:dyDescent="0.3">
      <c r="A201" s="271"/>
      <c r="B201" s="272" t="s">
        <v>468</v>
      </c>
      <c r="C201" s="263">
        <f t="shared" si="28"/>
        <v>7783782</v>
      </c>
      <c r="D201" s="263">
        <f t="shared" si="28"/>
        <v>10476697</v>
      </c>
      <c r="E201" s="263">
        <f t="shared" si="29"/>
        <v>2692915</v>
      </c>
      <c r="F201" s="273">
        <f t="shared" si="30"/>
        <v>0.34596485358916784</v>
      </c>
    </row>
    <row r="202" spans="1:9" ht="20.25" customHeight="1" x14ac:dyDescent="0.3">
      <c r="A202" s="271"/>
      <c r="B202" s="272" t="s">
        <v>138</v>
      </c>
      <c r="C202" s="274">
        <f t="shared" si="28"/>
        <v>860</v>
      </c>
      <c r="D202" s="274">
        <f t="shared" si="28"/>
        <v>958</v>
      </c>
      <c r="E202" s="274">
        <f t="shared" si="29"/>
        <v>98</v>
      </c>
      <c r="F202" s="273">
        <f t="shared" si="30"/>
        <v>0.11395348837209303</v>
      </c>
    </row>
    <row r="203" spans="1:9" ht="20.25" customHeight="1" x14ac:dyDescent="0.3">
      <c r="A203" s="271"/>
      <c r="B203" s="272" t="s">
        <v>140</v>
      </c>
      <c r="C203" s="274">
        <f t="shared" si="28"/>
        <v>4389</v>
      </c>
      <c r="D203" s="274">
        <f t="shared" si="28"/>
        <v>5090</v>
      </c>
      <c r="E203" s="274">
        <f t="shared" si="29"/>
        <v>701</v>
      </c>
      <c r="F203" s="273">
        <f t="shared" si="30"/>
        <v>0.1597174755069492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5779</v>
      </c>
      <c r="D204" s="274">
        <f t="shared" si="28"/>
        <v>9173</v>
      </c>
      <c r="E204" s="274">
        <f t="shared" si="29"/>
        <v>3394</v>
      </c>
      <c r="F204" s="273">
        <f t="shared" si="30"/>
        <v>0.58729884062986681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916</v>
      </c>
      <c r="D205" s="274">
        <f t="shared" si="28"/>
        <v>1201</v>
      </c>
      <c r="E205" s="274">
        <f t="shared" si="29"/>
        <v>285</v>
      </c>
      <c r="F205" s="273">
        <f t="shared" si="30"/>
        <v>0.31113537117903928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635</v>
      </c>
      <c r="D206" s="274">
        <f t="shared" si="28"/>
        <v>732</v>
      </c>
      <c r="E206" s="274">
        <f t="shared" si="29"/>
        <v>97</v>
      </c>
      <c r="F206" s="273">
        <f t="shared" si="30"/>
        <v>0.15275590551181104</v>
      </c>
    </row>
    <row r="207" spans="1:9" ht="20.25" customHeight="1" x14ac:dyDescent="0.3">
      <c r="A207" s="271"/>
      <c r="B207" s="262" t="s">
        <v>471</v>
      </c>
      <c r="C207" s="263">
        <f>+C198+C200</f>
        <v>54450757</v>
      </c>
      <c r="D207" s="263">
        <f>+D198+D200</f>
        <v>68366992</v>
      </c>
      <c r="E207" s="263">
        <f t="shared" si="29"/>
        <v>13916235</v>
      </c>
      <c r="F207" s="273">
        <f t="shared" si="30"/>
        <v>0.25557468374590275</v>
      </c>
    </row>
    <row r="208" spans="1:9" ht="20.25" customHeight="1" x14ac:dyDescent="0.3">
      <c r="A208" s="271"/>
      <c r="B208" s="262" t="s">
        <v>472</v>
      </c>
      <c r="C208" s="263">
        <f>+C199+C201</f>
        <v>17068534</v>
      </c>
      <c r="D208" s="263">
        <f>+D199+D201</f>
        <v>21342374</v>
      </c>
      <c r="E208" s="263">
        <f t="shared" si="29"/>
        <v>4273840</v>
      </c>
      <c r="F208" s="273">
        <f t="shared" si="30"/>
        <v>0.25039291599383989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/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87" t="s">
        <v>0</v>
      </c>
      <c r="B2" s="787"/>
      <c r="C2" s="787"/>
      <c r="D2" s="787"/>
      <c r="E2" s="787"/>
      <c r="F2" s="787"/>
    </row>
    <row r="3" spans="1:7" ht="20.25" customHeight="1" x14ac:dyDescent="0.3">
      <c r="A3" s="787" t="s">
        <v>1</v>
      </c>
      <c r="B3" s="787"/>
      <c r="C3" s="787"/>
      <c r="D3" s="787"/>
      <c r="E3" s="787"/>
      <c r="F3" s="787"/>
    </row>
    <row r="4" spans="1:7" ht="20.25" customHeight="1" x14ac:dyDescent="0.3">
      <c r="A4" s="787" t="s">
        <v>314</v>
      </c>
      <c r="B4" s="787"/>
      <c r="C4" s="787"/>
      <c r="D4" s="787"/>
      <c r="E4" s="787"/>
      <c r="F4" s="787"/>
    </row>
    <row r="5" spans="1:7" ht="20.25" customHeight="1" x14ac:dyDescent="0.3">
      <c r="A5" s="787" t="s">
        <v>473</v>
      </c>
      <c r="B5" s="787"/>
      <c r="C5" s="787"/>
      <c r="D5" s="787"/>
      <c r="E5" s="787"/>
      <c r="F5" s="78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801" t="s">
        <v>12</v>
      </c>
      <c r="B10" s="802" t="s">
        <v>116</v>
      </c>
      <c r="C10" s="804"/>
      <c r="D10" s="805"/>
      <c r="E10" s="805"/>
      <c r="F10" s="806"/>
    </row>
    <row r="11" spans="1:7" ht="20.25" customHeight="1" x14ac:dyDescent="0.3">
      <c r="A11" s="792"/>
      <c r="B11" s="803"/>
      <c r="C11" s="798"/>
      <c r="D11" s="799"/>
      <c r="E11" s="799"/>
      <c r="F11" s="800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2357889</v>
      </c>
      <c r="D26" s="258">
        <v>0</v>
      </c>
      <c r="E26" s="258">
        <f t="shared" ref="E26:E36" si="2">D26-C26</f>
        <v>-2357889</v>
      </c>
      <c r="F26" s="259">
        <f t="shared" ref="F26:F36" si="3">IF(C26=0,0,E26/C26)</f>
        <v>-1</v>
      </c>
    </row>
    <row r="27" spans="1:6" ht="20.25" customHeight="1" x14ac:dyDescent="0.3">
      <c r="A27" s="256">
        <v>2</v>
      </c>
      <c r="B27" s="257" t="s">
        <v>442</v>
      </c>
      <c r="C27" s="258">
        <v>292509</v>
      </c>
      <c r="D27" s="258">
        <v>0</v>
      </c>
      <c r="E27" s="258">
        <f t="shared" si="2"/>
        <v>-292509</v>
      </c>
      <c r="F27" s="259">
        <f t="shared" si="3"/>
        <v>-1</v>
      </c>
    </row>
    <row r="28" spans="1:6" ht="20.25" customHeight="1" x14ac:dyDescent="0.3">
      <c r="A28" s="256">
        <v>3</v>
      </c>
      <c r="B28" s="257" t="s">
        <v>443</v>
      </c>
      <c r="C28" s="258">
        <v>3476665</v>
      </c>
      <c r="D28" s="258">
        <v>0</v>
      </c>
      <c r="E28" s="258">
        <f t="shared" si="2"/>
        <v>-3476665</v>
      </c>
      <c r="F28" s="259">
        <f t="shared" si="3"/>
        <v>-1</v>
      </c>
    </row>
    <row r="29" spans="1:6" ht="20.25" customHeight="1" x14ac:dyDescent="0.3">
      <c r="A29" s="256">
        <v>4</v>
      </c>
      <c r="B29" s="257" t="s">
        <v>444</v>
      </c>
      <c r="C29" s="258">
        <v>495817</v>
      </c>
      <c r="D29" s="258">
        <v>0</v>
      </c>
      <c r="E29" s="258">
        <f t="shared" si="2"/>
        <v>-495817</v>
      </c>
      <c r="F29" s="259">
        <f t="shared" si="3"/>
        <v>-1</v>
      </c>
    </row>
    <row r="30" spans="1:6" ht="20.25" customHeight="1" x14ac:dyDescent="0.3">
      <c r="A30" s="256">
        <v>5</v>
      </c>
      <c r="B30" s="257" t="s">
        <v>381</v>
      </c>
      <c r="C30" s="260">
        <v>99</v>
      </c>
      <c r="D30" s="260">
        <v>0</v>
      </c>
      <c r="E30" s="260">
        <f t="shared" si="2"/>
        <v>-99</v>
      </c>
      <c r="F30" s="259">
        <f t="shared" si="3"/>
        <v>-1</v>
      </c>
    </row>
    <row r="31" spans="1:6" ht="20.25" customHeight="1" x14ac:dyDescent="0.3">
      <c r="A31" s="256">
        <v>6</v>
      </c>
      <c r="B31" s="257" t="s">
        <v>380</v>
      </c>
      <c r="C31" s="260">
        <v>486</v>
      </c>
      <c r="D31" s="260">
        <v>0</v>
      </c>
      <c r="E31" s="260">
        <f t="shared" si="2"/>
        <v>-486</v>
      </c>
      <c r="F31" s="259">
        <f t="shared" si="3"/>
        <v>-1</v>
      </c>
    </row>
    <row r="32" spans="1:6" ht="20.25" customHeight="1" x14ac:dyDescent="0.3">
      <c r="A32" s="256">
        <v>7</v>
      </c>
      <c r="B32" s="257" t="s">
        <v>445</v>
      </c>
      <c r="C32" s="260">
        <v>718</v>
      </c>
      <c r="D32" s="260">
        <v>0</v>
      </c>
      <c r="E32" s="260">
        <f t="shared" si="2"/>
        <v>-718</v>
      </c>
      <c r="F32" s="259">
        <f t="shared" si="3"/>
        <v>-1</v>
      </c>
    </row>
    <row r="33" spans="1:6" ht="20.25" customHeight="1" x14ac:dyDescent="0.3">
      <c r="A33" s="256">
        <v>8</v>
      </c>
      <c r="B33" s="257" t="s">
        <v>446</v>
      </c>
      <c r="C33" s="260">
        <v>1159</v>
      </c>
      <c r="D33" s="260">
        <v>0</v>
      </c>
      <c r="E33" s="260">
        <f t="shared" si="2"/>
        <v>-1159</v>
      </c>
      <c r="F33" s="259">
        <f t="shared" si="3"/>
        <v>-1</v>
      </c>
    </row>
    <row r="34" spans="1:6" ht="20.25" customHeight="1" x14ac:dyDescent="0.3">
      <c r="A34" s="256">
        <v>9</v>
      </c>
      <c r="B34" s="257" t="s">
        <v>447</v>
      </c>
      <c r="C34" s="260">
        <v>29</v>
      </c>
      <c r="D34" s="260">
        <v>0</v>
      </c>
      <c r="E34" s="260">
        <f t="shared" si="2"/>
        <v>-29</v>
      </c>
      <c r="F34" s="259">
        <f t="shared" si="3"/>
        <v>-1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5834554</v>
      </c>
      <c r="D35" s="263">
        <f>+D26+D28</f>
        <v>0</v>
      </c>
      <c r="E35" s="263">
        <f t="shared" si="2"/>
        <v>-5834554</v>
      </c>
      <c r="F35" s="264">
        <f t="shared" si="3"/>
        <v>-1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788326</v>
      </c>
      <c r="D36" s="263">
        <f>+D27+D29</f>
        <v>0</v>
      </c>
      <c r="E36" s="263">
        <f t="shared" si="2"/>
        <v>-788326</v>
      </c>
      <c r="F36" s="264">
        <f t="shared" si="3"/>
        <v>-1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158095</v>
      </c>
      <c r="D50" s="258">
        <v>0</v>
      </c>
      <c r="E50" s="258">
        <f t="shared" ref="E50:E60" si="6">D50-C50</f>
        <v>-158095</v>
      </c>
      <c r="F50" s="259">
        <f t="shared" ref="F50:F60" si="7">IF(C50=0,0,E50/C50)</f>
        <v>-1</v>
      </c>
    </row>
    <row r="51" spans="1:6" ht="20.25" customHeight="1" x14ac:dyDescent="0.3">
      <c r="A51" s="256">
        <v>2</v>
      </c>
      <c r="B51" s="257" t="s">
        <v>442</v>
      </c>
      <c r="C51" s="258">
        <v>5163</v>
      </c>
      <c r="D51" s="258">
        <v>0</v>
      </c>
      <c r="E51" s="258">
        <f t="shared" si="6"/>
        <v>-5163</v>
      </c>
      <c r="F51" s="259">
        <f t="shared" si="7"/>
        <v>-1</v>
      </c>
    </row>
    <row r="52" spans="1:6" ht="20.25" customHeight="1" x14ac:dyDescent="0.3">
      <c r="A52" s="256">
        <v>3</v>
      </c>
      <c r="B52" s="257" t="s">
        <v>443</v>
      </c>
      <c r="C52" s="258">
        <v>122090</v>
      </c>
      <c r="D52" s="258">
        <v>0</v>
      </c>
      <c r="E52" s="258">
        <f t="shared" si="6"/>
        <v>-122090</v>
      </c>
      <c r="F52" s="259">
        <f t="shared" si="7"/>
        <v>-1</v>
      </c>
    </row>
    <row r="53" spans="1:6" ht="20.25" customHeight="1" x14ac:dyDescent="0.3">
      <c r="A53" s="256">
        <v>4</v>
      </c>
      <c r="B53" s="257" t="s">
        <v>444</v>
      </c>
      <c r="C53" s="258">
        <v>39500</v>
      </c>
      <c r="D53" s="258">
        <v>0</v>
      </c>
      <c r="E53" s="258">
        <f t="shared" si="6"/>
        <v>-39500</v>
      </c>
      <c r="F53" s="259">
        <f t="shared" si="7"/>
        <v>-1</v>
      </c>
    </row>
    <row r="54" spans="1:6" ht="20.25" customHeight="1" x14ac:dyDescent="0.3">
      <c r="A54" s="256">
        <v>5</v>
      </c>
      <c r="B54" s="257" t="s">
        <v>381</v>
      </c>
      <c r="C54" s="260">
        <v>12</v>
      </c>
      <c r="D54" s="260">
        <v>0</v>
      </c>
      <c r="E54" s="260">
        <f t="shared" si="6"/>
        <v>-12</v>
      </c>
      <c r="F54" s="259">
        <f t="shared" si="7"/>
        <v>-1</v>
      </c>
    </row>
    <row r="55" spans="1:6" ht="20.25" customHeight="1" x14ac:dyDescent="0.3">
      <c r="A55" s="256">
        <v>6</v>
      </c>
      <c r="B55" s="257" t="s">
        <v>380</v>
      </c>
      <c r="C55" s="260">
        <v>32</v>
      </c>
      <c r="D55" s="260">
        <v>0</v>
      </c>
      <c r="E55" s="260">
        <f t="shared" si="6"/>
        <v>-32</v>
      </c>
      <c r="F55" s="259">
        <f t="shared" si="7"/>
        <v>-1</v>
      </c>
    </row>
    <row r="56" spans="1:6" ht="20.25" customHeight="1" x14ac:dyDescent="0.3">
      <c r="A56" s="256">
        <v>7</v>
      </c>
      <c r="B56" s="257" t="s">
        <v>445</v>
      </c>
      <c r="C56" s="260">
        <v>25</v>
      </c>
      <c r="D56" s="260">
        <v>0</v>
      </c>
      <c r="E56" s="260">
        <f t="shared" si="6"/>
        <v>-25</v>
      </c>
      <c r="F56" s="259">
        <f t="shared" si="7"/>
        <v>-1</v>
      </c>
    </row>
    <row r="57" spans="1:6" ht="20.25" customHeight="1" x14ac:dyDescent="0.3">
      <c r="A57" s="256">
        <v>8</v>
      </c>
      <c r="B57" s="257" t="s">
        <v>446</v>
      </c>
      <c r="C57" s="260">
        <v>251</v>
      </c>
      <c r="D57" s="260">
        <v>0</v>
      </c>
      <c r="E57" s="260">
        <f t="shared" si="6"/>
        <v>-251</v>
      </c>
      <c r="F57" s="259">
        <f t="shared" si="7"/>
        <v>-1</v>
      </c>
    </row>
    <row r="58" spans="1:6" ht="20.25" customHeight="1" x14ac:dyDescent="0.3">
      <c r="A58" s="256">
        <v>9</v>
      </c>
      <c r="B58" s="257" t="s">
        <v>447</v>
      </c>
      <c r="C58" s="260">
        <v>29</v>
      </c>
      <c r="D58" s="260">
        <v>0</v>
      </c>
      <c r="E58" s="260">
        <f t="shared" si="6"/>
        <v>-29</v>
      </c>
      <c r="F58" s="259">
        <f t="shared" si="7"/>
        <v>-1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280185</v>
      </c>
      <c r="D59" s="263">
        <f>+D50+D52</f>
        <v>0</v>
      </c>
      <c r="E59" s="263">
        <f t="shared" si="6"/>
        <v>-280185</v>
      </c>
      <c r="F59" s="264">
        <f t="shared" si="7"/>
        <v>-1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44663</v>
      </c>
      <c r="D60" s="263">
        <f>+D51+D53</f>
        <v>0</v>
      </c>
      <c r="E60" s="263">
        <f t="shared" si="6"/>
        <v>-44663</v>
      </c>
      <c r="F60" s="264">
        <f t="shared" si="7"/>
        <v>-1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700311</v>
      </c>
      <c r="D86" s="258">
        <v>0</v>
      </c>
      <c r="E86" s="258">
        <f t="shared" ref="E86:E96" si="12">D86-C86</f>
        <v>-700311</v>
      </c>
      <c r="F86" s="259">
        <f t="shared" ref="F86:F96" si="13">IF(C86=0,0,E86/C86)</f>
        <v>-1</v>
      </c>
    </row>
    <row r="87" spans="1:6" ht="20.25" customHeight="1" x14ac:dyDescent="0.3">
      <c r="A87" s="256">
        <v>2</v>
      </c>
      <c r="B87" s="257" t="s">
        <v>442</v>
      </c>
      <c r="C87" s="258">
        <v>117845</v>
      </c>
      <c r="D87" s="258">
        <v>0</v>
      </c>
      <c r="E87" s="258">
        <f t="shared" si="12"/>
        <v>-117845</v>
      </c>
      <c r="F87" s="259">
        <f t="shared" si="13"/>
        <v>-1</v>
      </c>
    </row>
    <row r="88" spans="1:6" ht="20.25" customHeight="1" x14ac:dyDescent="0.3">
      <c r="A88" s="256">
        <v>3</v>
      </c>
      <c r="B88" s="257" t="s">
        <v>443</v>
      </c>
      <c r="C88" s="258">
        <v>1384565</v>
      </c>
      <c r="D88" s="258">
        <v>0</v>
      </c>
      <c r="E88" s="258">
        <f t="shared" si="12"/>
        <v>-1384565</v>
      </c>
      <c r="F88" s="259">
        <f t="shared" si="13"/>
        <v>-1</v>
      </c>
    </row>
    <row r="89" spans="1:6" ht="20.25" customHeight="1" x14ac:dyDescent="0.3">
      <c r="A89" s="256">
        <v>4</v>
      </c>
      <c r="B89" s="257" t="s">
        <v>444</v>
      </c>
      <c r="C89" s="258">
        <v>171800</v>
      </c>
      <c r="D89" s="258">
        <v>0</v>
      </c>
      <c r="E89" s="258">
        <f t="shared" si="12"/>
        <v>-171800</v>
      </c>
      <c r="F89" s="259">
        <f t="shared" si="13"/>
        <v>-1</v>
      </c>
    </row>
    <row r="90" spans="1:6" ht="20.25" customHeight="1" x14ac:dyDescent="0.3">
      <c r="A90" s="256">
        <v>5</v>
      </c>
      <c r="B90" s="257" t="s">
        <v>381</v>
      </c>
      <c r="C90" s="260">
        <v>59</v>
      </c>
      <c r="D90" s="260">
        <v>0</v>
      </c>
      <c r="E90" s="260">
        <f t="shared" si="12"/>
        <v>-59</v>
      </c>
      <c r="F90" s="259">
        <f t="shared" si="13"/>
        <v>-1</v>
      </c>
    </row>
    <row r="91" spans="1:6" ht="20.25" customHeight="1" x14ac:dyDescent="0.3">
      <c r="A91" s="256">
        <v>6</v>
      </c>
      <c r="B91" s="257" t="s">
        <v>380</v>
      </c>
      <c r="C91" s="260">
        <v>153</v>
      </c>
      <c r="D91" s="260">
        <v>0</v>
      </c>
      <c r="E91" s="260">
        <f t="shared" si="12"/>
        <v>-153</v>
      </c>
      <c r="F91" s="259">
        <f t="shared" si="13"/>
        <v>-1</v>
      </c>
    </row>
    <row r="92" spans="1:6" ht="20.25" customHeight="1" x14ac:dyDescent="0.3">
      <c r="A92" s="256">
        <v>7</v>
      </c>
      <c r="B92" s="257" t="s">
        <v>445</v>
      </c>
      <c r="C92" s="260">
        <v>286</v>
      </c>
      <c r="D92" s="260">
        <v>0</v>
      </c>
      <c r="E92" s="260">
        <f t="shared" si="12"/>
        <v>-286</v>
      </c>
      <c r="F92" s="259">
        <f t="shared" si="13"/>
        <v>-1</v>
      </c>
    </row>
    <row r="93" spans="1:6" ht="20.25" customHeight="1" x14ac:dyDescent="0.3">
      <c r="A93" s="256">
        <v>8</v>
      </c>
      <c r="B93" s="257" t="s">
        <v>446</v>
      </c>
      <c r="C93" s="260">
        <v>445</v>
      </c>
      <c r="D93" s="260">
        <v>0</v>
      </c>
      <c r="E93" s="260">
        <f t="shared" si="12"/>
        <v>-445</v>
      </c>
      <c r="F93" s="259">
        <f t="shared" si="13"/>
        <v>-1</v>
      </c>
    </row>
    <row r="94" spans="1:6" ht="20.25" customHeight="1" x14ac:dyDescent="0.3">
      <c r="A94" s="256">
        <v>9</v>
      </c>
      <c r="B94" s="257" t="s">
        <v>447</v>
      </c>
      <c r="C94" s="260">
        <v>15</v>
      </c>
      <c r="D94" s="260">
        <v>0</v>
      </c>
      <c r="E94" s="260">
        <f t="shared" si="12"/>
        <v>-15</v>
      </c>
      <c r="F94" s="259">
        <f t="shared" si="13"/>
        <v>-1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2084876</v>
      </c>
      <c r="D95" s="263">
        <f>+D86+D88</f>
        <v>0</v>
      </c>
      <c r="E95" s="263">
        <f t="shared" si="12"/>
        <v>-2084876</v>
      </c>
      <c r="F95" s="264">
        <f t="shared" si="13"/>
        <v>-1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289645</v>
      </c>
      <c r="D96" s="263">
        <f>+D87+D89</f>
        <v>0</v>
      </c>
      <c r="E96" s="263">
        <f t="shared" si="12"/>
        <v>-289645</v>
      </c>
      <c r="F96" s="264">
        <f t="shared" si="13"/>
        <v>-1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2178926</v>
      </c>
      <c r="D98" s="258">
        <v>0</v>
      </c>
      <c r="E98" s="258">
        <f t="shared" ref="E98:E108" si="14">D98-C98</f>
        <v>-2178926</v>
      </c>
      <c r="F98" s="259">
        <f t="shared" ref="F98:F108" si="15">IF(C98=0,0,E98/C98)</f>
        <v>-1</v>
      </c>
    </row>
    <row r="99" spans="1:7" ht="20.25" customHeight="1" x14ac:dyDescent="0.3">
      <c r="A99" s="256">
        <v>2</v>
      </c>
      <c r="B99" s="257" t="s">
        <v>442</v>
      </c>
      <c r="C99" s="258">
        <v>269383</v>
      </c>
      <c r="D99" s="258">
        <v>0</v>
      </c>
      <c r="E99" s="258">
        <f t="shared" si="14"/>
        <v>-269383</v>
      </c>
      <c r="F99" s="259">
        <f t="shared" si="15"/>
        <v>-1</v>
      </c>
    </row>
    <row r="100" spans="1:7" ht="20.25" customHeight="1" x14ac:dyDescent="0.3">
      <c r="A100" s="256">
        <v>3</v>
      </c>
      <c r="B100" s="257" t="s">
        <v>443</v>
      </c>
      <c r="C100" s="258">
        <v>3817446</v>
      </c>
      <c r="D100" s="258">
        <v>0</v>
      </c>
      <c r="E100" s="258">
        <f t="shared" si="14"/>
        <v>-3817446</v>
      </c>
      <c r="F100" s="259">
        <f t="shared" si="15"/>
        <v>-1</v>
      </c>
    </row>
    <row r="101" spans="1:7" ht="20.25" customHeight="1" x14ac:dyDescent="0.3">
      <c r="A101" s="256">
        <v>4</v>
      </c>
      <c r="B101" s="257" t="s">
        <v>444</v>
      </c>
      <c r="C101" s="258">
        <v>428078</v>
      </c>
      <c r="D101" s="258">
        <v>0</v>
      </c>
      <c r="E101" s="258">
        <f t="shared" si="14"/>
        <v>-428078</v>
      </c>
      <c r="F101" s="259">
        <f t="shared" si="15"/>
        <v>-1</v>
      </c>
    </row>
    <row r="102" spans="1:7" ht="20.25" customHeight="1" x14ac:dyDescent="0.3">
      <c r="A102" s="256">
        <v>5</v>
      </c>
      <c r="B102" s="257" t="s">
        <v>381</v>
      </c>
      <c r="C102" s="260">
        <v>105</v>
      </c>
      <c r="D102" s="260">
        <v>0</v>
      </c>
      <c r="E102" s="260">
        <f t="shared" si="14"/>
        <v>-105</v>
      </c>
      <c r="F102" s="259">
        <f t="shared" si="15"/>
        <v>-1</v>
      </c>
    </row>
    <row r="103" spans="1:7" ht="20.25" customHeight="1" x14ac:dyDescent="0.3">
      <c r="A103" s="256">
        <v>6</v>
      </c>
      <c r="B103" s="257" t="s">
        <v>380</v>
      </c>
      <c r="C103" s="260">
        <v>448</v>
      </c>
      <c r="D103" s="260">
        <v>0</v>
      </c>
      <c r="E103" s="260">
        <f t="shared" si="14"/>
        <v>-448</v>
      </c>
      <c r="F103" s="259">
        <f t="shared" si="15"/>
        <v>-1</v>
      </c>
    </row>
    <row r="104" spans="1:7" ht="20.25" customHeight="1" x14ac:dyDescent="0.3">
      <c r="A104" s="256">
        <v>7</v>
      </c>
      <c r="B104" s="257" t="s">
        <v>445</v>
      </c>
      <c r="C104" s="260">
        <v>789</v>
      </c>
      <c r="D104" s="260">
        <v>0</v>
      </c>
      <c r="E104" s="260">
        <f t="shared" si="14"/>
        <v>-789</v>
      </c>
      <c r="F104" s="259">
        <f t="shared" si="15"/>
        <v>-1</v>
      </c>
    </row>
    <row r="105" spans="1:7" ht="20.25" customHeight="1" x14ac:dyDescent="0.3">
      <c r="A105" s="256">
        <v>8</v>
      </c>
      <c r="B105" s="257" t="s">
        <v>446</v>
      </c>
      <c r="C105" s="260">
        <v>1147</v>
      </c>
      <c r="D105" s="260">
        <v>0</v>
      </c>
      <c r="E105" s="260">
        <f t="shared" si="14"/>
        <v>-1147</v>
      </c>
      <c r="F105" s="259">
        <f t="shared" si="15"/>
        <v>-1</v>
      </c>
    </row>
    <row r="106" spans="1:7" ht="20.25" customHeight="1" x14ac:dyDescent="0.3">
      <c r="A106" s="256">
        <v>9</v>
      </c>
      <c r="B106" s="257" t="s">
        <v>447</v>
      </c>
      <c r="C106" s="260">
        <v>33</v>
      </c>
      <c r="D106" s="260">
        <v>0</v>
      </c>
      <c r="E106" s="260">
        <f t="shared" si="14"/>
        <v>-33</v>
      </c>
      <c r="F106" s="259">
        <f t="shared" si="15"/>
        <v>-1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5996372</v>
      </c>
      <c r="D107" s="263">
        <f>+D98+D100</f>
        <v>0</v>
      </c>
      <c r="E107" s="263">
        <f t="shared" si="14"/>
        <v>-5996372</v>
      </c>
      <c r="F107" s="264">
        <f t="shared" si="15"/>
        <v>-1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697461</v>
      </c>
      <c r="D108" s="263">
        <f>+D99+D101</f>
        <v>0</v>
      </c>
      <c r="E108" s="263">
        <f t="shared" si="14"/>
        <v>-697461</v>
      </c>
      <c r="F108" s="264">
        <f t="shared" si="15"/>
        <v>-1</v>
      </c>
    </row>
    <row r="109" spans="1:7" s="265" customFormat="1" ht="20.25" customHeight="1" x14ac:dyDescent="0.3">
      <c r="A109" s="801" t="s">
        <v>44</v>
      </c>
      <c r="B109" s="802" t="s">
        <v>490</v>
      </c>
      <c r="C109" s="804"/>
      <c r="D109" s="805"/>
      <c r="E109" s="805"/>
      <c r="F109" s="806"/>
      <c r="G109" s="245"/>
    </row>
    <row r="110" spans="1:7" ht="20.25" customHeight="1" x14ac:dyDescent="0.3">
      <c r="A110" s="792"/>
      <c r="B110" s="803"/>
      <c r="C110" s="798"/>
      <c r="D110" s="799"/>
      <c r="E110" s="799"/>
      <c r="F110" s="800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5395221</v>
      </c>
      <c r="D112" s="263">
        <f t="shared" si="16"/>
        <v>0</v>
      </c>
      <c r="E112" s="263">
        <f t="shared" ref="E112:E122" si="17">D112-C112</f>
        <v>-5395221</v>
      </c>
      <c r="F112" s="264">
        <f t="shared" ref="F112:F122" si="18">IF(C112=0,0,E112/C112)</f>
        <v>-1</v>
      </c>
    </row>
    <row r="113" spans="1:6" ht="20.25" customHeight="1" x14ac:dyDescent="0.3">
      <c r="A113" s="271"/>
      <c r="B113" s="286" t="s">
        <v>492</v>
      </c>
      <c r="C113" s="263">
        <f t="shared" si="16"/>
        <v>684900</v>
      </c>
      <c r="D113" s="263">
        <f t="shared" si="16"/>
        <v>0</v>
      </c>
      <c r="E113" s="263">
        <f t="shared" si="17"/>
        <v>-684900</v>
      </c>
      <c r="F113" s="264">
        <f t="shared" si="18"/>
        <v>-1</v>
      </c>
    </row>
    <row r="114" spans="1:6" ht="20.25" customHeight="1" x14ac:dyDescent="0.3">
      <c r="A114" s="271"/>
      <c r="B114" s="286" t="s">
        <v>493</v>
      </c>
      <c r="C114" s="263">
        <f t="shared" si="16"/>
        <v>8800766</v>
      </c>
      <c r="D114" s="263">
        <f t="shared" si="16"/>
        <v>0</v>
      </c>
      <c r="E114" s="263">
        <f t="shared" si="17"/>
        <v>-8800766</v>
      </c>
      <c r="F114" s="264">
        <f t="shared" si="18"/>
        <v>-1</v>
      </c>
    </row>
    <row r="115" spans="1:6" ht="20.25" customHeight="1" x14ac:dyDescent="0.3">
      <c r="A115" s="271"/>
      <c r="B115" s="286" t="s">
        <v>494</v>
      </c>
      <c r="C115" s="263">
        <f t="shared" si="16"/>
        <v>1135195</v>
      </c>
      <c r="D115" s="263">
        <f t="shared" si="16"/>
        <v>0</v>
      </c>
      <c r="E115" s="263">
        <f t="shared" si="17"/>
        <v>-1135195</v>
      </c>
      <c r="F115" s="264">
        <f t="shared" si="18"/>
        <v>-1</v>
      </c>
    </row>
    <row r="116" spans="1:6" ht="20.25" customHeight="1" x14ac:dyDescent="0.3">
      <c r="A116" s="271"/>
      <c r="B116" s="286" t="s">
        <v>495</v>
      </c>
      <c r="C116" s="287">
        <f t="shared" si="16"/>
        <v>275</v>
      </c>
      <c r="D116" s="287">
        <f t="shared" si="16"/>
        <v>0</v>
      </c>
      <c r="E116" s="287">
        <f t="shared" si="17"/>
        <v>-275</v>
      </c>
      <c r="F116" s="264">
        <f t="shared" si="18"/>
        <v>-1</v>
      </c>
    </row>
    <row r="117" spans="1:6" ht="20.25" customHeight="1" x14ac:dyDescent="0.3">
      <c r="A117" s="271"/>
      <c r="B117" s="286" t="s">
        <v>496</v>
      </c>
      <c r="C117" s="287">
        <f t="shared" si="16"/>
        <v>1119</v>
      </c>
      <c r="D117" s="287">
        <f t="shared" si="16"/>
        <v>0</v>
      </c>
      <c r="E117" s="287">
        <f t="shared" si="17"/>
        <v>-1119</v>
      </c>
      <c r="F117" s="264">
        <f t="shared" si="18"/>
        <v>-1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1818</v>
      </c>
      <c r="D118" s="287">
        <f t="shared" si="16"/>
        <v>0</v>
      </c>
      <c r="E118" s="287">
        <f t="shared" si="17"/>
        <v>-1818</v>
      </c>
      <c r="F118" s="264">
        <f t="shared" si="18"/>
        <v>-1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3002</v>
      </c>
      <c r="D119" s="287">
        <f t="shared" si="16"/>
        <v>0</v>
      </c>
      <c r="E119" s="287">
        <f t="shared" si="17"/>
        <v>-3002</v>
      </c>
      <c r="F119" s="264">
        <f t="shared" si="18"/>
        <v>-1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106</v>
      </c>
      <c r="D120" s="287">
        <f t="shared" si="16"/>
        <v>0</v>
      </c>
      <c r="E120" s="287">
        <f t="shared" si="17"/>
        <v>-106</v>
      </c>
      <c r="F120" s="264">
        <f t="shared" si="18"/>
        <v>-1</v>
      </c>
    </row>
    <row r="121" spans="1:6" ht="20.25" customHeight="1" x14ac:dyDescent="0.3">
      <c r="A121" s="271"/>
      <c r="B121" s="284" t="s">
        <v>448</v>
      </c>
      <c r="C121" s="263">
        <f>+C112+C114</f>
        <v>14195987</v>
      </c>
      <c r="D121" s="263">
        <f>+D112+D114</f>
        <v>0</v>
      </c>
      <c r="E121" s="263">
        <f t="shared" si="17"/>
        <v>-14195987</v>
      </c>
      <c r="F121" s="264">
        <f t="shared" si="18"/>
        <v>-1</v>
      </c>
    </row>
    <row r="122" spans="1:6" ht="20.25" customHeight="1" x14ac:dyDescent="0.3">
      <c r="A122" s="271"/>
      <c r="B122" s="284" t="s">
        <v>472</v>
      </c>
      <c r="C122" s="263">
        <f>+C113+C115</f>
        <v>1820095</v>
      </c>
      <c r="D122" s="263">
        <f>+D113+D115</f>
        <v>0</v>
      </c>
      <c r="E122" s="263">
        <f t="shared" si="17"/>
        <v>-1820095</v>
      </c>
      <c r="F122" s="264">
        <f t="shared" si="18"/>
        <v>-1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rintOptions gridLines="1"/>
  <pageMargins left="0.25" right="0.25" top="0.5" bottom="0.5" header="0.25" footer="0.25"/>
  <pageSetup scale="57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74083960</v>
      </c>
      <c r="D13" s="22">
        <v>71777507</v>
      </c>
      <c r="E13" s="22">
        <f t="shared" ref="E13:E22" si="0">D13-C13</f>
        <v>-2306453</v>
      </c>
      <c r="F13" s="306">
        <f t="shared" ref="F13:F22" si="1">IF(C13=0,0,E13/C13)</f>
        <v>-3.1132960495092326E-2</v>
      </c>
    </row>
    <row r="14" spans="1:8" ht="24" customHeight="1" x14ac:dyDescent="0.2">
      <c r="A14" s="304">
        <v>2</v>
      </c>
      <c r="B14" s="305" t="s">
        <v>17</v>
      </c>
      <c r="C14" s="22">
        <v>0</v>
      </c>
      <c r="D14" s="22">
        <v>0</v>
      </c>
      <c r="E14" s="22">
        <f t="shared" si="0"/>
        <v>0</v>
      </c>
      <c r="F14" s="306">
        <f t="shared" si="1"/>
        <v>0</v>
      </c>
    </row>
    <row r="15" spans="1:8" ht="35.1" customHeight="1" x14ac:dyDescent="0.2">
      <c r="A15" s="304">
        <v>3</v>
      </c>
      <c r="B15" s="305" t="s">
        <v>18</v>
      </c>
      <c r="C15" s="22">
        <v>79495132</v>
      </c>
      <c r="D15" s="22">
        <v>76374995</v>
      </c>
      <c r="E15" s="22">
        <f t="shared" si="0"/>
        <v>-3120137</v>
      </c>
      <c r="F15" s="306">
        <f t="shared" si="1"/>
        <v>-3.924940963680644E-2</v>
      </c>
    </row>
    <row r="16" spans="1:8" ht="35.1" customHeight="1" x14ac:dyDescent="0.2">
      <c r="A16" s="304">
        <v>4</v>
      </c>
      <c r="B16" s="305" t="s">
        <v>19</v>
      </c>
      <c r="C16" s="22">
        <v>2100896</v>
      </c>
      <c r="D16" s="22">
        <v>6189827</v>
      </c>
      <c r="E16" s="22">
        <f t="shared" si="0"/>
        <v>4088931</v>
      </c>
      <c r="F16" s="306">
        <f t="shared" si="1"/>
        <v>1.9462795873760528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11357589</v>
      </c>
      <c r="D19" s="22">
        <v>11258609</v>
      </c>
      <c r="E19" s="22">
        <f t="shared" si="0"/>
        <v>-98980</v>
      </c>
      <c r="F19" s="306">
        <f t="shared" si="1"/>
        <v>-8.7148777790779369E-3</v>
      </c>
    </row>
    <row r="20" spans="1:11" ht="24" customHeight="1" x14ac:dyDescent="0.2">
      <c r="A20" s="304">
        <v>8</v>
      </c>
      <c r="B20" s="305" t="s">
        <v>23</v>
      </c>
      <c r="C20" s="22">
        <v>17443644</v>
      </c>
      <c r="D20" s="22">
        <v>15085296</v>
      </c>
      <c r="E20" s="22">
        <f t="shared" si="0"/>
        <v>-2358348</v>
      </c>
      <c r="F20" s="306">
        <f t="shared" si="1"/>
        <v>-0.13519812718030705</v>
      </c>
    </row>
    <row r="21" spans="1:11" ht="24" customHeight="1" x14ac:dyDescent="0.2">
      <c r="A21" s="304">
        <v>9</v>
      </c>
      <c r="B21" s="305" t="s">
        <v>24</v>
      </c>
      <c r="C21" s="22">
        <v>3008962</v>
      </c>
      <c r="D21" s="22">
        <v>13627769</v>
      </c>
      <c r="E21" s="22">
        <f t="shared" si="0"/>
        <v>10618807</v>
      </c>
      <c r="F21" s="306">
        <f t="shared" si="1"/>
        <v>3.529059855192588</v>
      </c>
    </row>
    <row r="22" spans="1:11" ht="24" customHeight="1" x14ac:dyDescent="0.25">
      <c r="A22" s="307"/>
      <c r="B22" s="308" t="s">
        <v>25</v>
      </c>
      <c r="C22" s="309">
        <f>SUM(C13:C21)</f>
        <v>187490183</v>
      </c>
      <c r="D22" s="309">
        <f>SUM(D13:D21)</f>
        <v>194314003</v>
      </c>
      <c r="E22" s="309">
        <f t="shared" si="0"/>
        <v>6823820</v>
      </c>
      <c r="F22" s="310">
        <f t="shared" si="1"/>
        <v>3.6395612243868787E-2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7262631</v>
      </c>
      <c r="D25" s="22">
        <v>7593627</v>
      </c>
      <c r="E25" s="22">
        <f>D25-C25</f>
        <v>330996</v>
      </c>
      <c r="F25" s="306">
        <f>IF(C25=0,0,E25/C25)</f>
        <v>4.5575219228403588E-2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157837082</v>
      </c>
      <c r="D28" s="22">
        <v>102677901</v>
      </c>
      <c r="E28" s="22">
        <f>D28-C28</f>
        <v>-55159181</v>
      </c>
      <c r="F28" s="306">
        <f>IF(C28=0,0,E28/C28)</f>
        <v>-0.349469087372003</v>
      </c>
    </row>
    <row r="29" spans="1:11" ht="35.1" customHeight="1" x14ac:dyDescent="0.25">
      <c r="A29" s="307"/>
      <c r="B29" s="308" t="s">
        <v>32</v>
      </c>
      <c r="C29" s="309">
        <f>SUM(C25:C28)</f>
        <v>165099713</v>
      </c>
      <c r="D29" s="309">
        <f>SUM(D25:D28)</f>
        <v>110271528</v>
      </c>
      <c r="E29" s="309">
        <f>D29-C29</f>
        <v>-54828185</v>
      </c>
      <c r="F29" s="310">
        <f>IF(C29=0,0,E29/C29)</f>
        <v>-0.33209134046162758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245357292</v>
      </c>
      <c r="D32" s="22">
        <v>269214330</v>
      </c>
      <c r="E32" s="22">
        <f>D32-C32</f>
        <v>23857038</v>
      </c>
      <c r="F32" s="306">
        <f>IF(C32=0,0,E32/C32)</f>
        <v>9.7233865786226559E-2</v>
      </c>
    </row>
    <row r="33" spans="1:8" ht="24" customHeight="1" x14ac:dyDescent="0.2">
      <c r="A33" s="304">
        <v>7</v>
      </c>
      <c r="B33" s="305" t="s">
        <v>35</v>
      </c>
      <c r="C33" s="22">
        <v>28601760</v>
      </c>
      <c r="D33" s="22">
        <v>49578607</v>
      </c>
      <c r="E33" s="22">
        <f>D33-C33</f>
        <v>20976847</v>
      </c>
      <c r="F33" s="306">
        <f>IF(C33=0,0,E33/C33)</f>
        <v>0.73341105582313815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663576198</v>
      </c>
      <c r="D36" s="22">
        <v>647668638</v>
      </c>
      <c r="E36" s="22">
        <f>D36-C36</f>
        <v>-15907560</v>
      </c>
      <c r="F36" s="306">
        <f>IF(C36=0,0,E36/C36)</f>
        <v>-2.3972469247608548E-2</v>
      </c>
    </row>
    <row r="37" spans="1:8" ht="24" customHeight="1" x14ac:dyDescent="0.2">
      <c r="A37" s="304">
        <v>2</v>
      </c>
      <c r="B37" s="305" t="s">
        <v>39</v>
      </c>
      <c r="C37" s="22">
        <v>417555078</v>
      </c>
      <c r="D37" s="22">
        <v>408828028</v>
      </c>
      <c r="E37" s="22">
        <f>D37-C37</f>
        <v>-8727050</v>
      </c>
      <c r="F37" s="22">
        <f>IF(C37=0,0,E37/C37)</f>
        <v>-2.0900356527336975E-2</v>
      </c>
    </row>
    <row r="38" spans="1:8" ht="24" customHeight="1" x14ac:dyDescent="0.25">
      <c r="A38" s="307"/>
      <c r="B38" s="308" t="s">
        <v>40</v>
      </c>
      <c r="C38" s="309">
        <f>C36-C37</f>
        <v>246021120</v>
      </c>
      <c r="D38" s="309">
        <f>D36-D37</f>
        <v>238840610</v>
      </c>
      <c r="E38" s="309">
        <f>D38-C38</f>
        <v>-7180510</v>
      </c>
      <c r="F38" s="310">
        <f>IF(C38=0,0,E38/C38)</f>
        <v>-2.9186559267757175E-2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39399365</v>
      </c>
      <c r="D40" s="22">
        <v>110954585</v>
      </c>
      <c r="E40" s="22">
        <f>D40-C40</f>
        <v>71555220</v>
      </c>
      <c r="F40" s="306">
        <f>IF(C40=0,0,E40/C40)</f>
        <v>1.8161516054890732</v>
      </c>
    </row>
    <row r="41" spans="1:8" ht="24" customHeight="1" x14ac:dyDescent="0.25">
      <c r="A41" s="307"/>
      <c r="B41" s="308" t="s">
        <v>42</v>
      </c>
      <c r="C41" s="309">
        <f>+C38+C40</f>
        <v>285420485</v>
      </c>
      <c r="D41" s="309">
        <f>+D38+D40</f>
        <v>349795195</v>
      </c>
      <c r="E41" s="309">
        <f>D41-C41</f>
        <v>64374710</v>
      </c>
      <c r="F41" s="310">
        <f>IF(C41=0,0,E41/C41)</f>
        <v>0.22554341185426827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911969433</v>
      </c>
      <c r="D43" s="309">
        <f>D22+D29+D31+D32+D33+D41</f>
        <v>973173663</v>
      </c>
      <c r="E43" s="309">
        <f>D43-C43</f>
        <v>61204230</v>
      </c>
      <c r="F43" s="310">
        <f>IF(C43=0,0,E43/C43)</f>
        <v>6.7112150676655408E-2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34549615</v>
      </c>
      <c r="D49" s="22">
        <v>41394472</v>
      </c>
      <c r="E49" s="22">
        <f t="shared" ref="E49:E56" si="2">D49-C49</f>
        <v>6844857</v>
      </c>
      <c r="F49" s="306">
        <f t="shared" ref="F49:F56" si="3">IF(C49=0,0,E49/C49)</f>
        <v>0.19811673733556801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33802144</v>
      </c>
      <c r="D50" s="22">
        <v>44842213</v>
      </c>
      <c r="E50" s="22">
        <f t="shared" si="2"/>
        <v>11040069</v>
      </c>
      <c r="F50" s="306">
        <f t="shared" si="3"/>
        <v>0.32660854293739472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12492073</v>
      </c>
      <c r="D51" s="22">
        <v>10798195</v>
      </c>
      <c r="E51" s="22">
        <f t="shared" si="2"/>
        <v>-1693878</v>
      </c>
      <c r="F51" s="306">
        <f t="shared" si="3"/>
        <v>-0.13559622970502974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2050090</v>
      </c>
      <c r="D53" s="22">
        <v>2880000</v>
      </c>
      <c r="E53" s="22">
        <f t="shared" si="2"/>
        <v>829910</v>
      </c>
      <c r="F53" s="306">
        <f t="shared" si="3"/>
        <v>0.40481637391529152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0</v>
      </c>
      <c r="D55" s="22">
        <v>0</v>
      </c>
      <c r="E55" s="22">
        <f t="shared" si="2"/>
        <v>0</v>
      </c>
      <c r="F55" s="306">
        <f t="shared" si="3"/>
        <v>0</v>
      </c>
    </row>
    <row r="56" spans="1:6" ht="24" customHeight="1" x14ac:dyDescent="0.25">
      <c r="A56" s="307"/>
      <c r="B56" s="308" t="s">
        <v>54</v>
      </c>
      <c r="C56" s="309">
        <f>SUM(C49:C55)</f>
        <v>82893922</v>
      </c>
      <c r="D56" s="309">
        <f>SUM(D49:D55)</f>
        <v>99914880</v>
      </c>
      <c r="E56" s="309">
        <f t="shared" si="2"/>
        <v>17020958</v>
      </c>
      <c r="F56" s="310">
        <f t="shared" si="3"/>
        <v>0.20533421014872477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250593765</v>
      </c>
      <c r="D60" s="22">
        <v>246700000</v>
      </c>
      <c r="E60" s="22">
        <f>D60-C60</f>
        <v>-3893765</v>
      </c>
      <c r="F60" s="306">
        <f>IF(C60=0,0,E60/C60)</f>
        <v>-1.553815594733572E-2</v>
      </c>
    </row>
    <row r="61" spans="1:6" ht="24" customHeight="1" x14ac:dyDescent="0.25">
      <c r="A61" s="307"/>
      <c r="B61" s="308" t="s">
        <v>58</v>
      </c>
      <c r="C61" s="309">
        <f>SUM(C59:C60)</f>
        <v>250593765</v>
      </c>
      <c r="D61" s="309">
        <f>SUM(D59:D60)</f>
        <v>246700000</v>
      </c>
      <c r="E61" s="309">
        <f>D61-C61</f>
        <v>-3893765</v>
      </c>
      <c r="F61" s="310">
        <f>IF(C61=0,0,E61/C61)</f>
        <v>-1.553815594733572E-2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42317667</v>
      </c>
      <c r="D63" s="22">
        <v>46380935</v>
      </c>
      <c r="E63" s="22">
        <f>D63-C63</f>
        <v>4063268</v>
      </c>
      <c r="F63" s="306">
        <f>IF(C63=0,0,E63/C63)</f>
        <v>9.6018242215479416E-2</v>
      </c>
    </row>
    <row r="64" spans="1:6" ht="24" customHeight="1" x14ac:dyDescent="0.2">
      <c r="A64" s="304">
        <v>4</v>
      </c>
      <c r="B64" s="305" t="s">
        <v>60</v>
      </c>
      <c r="C64" s="22">
        <v>192289498</v>
      </c>
      <c r="D64" s="22">
        <v>79978708</v>
      </c>
      <c r="E64" s="22">
        <f>D64-C64</f>
        <v>-112310790</v>
      </c>
      <c r="F64" s="306">
        <f>IF(C64=0,0,E64/C64)</f>
        <v>-0.58407136722568176</v>
      </c>
    </row>
    <row r="65" spans="1:6" ht="24" customHeight="1" x14ac:dyDescent="0.25">
      <c r="A65" s="307"/>
      <c r="B65" s="308" t="s">
        <v>61</v>
      </c>
      <c r="C65" s="309">
        <f>SUM(C61:C64)</f>
        <v>485200930</v>
      </c>
      <c r="D65" s="309">
        <f>SUM(D61:D64)</f>
        <v>373059643</v>
      </c>
      <c r="E65" s="309">
        <f>D65-C65</f>
        <v>-112141287</v>
      </c>
      <c r="F65" s="310">
        <f>IF(C65=0,0,E65/C65)</f>
        <v>-0.23112339665136256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277089185</v>
      </c>
      <c r="D70" s="22">
        <v>404480146</v>
      </c>
      <c r="E70" s="22">
        <f>D70-C70</f>
        <v>127390961</v>
      </c>
      <c r="F70" s="306">
        <f>IF(C70=0,0,E70/C70)</f>
        <v>0.45974714242275461</v>
      </c>
    </row>
    <row r="71" spans="1:6" ht="24" customHeight="1" x14ac:dyDescent="0.2">
      <c r="A71" s="304">
        <v>2</v>
      </c>
      <c r="B71" s="305" t="s">
        <v>65</v>
      </c>
      <c r="C71" s="22">
        <v>33826104</v>
      </c>
      <c r="D71" s="22">
        <v>62336151</v>
      </c>
      <c r="E71" s="22">
        <f>D71-C71</f>
        <v>28510047</v>
      </c>
      <c r="F71" s="306">
        <f>IF(C71=0,0,E71/C71)</f>
        <v>0.84284158175591251</v>
      </c>
    </row>
    <row r="72" spans="1:6" ht="24" customHeight="1" x14ac:dyDescent="0.2">
      <c r="A72" s="304">
        <v>3</v>
      </c>
      <c r="B72" s="305" t="s">
        <v>66</v>
      </c>
      <c r="C72" s="22">
        <v>32959292</v>
      </c>
      <c r="D72" s="22">
        <v>33382843</v>
      </c>
      <c r="E72" s="22">
        <f>D72-C72</f>
        <v>423551</v>
      </c>
      <c r="F72" s="306">
        <f>IF(C72=0,0,E72/C72)</f>
        <v>1.2850731138278091E-2</v>
      </c>
    </row>
    <row r="73" spans="1:6" ht="24" customHeight="1" x14ac:dyDescent="0.25">
      <c r="A73" s="304"/>
      <c r="B73" s="308" t="s">
        <v>67</v>
      </c>
      <c r="C73" s="309">
        <f>SUM(C70:C72)</f>
        <v>343874581</v>
      </c>
      <c r="D73" s="309">
        <f>SUM(D70:D72)</f>
        <v>500199140</v>
      </c>
      <c r="E73" s="309">
        <f>D73-C73</f>
        <v>156324559</v>
      </c>
      <c r="F73" s="310">
        <f>IF(C73=0,0,E73/C73)</f>
        <v>0.45459759934974664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911969433</v>
      </c>
      <c r="D75" s="309">
        <f>D56+D65+D67+D73</f>
        <v>973173663</v>
      </c>
      <c r="E75" s="309">
        <f>D75-C75</f>
        <v>61204230</v>
      </c>
      <c r="F75" s="310">
        <f>IF(C75=0,0,E75/C75)</f>
        <v>6.7112150676655408E-2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0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9"/>
  <sheetViews>
    <sheetView zoomScale="75" zoomScaleSheetLayoutView="75" workbookViewId="0">
      <selection sqref="A1:F1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1649794278</v>
      </c>
      <c r="D11" s="76">
        <v>1675013713</v>
      </c>
      <c r="E11" s="76">
        <f t="shared" ref="E11:E20" si="0">D11-C11</f>
        <v>25219435</v>
      </c>
      <c r="F11" s="77">
        <f t="shared" ref="F11:F20" si="1">IF(C11=0,0,E11/C11)</f>
        <v>1.5286411970450536E-2</v>
      </c>
    </row>
    <row r="12" spans="1:7" ht="23.1" customHeight="1" x14ac:dyDescent="0.2">
      <c r="A12" s="74">
        <v>2</v>
      </c>
      <c r="B12" s="75" t="s">
        <v>72</v>
      </c>
      <c r="C12" s="76">
        <v>895739602</v>
      </c>
      <c r="D12" s="76">
        <v>943746574</v>
      </c>
      <c r="E12" s="76">
        <f t="shared" si="0"/>
        <v>48006972</v>
      </c>
      <c r="F12" s="77">
        <f t="shared" si="1"/>
        <v>5.359478568638746E-2</v>
      </c>
    </row>
    <row r="13" spans="1:7" ht="23.1" customHeight="1" x14ac:dyDescent="0.2">
      <c r="A13" s="74">
        <v>3</v>
      </c>
      <c r="B13" s="75" t="s">
        <v>73</v>
      </c>
      <c r="C13" s="76">
        <v>17133307</v>
      </c>
      <c r="D13" s="76">
        <v>15612154</v>
      </c>
      <c r="E13" s="76">
        <f t="shared" si="0"/>
        <v>-1521153</v>
      </c>
      <c r="F13" s="77">
        <f t="shared" si="1"/>
        <v>-8.8783385484191693E-2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736921369</v>
      </c>
      <c r="D15" s="79">
        <f>D11-D12-D13-D14</f>
        <v>715654985</v>
      </c>
      <c r="E15" s="79">
        <f t="shared" si="0"/>
        <v>-21266384</v>
      </c>
      <c r="F15" s="80">
        <f t="shared" si="1"/>
        <v>-2.885841677906344E-2</v>
      </c>
    </row>
    <row r="16" spans="1:7" ht="23.1" customHeight="1" x14ac:dyDescent="0.2">
      <c r="A16" s="74">
        <v>5</v>
      </c>
      <c r="B16" s="75" t="s">
        <v>76</v>
      </c>
      <c r="C16" s="76">
        <v>0</v>
      </c>
      <c r="D16" s="76">
        <v>22024123</v>
      </c>
      <c r="E16" s="76">
        <f t="shared" si="0"/>
        <v>22024123</v>
      </c>
      <c r="F16" s="77">
        <f t="shared" si="1"/>
        <v>0</v>
      </c>
      <c r="G16" s="65"/>
    </row>
    <row r="17" spans="1:7" ht="31.5" customHeight="1" x14ac:dyDescent="0.25">
      <c r="A17" s="71"/>
      <c r="B17" s="81" t="s">
        <v>77</v>
      </c>
      <c r="C17" s="79">
        <f>C15-C16</f>
        <v>736921369</v>
      </c>
      <c r="D17" s="79">
        <f>D15-D16</f>
        <v>693630862</v>
      </c>
      <c r="E17" s="79">
        <f t="shared" si="0"/>
        <v>-43290507</v>
      </c>
      <c r="F17" s="80">
        <f t="shared" si="1"/>
        <v>-5.8745083018484162E-2</v>
      </c>
    </row>
    <row r="18" spans="1:7" ht="23.1" customHeight="1" x14ac:dyDescent="0.2">
      <c r="A18" s="74">
        <v>6</v>
      </c>
      <c r="B18" s="75" t="s">
        <v>78</v>
      </c>
      <c r="C18" s="76">
        <v>26582697</v>
      </c>
      <c r="D18" s="76">
        <v>13364145</v>
      </c>
      <c r="E18" s="76">
        <f t="shared" si="0"/>
        <v>-13218552</v>
      </c>
      <c r="F18" s="77">
        <f t="shared" si="1"/>
        <v>-0.49726150811559866</v>
      </c>
      <c r="G18" s="65"/>
    </row>
    <row r="19" spans="1:7" ht="33" customHeight="1" x14ac:dyDescent="0.2">
      <c r="A19" s="74">
        <v>7</v>
      </c>
      <c r="B19" s="82" t="s">
        <v>79</v>
      </c>
      <c r="C19" s="76">
        <v>3324588</v>
      </c>
      <c r="D19" s="76">
        <v>5514055</v>
      </c>
      <c r="E19" s="76">
        <f t="shared" si="0"/>
        <v>2189467</v>
      </c>
      <c r="F19" s="77">
        <f t="shared" si="1"/>
        <v>0.65856791879174204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766828654</v>
      </c>
      <c r="D20" s="79">
        <f>SUM(D17:D19)</f>
        <v>712509062</v>
      </c>
      <c r="E20" s="79">
        <f t="shared" si="0"/>
        <v>-54319592</v>
      </c>
      <c r="F20" s="80">
        <f t="shared" si="1"/>
        <v>-7.0836674812102152E-2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351374481</v>
      </c>
      <c r="D23" s="76">
        <v>347618831</v>
      </c>
      <c r="E23" s="76">
        <f t="shared" ref="E23:E32" si="2">D23-C23</f>
        <v>-3755650</v>
      </c>
      <c r="F23" s="77">
        <f t="shared" ref="F23:F32" si="3">IF(C23=0,0,E23/C23)</f>
        <v>-1.0688454065621231E-2</v>
      </c>
    </row>
    <row r="24" spans="1:7" ht="23.1" customHeight="1" x14ac:dyDescent="0.2">
      <c r="A24" s="74">
        <v>2</v>
      </c>
      <c r="B24" s="75" t="s">
        <v>83</v>
      </c>
      <c r="C24" s="76">
        <v>105429884</v>
      </c>
      <c r="D24" s="76">
        <v>81025978</v>
      </c>
      <c r="E24" s="76">
        <f t="shared" si="2"/>
        <v>-24403906</v>
      </c>
      <c r="F24" s="77">
        <f t="shared" si="3"/>
        <v>-0.23147048136750298</v>
      </c>
    </row>
    <row r="25" spans="1:7" ht="23.1" customHeight="1" x14ac:dyDescent="0.2">
      <c r="A25" s="74">
        <v>3</v>
      </c>
      <c r="B25" s="75" t="s">
        <v>84</v>
      </c>
      <c r="C25" s="76">
        <v>6170979</v>
      </c>
      <c r="D25" s="76">
        <v>6963831</v>
      </c>
      <c r="E25" s="76">
        <f t="shared" si="2"/>
        <v>792852</v>
      </c>
      <c r="F25" s="77">
        <f t="shared" si="3"/>
        <v>0.12848074835451556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192464356</v>
      </c>
      <c r="D26" s="76">
        <v>183503640</v>
      </c>
      <c r="E26" s="76">
        <f t="shared" si="2"/>
        <v>-8960716</v>
      </c>
      <c r="F26" s="77">
        <f t="shared" si="3"/>
        <v>-4.6557794836567037E-2</v>
      </c>
    </row>
    <row r="27" spans="1:7" ht="23.1" customHeight="1" x14ac:dyDescent="0.2">
      <c r="A27" s="74">
        <v>5</v>
      </c>
      <c r="B27" s="75" t="s">
        <v>86</v>
      </c>
      <c r="C27" s="76">
        <v>39029252</v>
      </c>
      <c r="D27" s="76">
        <v>37300840</v>
      </c>
      <c r="E27" s="76">
        <f t="shared" si="2"/>
        <v>-1728412</v>
      </c>
      <c r="F27" s="77">
        <f t="shared" si="3"/>
        <v>-4.4285040358959478E-2</v>
      </c>
    </row>
    <row r="28" spans="1:7" ht="23.1" customHeight="1" x14ac:dyDescent="0.2">
      <c r="A28" s="74">
        <v>6</v>
      </c>
      <c r="B28" s="75" t="s">
        <v>87</v>
      </c>
      <c r="C28" s="76">
        <v>24771952</v>
      </c>
      <c r="D28" s="76">
        <v>0</v>
      </c>
      <c r="E28" s="76">
        <f t="shared" si="2"/>
        <v>-24771952</v>
      </c>
      <c r="F28" s="77">
        <f t="shared" si="3"/>
        <v>-1</v>
      </c>
    </row>
    <row r="29" spans="1:7" ht="23.1" customHeight="1" x14ac:dyDescent="0.2">
      <c r="A29" s="74">
        <v>7</v>
      </c>
      <c r="B29" s="75" t="s">
        <v>88</v>
      </c>
      <c r="C29" s="76">
        <v>4322562</v>
      </c>
      <c r="D29" s="76">
        <v>4067031</v>
      </c>
      <c r="E29" s="76">
        <f t="shared" si="2"/>
        <v>-255531</v>
      </c>
      <c r="F29" s="77">
        <f t="shared" si="3"/>
        <v>-5.9115635588338586E-2</v>
      </c>
    </row>
    <row r="30" spans="1:7" ht="23.1" customHeight="1" x14ac:dyDescent="0.2">
      <c r="A30" s="74">
        <v>8</v>
      </c>
      <c r="B30" s="75" t="s">
        <v>89</v>
      </c>
      <c r="C30" s="76">
        <v>11680311</v>
      </c>
      <c r="D30" s="76">
        <v>15709626</v>
      </c>
      <c r="E30" s="76">
        <f t="shared" si="2"/>
        <v>4029315</v>
      </c>
      <c r="F30" s="77">
        <f t="shared" si="3"/>
        <v>0.34496641399360001</v>
      </c>
    </row>
    <row r="31" spans="1:7" ht="23.1" customHeight="1" x14ac:dyDescent="0.2">
      <c r="A31" s="74">
        <v>9</v>
      </c>
      <c r="B31" s="75" t="s">
        <v>90</v>
      </c>
      <c r="C31" s="76">
        <v>13721517</v>
      </c>
      <c r="D31" s="76">
        <v>13082673</v>
      </c>
      <c r="E31" s="76">
        <f t="shared" si="2"/>
        <v>-638844</v>
      </c>
      <c r="F31" s="77">
        <f t="shared" si="3"/>
        <v>-4.6557825931345637E-2</v>
      </c>
    </row>
    <row r="32" spans="1:7" ht="23.1" customHeight="1" x14ac:dyDescent="0.25">
      <c r="A32" s="71"/>
      <c r="B32" s="78" t="s">
        <v>91</v>
      </c>
      <c r="C32" s="79">
        <f>SUM(C23:C31)</f>
        <v>748965294</v>
      </c>
      <c r="D32" s="79">
        <f>SUM(D23:D31)</f>
        <v>689272450</v>
      </c>
      <c r="E32" s="79">
        <f t="shared" si="2"/>
        <v>-59692844</v>
      </c>
      <c r="F32" s="80">
        <f t="shared" si="3"/>
        <v>-7.9700413995418051E-2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17863360</v>
      </c>
      <c r="D34" s="79">
        <f>+D20-D32</f>
        <v>23236612</v>
      </c>
      <c r="E34" s="79">
        <f>D34-C34</f>
        <v>5373252</v>
      </c>
      <c r="F34" s="80">
        <f>IF(C34=0,0,E34/C34)</f>
        <v>0.30079738638195724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2445895</v>
      </c>
      <c r="D37" s="76">
        <v>7054057</v>
      </c>
      <c r="E37" s="76">
        <f>D37-C37</f>
        <v>4608162</v>
      </c>
      <c r="F37" s="77">
        <f>IF(C37=0,0,E37/C37)</f>
        <v>1.8840391758436073</v>
      </c>
    </row>
    <row r="38" spans="1:6" ht="23.1" customHeight="1" x14ac:dyDescent="0.2">
      <c r="A38" s="85">
        <v>2</v>
      </c>
      <c r="B38" s="75" t="s">
        <v>95</v>
      </c>
      <c r="C38" s="76">
        <v>1936206</v>
      </c>
      <c r="D38" s="76">
        <v>653873</v>
      </c>
      <c r="E38" s="76">
        <f>D38-C38</f>
        <v>-1282333</v>
      </c>
      <c r="F38" s="77">
        <f>IF(C38=0,0,E38/C38)</f>
        <v>-0.66229161566486205</v>
      </c>
    </row>
    <row r="39" spans="1:6" ht="23.1" customHeight="1" x14ac:dyDescent="0.2">
      <c r="A39" s="85">
        <v>3</v>
      </c>
      <c r="B39" s="75" t="s">
        <v>96</v>
      </c>
      <c r="C39" s="76">
        <v>20266992</v>
      </c>
      <c r="D39" s="76">
        <v>2778053</v>
      </c>
      <c r="E39" s="76">
        <f>D39-C39</f>
        <v>-17488939</v>
      </c>
      <c r="F39" s="77">
        <f>IF(C39=0,0,E39/C39)</f>
        <v>-0.86292721682625617</v>
      </c>
    </row>
    <row r="40" spans="1:6" ht="23.1" customHeight="1" x14ac:dyDescent="0.25">
      <c r="A40" s="83"/>
      <c r="B40" s="78" t="s">
        <v>97</v>
      </c>
      <c r="C40" s="79">
        <f>SUM(C37:C39)</f>
        <v>24649093</v>
      </c>
      <c r="D40" s="79">
        <f>SUM(D37:D39)</f>
        <v>10485983</v>
      </c>
      <c r="E40" s="79">
        <f>D40-C40</f>
        <v>-14163110</v>
      </c>
      <c r="F40" s="80">
        <f>IF(C40=0,0,E40/C40)</f>
        <v>-0.57458949909434798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42512453</v>
      </c>
      <c r="D42" s="79">
        <f>D34+D40</f>
        <v>33722595</v>
      </c>
      <c r="E42" s="79">
        <f>D42-C42</f>
        <v>-8789858</v>
      </c>
      <c r="F42" s="80">
        <f>IF(C42=0,0,E42/C42)</f>
        <v>-0.20675960523849329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42512453</v>
      </c>
      <c r="D49" s="79">
        <f>D42+D47</f>
        <v>33722595</v>
      </c>
      <c r="E49" s="79">
        <f>D49-C49</f>
        <v>-8789858</v>
      </c>
      <c r="F49" s="80">
        <f>IF(C49=0,0,E49/C49)</f>
        <v>-0.20675960523849329</v>
      </c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scale="75" fitToHeight="0" orientation="portrait" horizontalDpi="1200" verticalDpi="1200" r:id="rId1"/>
  <headerFooter>
    <oddHeader>&amp;LOFFICE OF HEALTH CARE ACCESS&amp;CTWELVE MONTHS ACTUAL FILING&amp;RDANBURY HOSPITAL</oddHeader>
    <oddFooter>&amp;LREPORT 100&amp;CPAGE &amp;P of &amp;N&amp;R&amp;D,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2014-10-06T20:01:45Z</cp:lastPrinted>
  <dcterms:created xsi:type="dcterms:W3CDTF">2014-10-06T18:15:47Z</dcterms:created>
  <dcterms:modified xsi:type="dcterms:W3CDTF">2014-10-09T17:30:59Z</dcterms:modified>
</cp:coreProperties>
</file>