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Report_400!$A$10:$I$47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9" i="14"/>
  <c r="D230" i="14"/>
  <c r="D229" i="14"/>
  <c r="D226" i="14"/>
  <c r="D227" i="14"/>
  <c r="D223" i="14"/>
  <c r="D204" i="14"/>
  <c r="D269" i="14"/>
  <c r="D203" i="14"/>
  <c r="D283" i="14"/>
  <c r="D267" i="14"/>
  <c r="D198" i="14"/>
  <c r="D199" i="14"/>
  <c r="D191" i="14"/>
  <c r="D264" i="14"/>
  <c r="D189" i="14"/>
  <c r="D278" i="14"/>
  <c r="D188" i="14"/>
  <c r="D214" i="14"/>
  <c r="D180" i="14"/>
  <c r="D179" i="14"/>
  <c r="D181" i="14"/>
  <c r="D171" i="14"/>
  <c r="D172" i="14"/>
  <c r="D173" i="14"/>
  <c r="D170" i="14"/>
  <c r="D165" i="14"/>
  <c r="D164" i="14"/>
  <c r="D158" i="14"/>
  <c r="D159" i="14"/>
  <c r="D155" i="14"/>
  <c r="D145" i="14"/>
  <c r="D144" i="14"/>
  <c r="D146" i="14"/>
  <c r="D136" i="14"/>
  <c r="D137" i="14"/>
  <c r="D135" i="14"/>
  <c r="D130" i="14"/>
  <c r="D129" i="14"/>
  <c r="D123" i="14"/>
  <c r="D192" i="14"/>
  <c r="D120" i="14"/>
  <c r="D110" i="14"/>
  <c r="D109" i="14"/>
  <c r="D101" i="14"/>
  <c r="D102" i="14"/>
  <c r="D103" i="14"/>
  <c r="D100" i="14"/>
  <c r="D95" i="14"/>
  <c r="D94" i="14"/>
  <c r="D88" i="14"/>
  <c r="D89" i="14"/>
  <c r="D85" i="14"/>
  <c r="D76" i="14"/>
  <c r="D77" i="14"/>
  <c r="D67" i="14"/>
  <c r="D66" i="14"/>
  <c r="D68" i="14"/>
  <c r="D59" i="14"/>
  <c r="D60" i="14"/>
  <c r="D61" i="14"/>
  <c r="D58" i="14"/>
  <c r="D53" i="14"/>
  <c r="D52" i="14"/>
  <c r="D47" i="14"/>
  <c r="D48" i="14"/>
  <c r="D44" i="14"/>
  <c r="D36" i="14"/>
  <c r="D35" i="14"/>
  <c r="D37" i="14"/>
  <c r="D30" i="14"/>
  <c r="D31" i="14"/>
  <c r="D32" i="14"/>
  <c r="D29" i="14"/>
  <c r="D24" i="14"/>
  <c r="D23" i="14"/>
  <c r="D20" i="14"/>
  <c r="D17" i="14"/>
  <c r="E97" i="19"/>
  <c r="D97" i="19"/>
  <c r="C97" i="19"/>
  <c r="E96" i="19"/>
  <c r="E98" i="19"/>
  <c r="D96" i="19"/>
  <c r="D98" i="19"/>
  <c r="C96" i="19"/>
  <c r="C98" i="19"/>
  <c r="E92" i="19"/>
  <c r="D92" i="19"/>
  <c r="C92" i="19"/>
  <c r="E91" i="19"/>
  <c r="E93" i="19"/>
  <c r="D91" i="19"/>
  <c r="D93" i="19"/>
  <c r="C91" i="19"/>
  <c r="C93" i="19"/>
  <c r="E87" i="19"/>
  <c r="D87" i="19"/>
  <c r="C87" i="19"/>
  <c r="E86" i="19"/>
  <c r="E88" i="19"/>
  <c r="D86" i="19"/>
  <c r="D88" i="19"/>
  <c r="C86" i="19"/>
  <c r="C88" i="19"/>
  <c r="E83" i="19"/>
  <c r="E101" i="19"/>
  <c r="E102" i="19"/>
  <c r="D83" i="19"/>
  <c r="C83" i="19"/>
  <c r="C102" i="19"/>
  <c r="E76" i="19"/>
  <c r="D76" i="19"/>
  <c r="C76" i="19"/>
  <c r="E75" i="19"/>
  <c r="E77" i="19"/>
  <c r="D75" i="19"/>
  <c r="D77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/>
  <c r="D12" i="19"/>
  <c r="D23" i="19"/>
  <c r="D46" i="19"/>
  <c r="C12" i="19"/>
  <c r="C22" i="19"/>
  <c r="C45" i="19"/>
  <c r="D21" i="18"/>
  <c r="E21" i="18"/>
  <c r="F21" i="18"/>
  <c r="C21" i="18"/>
  <c r="D19" i="18"/>
  <c r="E19" i="18"/>
  <c r="F19" i="18"/>
  <c r="C19" i="18"/>
  <c r="E17" i="18"/>
  <c r="F17" i="18"/>
  <c r="F15" i="18"/>
  <c r="E15" i="18"/>
  <c r="D45" i="17"/>
  <c r="E45" i="17"/>
  <c r="C45" i="17"/>
  <c r="D44" i="17"/>
  <c r="E44" i="17"/>
  <c r="C44" i="17"/>
  <c r="D43" i="17"/>
  <c r="D46" i="17"/>
  <c r="C43" i="17"/>
  <c r="C46" i="17"/>
  <c r="D36" i="17"/>
  <c r="D40" i="17"/>
  <c r="E40" i="17"/>
  <c r="C36" i="17"/>
  <c r="C40" i="17"/>
  <c r="E35" i="17"/>
  <c r="F35" i="17"/>
  <c r="E34" i="17"/>
  <c r="F34" i="17"/>
  <c r="E33" i="17"/>
  <c r="E36" i="17"/>
  <c r="F36" i="17"/>
  <c r="F30" i="17"/>
  <c r="E30" i="17"/>
  <c r="E29" i="17"/>
  <c r="F29" i="17"/>
  <c r="F28" i="17"/>
  <c r="E28" i="17"/>
  <c r="E27" i="17"/>
  <c r="F27" i="17"/>
  <c r="D25" i="17"/>
  <c r="D39" i="17"/>
  <c r="C25" i="17"/>
  <c r="C39" i="17"/>
  <c r="F24" i="17"/>
  <c r="E24" i="17"/>
  <c r="E23" i="17"/>
  <c r="F23" i="17"/>
  <c r="F22" i="17"/>
  <c r="E22" i="17"/>
  <c r="E25" i="17"/>
  <c r="D19" i="17"/>
  <c r="D20" i="17"/>
  <c r="C19" i="17"/>
  <c r="C20" i="17"/>
  <c r="E18" i="17"/>
  <c r="F18" i="17"/>
  <c r="D16" i="17"/>
  <c r="E16" i="17"/>
  <c r="F16" i="17"/>
  <c r="C16" i="17"/>
  <c r="F15" i="17"/>
  <c r="E15" i="17"/>
  <c r="E13" i="17"/>
  <c r="F13" i="17"/>
  <c r="F12" i="17"/>
  <c r="E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59" i="16"/>
  <c r="C60" i="16"/>
  <c r="C48" i="16"/>
  <c r="C49" i="16"/>
  <c r="C36" i="16"/>
  <c r="C32" i="16"/>
  <c r="C33" i="16"/>
  <c r="C21" i="16"/>
  <c r="C37" i="16"/>
  <c r="C38" i="16"/>
  <c r="C127" i="16"/>
  <c r="C129" i="16"/>
  <c r="C133" i="16"/>
  <c r="E328" i="15"/>
  <c r="E325" i="15"/>
  <c r="D324" i="15"/>
  <c r="D326" i="15"/>
  <c r="C324" i="15"/>
  <c r="C326" i="15"/>
  <c r="C330" i="15"/>
  <c r="E318" i="15"/>
  <c r="E315" i="15"/>
  <c r="D314" i="15"/>
  <c r="D316" i="15"/>
  <c r="C314" i="15"/>
  <c r="C316" i="15"/>
  <c r="C320" i="15"/>
  <c r="E308" i="15"/>
  <c r="E305" i="15"/>
  <c r="D301" i="15"/>
  <c r="E301" i="15"/>
  <c r="C301" i="15"/>
  <c r="D293" i="15"/>
  <c r="E293" i="15"/>
  <c r="C293" i="15"/>
  <c r="D292" i="15"/>
  <c r="E292" i="15"/>
  <c r="C292" i="15"/>
  <c r="D291" i="15"/>
  <c r="C291" i="15"/>
  <c r="E291" i="15"/>
  <c r="D290" i="15"/>
  <c r="E290" i="15"/>
  <c r="C290" i="15"/>
  <c r="D288" i="15"/>
  <c r="E288" i="15"/>
  <c r="C288" i="15"/>
  <c r="D287" i="15"/>
  <c r="C287" i="15"/>
  <c r="E287" i="15"/>
  <c r="D282" i="15"/>
  <c r="E282" i="15"/>
  <c r="C282" i="15"/>
  <c r="D281" i="15"/>
  <c r="C281" i="15"/>
  <c r="E281" i="15"/>
  <c r="D280" i="15"/>
  <c r="E280" i="15"/>
  <c r="C280" i="15"/>
  <c r="D279" i="15"/>
  <c r="C279" i="15"/>
  <c r="E279" i="15"/>
  <c r="D278" i="15"/>
  <c r="E278" i="15"/>
  <c r="C278" i="15"/>
  <c r="D277" i="15"/>
  <c r="C277" i="15"/>
  <c r="E277" i="15"/>
  <c r="D276" i="15"/>
  <c r="E276" i="15"/>
  <c r="C276" i="15"/>
  <c r="E270" i="15"/>
  <c r="D265" i="15"/>
  <c r="E265" i="15"/>
  <c r="C265" i="15"/>
  <c r="C302" i="15"/>
  <c r="C303" i="15"/>
  <c r="C306" i="15"/>
  <c r="C310" i="15"/>
  <c r="D262" i="15"/>
  <c r="E262" i="15"/>
  <c r="C262" i="15"/>
  <c r="D251" i="15"/>
  <c r="C251" i="15"/>
  <c r="D233" i="15"/>
  <c r="C233" i="15"/>
  <c r="D232" i="15"/>
  <c r="C232" i="15"/>
  <c r="E232" i="15"/>
  <c r="D231" i="15"/>
  <c r="C231" i="15"/>
  <c r="D230" i="15"/>
  <c r="E230" i="15"/>
  <c r="C230" i="15"/>
  <c r="D228" i="15"/>
  <c r="C228" i="15"/>
  <c r="E228" i="15"/>
  <c r="D227" i="15"/>
  <c r="E227" i="15"/>
  <c r="C227" i="15"/>
  <c r="D221" i="15"/>
  <c r="D245" i="15"/>
  <c r="E245" i="15"/>
  <c r="C221" i="15"/>
  <c r="C245" i="15"/>
  <c r="D220" i="15"/>
  <c r="E220" i="15"/>
  <c r="C220" i="15"/>
  <c r="C244" i="15"/>
  <c r="E219" i="15"/>
  <c r="D219" i="15"/>
  <c r="D243" i="15"/>
  <c r="C219" i="15"/>
  <c r="C243" i="15"/>
  <c r="D218" i="15"/>
  <c r="D242" i="15"/>
  <c r="C218" i="15"/>
  <c r="C217" i="15"/>
  <c r="D216" i="15"/>
  <c r="E216" i="15"/>
  <c r="C216" i="15"/>
  <c r="C240" i="15"/>
  <c r="D215" i="15"/>
  <c r="C215" i="15"/>
  <c r="E209" i="15"/>
  <c r="E208" i="15"/>
  <c r="E207" i="15"/>
  <c r="E206" i="15"/>
  <c r="D205" i="15"/>
  <c r="E205" i="15"/>
  <c r="C205" i="15"/>
  <c r="C229" i="15"/>
  <c r="E204" i="15"/>
  <c r="E203" i="15"/>
  <c r="E197" i="15"/>
  <c r="E196" i="15"/>
  <c r="D195" i="15"/>
  <c r="D260" i="15"/>
  <c r="C195" i="15"/>
  <c r="E195" i="15"/>
  <c r="E194" i="15"/>
  <c r="E193" i="15"/>
  <c r="E192" i="15"/>
  <c r="E191" i="15"/>
  <c r="E190" i="15"/>
  <c r="D188" i="15"/>
  <c r="D189" i="15"/>
  <c r="C188" i="15"/>
  <c r="E186" i="15"/>
  <c r="E185" i="15"/>
  <c r="D179" i="15"/>
  <c r="C179" i="15"/>
  <c r="E179" i="15"/>
  <c r="D178" i="15"/>
  <c r="E178" i="15"/>
  <c r="C178" i="15"/>
  <c r="D177" i="15"/>
  <c r="C177" i="15"/>
  <c r="E177" i="15"/>
  <c r="D176" i="15"/>
  <c r="E176" i="15"/>
  <c r="C176" i="15"/>
  <c r="C175" i="15"/>
  <c r="D174" i="15"/>
  <c r="E174" i="15"/>
  <c r="C174" i="15"/>
  <c r="D173" i="15"/>
  <c r="C173" i="15"/>
  <c r="E173" i="15"/>
  <c r="D167" i="15"/>
  <c r="E167" i="15"/>
  <c r="C167" i="15"/>
  <c r="D166" i="15"/>
  <c r="C166" i="15"/>
  <c r="E166" i="15"/>
  <c r="D165" i="15"/>
  <c r="E165" i="15"/>
  <c r="C165" i="15"/>
  <c r="D164" i="15"/>
  <c r="C164" i="15"/>
  <c r="E164" i="15"/>
  <c r="D162" i="15"/>
  <c r="C162" i="15"/>
  <c r="E162" i="15"/>
  <c r="D161" i="15"/>
  <c r="E161" i="15"/>
  <c r="C161" i="15"/>
  <c r="D156" i="15"/>
  <c r="E155" i="15"/>
  <c r="E154" i="15"/>
  <c r="E153" i="15"/>
  <c r="E152" i="15"/>
  <c r="D151" i="15"/>
  <c r="C151" i="15"/>
  <c r="C156" i="15"/>
  <c r="C157" i="15"/>
  <c r="E150" i="15"/>
  <c r="E149" i="15"/>
  <c r="E143" i="15"/>
  <c r="E142" i="15"/>
  <c r="E141" i="15"/>
  <c r="E140" i="15"/>
  <c r="D139" i="15"/>
  <c r="D163" i="15"/>
  <c r="C139" i="15"/>
  <c r="C144" i="15"/>
  <c r="C163" i="15"/>
  <c r="E138" i="15"/>
  <c r="E137" i="15"/>
  <c r="D75" i="15"/>
  <c r="C75" i="15"/>
  <c r="E75" i="15"/>
  <c r="D74" i="15"/>
  <c r="E74" i="15"/>
  <c r="C74" i="15"/>
  <c r="D73" i="15"/>
  <c r="C73" i="15"/>
  <c r="E73" i="15"/>
  <c r="D72" i="15"/>
  <c r="E72" i="15"/>
  <c r="C72" i="15"/>
  <c r="D70" i="15"/>
  <c r="E70" i="15"/>
  <c r="C70" i="15"/>
  <c r="D69" i="15"/>
  <c r="E69" i="15"/>
  <c r="C69" i="15"/>
  <c r="C65" i="15"/>
  <c r="C66" i="15"/>
  <c r="E64" i="15"/>
  <c r="E63" i="15"/>
  <c r="E62" i="15"/>
  <c r="E61" i="15"/>
  <c r="D60" i="15"/>
  <c r="C60" i="15"/>
  <c r="C241" i="15"/>
  <c r="C289" i="15"/>
  <c r="E59" i="15"/>
  <c r="E58" i="15"/>
  <c r="D54" i="15"/>
  <c r="C54" i="15"/>
  <c r="C55" i="15"/>
  <c r="E53" i="15"/>
  <c r="E52" i="15"/>
  <c r="E51" i="15"/>
  <c r="E50" i="15"/>
  <c r="E49" i="15"/>
  <c r="E48" i="15"/>
  <c r="E47" i="15"/>
  <c r="D42" i="15"/>
  <c r="C42" i="15"/>
  <c r="D41" i="15"/>
  <c r="C41" i="15"/>
  <c r="E41" i="15"/>
  <c r="D40" i="15"/>
  <c r="C40" i="15"/>
  <c r="D39" i="15"/>
  <c r="C39" i="15"/>
  <c r="E39" i="15"/>
  <c r="D38" i="15"/>
  <c r="C38" i="15"/>
  <c r="D37" i="15"/>
  <c r="C37" i="15"/>
  <c r="C43" i="15"/>
  <c r="D36" i="15"/>
  <c r="E36" i="15"/>
  <c r="C36" i="15"/>
  <c r="D32" i="15"/>
  <c r="C32" i="15"/>
  <c r="C33" i="15"/>
  <c r="E31" i="15"/>
  <c r="E30" i="15"/>
  <c r="E29" i="15"/>
  <c r="E28" i="15"/>
  <c r="E27" i="15"/>
  <c r="E26" i="15"/>
  <c r="E25" i="15"/>
  <c r="D22" i="15"/>
  <c r="D21" i="15"/>
  <c r="C21" i="15"/>
  <c r="E21" i="15"/>
  <c r="E20" i="15"/>
  <c r="E19" i="15"/>
  <c r="E18" i="15"/>
  <c r="E17" i="15"/>
  <c r="E16" i="15"/>
  <c r="E15" i="15"/>
  <c r="E14" i="15"/>
  <c r="E335" i="14"/>
  <c r="F335" i="14"/>
  <c r="F334" i="14"/>
  <c r="E334" i="14"/>
  <c r="E333" i="14"/>
  <c r="F333" i="14"/>
  <c r="F332" i="14"/>
  <c r="E332" i="14"/>
  <c r="E331" i="14"/>
  <c r="F331" i="14"/>
  <c r="E330" i="14"/>
  <c r="F330" i="14"/>
  <c r="E329" i="14"/>
  <c r="F329" i="14"/>
  <c r="F316" i="14"/>
  <c r="E316" i="14"/>
  <c r="C311" i="14"/>
  <c r="E308" i="14"/>
  <c r="F308" i="14"/>
  <c r="E307" i="14"/>
  <c r="C307" i="14"/>
  <c r="C299" i="14"/>
  <c r="E299" i="14"/>
  <c r="C298" i="14"/>
  <c r="E298" i="14"/>
  <c r="F298" i="14"/>
  <c r="C297" i="14"/>
  <c r="E297" i="14"/>
  <c r="C296" i="14"/>
  <c r="E296" i="14"/>
  <c r="F296" i="14"/>
  <c r="E295" i="14"/>
  <c r="C295" i="14"/>
  <c r="C294" i="14"/>
  <c r="E294" i="14"/>
  <c r="F294" i="14"/>
  <c r="C278" i="14"/>
  <c r="E250" i="14"/>
  <c r="C250" i="14"/>
  <c r="C306" i="14"/>
  <c r="E249" i="14"/>
  <c r="F249" i="14"/>
  <c r="E248" i="14"/>
  <c r="F248" i="14"/>
  <c r="F245" i="14"/>
  <c r="E245" i="14"/>
  <c r="E244" i="14"/>
  <c r="F244" i="14"/>
  <c r="E243" i="14"/>
  <c r="F243" i="14"/>
  <c r="C238" i="14"/>
  <c r="E238" i="14"/>
  <c r="C237" i="14"/>
  <c r="E237" i="14"/>
  <c r="E234" i="14"/>
  <c r="F234" i="14"/>
  <c r="E233" i="14"/>
  <c r="F233" i="14"/>
  <c r="F230" i="14"/>
  <c r="C230" i="14"/>
  <c r="E230" i="14"/>
  <c r="C229" i="14"/>
  <c r="E229" i="14"/>
  <c r="E228" i="14"/>
  <c r="F228" i="14"/>
  <c r="C226" i="14"/>
  <c r="E225" i="14"/>
  <c r="F225" i="14"/>
  <c r="E224" i="14"/>
  <c r="F224" i="14"/>
  <c r="C223" i="14"/>
  <c r="E223" i="14"/>
  <c r="E222" i="14"/>
  <c r="F222" i="14"/>
  <c r="E221" i="14"/>
  <c r="F221" i="14"/>
  <c r="E204" i="14"/>
  <c r="C204" i="14"/>
  <c r="C203" i="14"/>
  <c r="E203" i="14"/>
  <c r="C198" i="14"/>
  <c r="C199" i="14"/>
  <c r="E191" i="14"/>
  <c r="C191" i="14"/>
  <c r="C280" i="14"/>
  <c r="E189" i="14"/>
  <c r="C189" i="14"/>
  <c r="C188" i="14"/>
  <c r="C180" i="14"/>
  <c r="E180" i="14"/>
  <c r="C179" i="14"/>
  <c r="E179" i="14"/>
  <c r="C171" i="14"/>
  <c r="C172" i="14"/>
  <c r="C170" i="14"/>
  <c r="E170" i="14"/>
  <c r="E169" i="14"/>
  <c r="F169" i="14"/>
  <c r="E168" i="14"/>
  <c r="F168" i="14"/>
  <c r="C165" i="14"/>
  <c r="E165" i="14"/>
  <c r="C164" i="14"/>
  <c r="E164" i="14"/>
  <c r="F164" i="14"/>
  <c r="F163" i="14"/>
  <c r="E163" i="14"/>
  <c r="C158" i="14"/>
  <c r="E158" i="14"/>
  <c r="E157" i="14"/>
  <c r="F157" i="14"/>
  <c r="E156" i="14"/>
  <c r="F156" i="14"/>
  <c r="E155" i="14"/>
  <c r="C155" i="14"/>
  <c r="E154" i="14"/>
  <c r="F154" i="14"/>
  <c r="E153" i="14"/>
  <c r="F153" i="14"/>
  <c r="C145" i="14"/>
  <c r="E145" i="14"/>
  <c r="C144" i="14"/>
  <c r="C136" i="14"/>
  <c r="E136" i="14"/>
  <c r="C135" i="14"/>
  <c r="E135" i="14"/>
  <c r="E134" i="14"/>
  <c r="F134" i="14"/>
  <c r="E133" i="14"/>
  <c r="F133" i="14"/>
  <c r="F130" i="14"/>
  <c r="C130" i="14"/>
  <c r="E130" i="14"/>
  <c r="F129" i="14"/>
  <c r="C129" i="14"/>
  <c r="E129" i="14"/>
  <c r="E128" i="14"/>
  <c r="F128" i="14"/>
  <c r="C124" i="14"/>
  <c r="F123" i="14"/>
  <c r="C123" i="14"/>
  <c r="E123" i="14"/>
  <c r="E122" i="14"/>
  <c r="F122" i="14"/>
  <c r="E121" i="14"/>
  <c r="F121" i="14"/>
  <c r="E120" i="14"/>
  <c r="C120" i="14"/>
  <c r="E119" i="14"/>
  <c r="F119" i="14"/>
  <c r="E118" i="14"/>
  <c r="F118" i="14"/>
  <c r="C110" i="14"/>
  <c r="E110" i="14"/>
  <c r="F110" i="14"/>
  <c r="C109" i="14"/>
  <c r="E109" i="14"/>
  <c r="C101" i="14"/>
  <c r="E101" i="14"/>
  <c r="F101" i="14"/>
  <c r="E100" i="14"/>
  <c r="C100" i="14"/>
  <c r="F100" i="14"/>
  <c r="E99" i="14"/>
  <c r="F99" i="14"/>
  <c r="F98" i="14"/>
  <c r="E98" i="14"/>
  <c r="C95" i="14"/>
  <c r="E95" i="14"/>
  <c r="C94" i="14"/>
  <c r="E94" i="14"/>
  <c r="E93" i="14"/>
  <c r="F93" i="14"/>
  <c r="C88" i="14"/>
  <c r="E88" i="14"/>
  <c r="F88" i="14"/>
  <c r="C89" i="14"/>
  <c r="E87" i="14"/>
  <c r="F87" i="14"/>
  <c r="E86" i="14"/>
  <c r="F86" i="14"/>
  <c r="C85" i="14"/>
  <c r="E85" i="14"/>
  <c r="E84" i="14"/>
  <c r="F84" i="14"/>
  <c r="E83" i="14"/>
  <c r="F83" i="14"/>
  <c r="C76" i="14"/>
  <c r="C77" i="14"/>
  <c r="E74" i="14"/>
  <c r="F74" i="14"/>
  <c r="E73" i="14"/>
  <c r="F73" i="14"/>
  <c r="E67" i="14"/>
  <c r="C67" i="14"/>
  <c r="C66" i="14"/>
  <c r="E66" i="14"/>
  <c r="E59" i="14"/>
  <c r="C59" i="14"/>
  <c r="C58" i="14"/>
  <c r="E57" i="14"/>
  <c r="F57" i="14"/>
  <c r="E56" i="14"/>
  <c r="F56" i="14"/>
  <c r="E53" i="14"/>
  <c r="C53" i="14"/>
  <c r="F53" i="14"/>
  <c r="C52" i="14"/>
  <c r="E52" i="14"/>
  <c r="E51" i="14"/>
  <c r="F51" i="14"/>
  <c r="C47" i="14"/>
  <c r="E46" i="14"/>
  <c r="F46" i="14"/>
  <c r="E45" i="14"/>
  <c r="F45" i="14"/>
  <c r="E44" i="14"/>
  <c r="C44" i="14"/>
  <c r="F43" i="14"/>
  <c r="E43" i="14"/>
  <c r="F42" i="14"/>
  <c r="E42" i="14"/>
  <c r="E36" i="14"/>
  <c r="C36" i="14"/>
  <c r="C35" i="14"/>
  <c r="E35" i="14"/>
  <c r="C30" i="14"/>
  <c r="C31" i="14"/>
  <c r="E31" i="14"/>
  <c r="C29" i="14"/>
  <c r="E28" i="14"/>
  <c r="F28" i="14"/>
  <c r="E27" i="14"/>
  <c r="F27" i="14"/>
  <c r="C24" i="14"/>
  <c r="C23" i="14"/>
  <c r="E23" i="14"/>
  <c r="E22" i="14"/>
  <c r="F22" i="14"/>
  <c r="C20" i="14"/>
  <c r="E19" i="14"/>
  <c r="F19" i="14"/>
  <c r="E18" i="14"/>
  <c r="F18" i="14"/>
  <c r="C17" i="14"/>
  <c r="E17" i="14"/>
  <c r="F17" i="14"/>
  <c r="F16" i="14"/>
  <c r="E16" i="14"/>
  <c r="F15" i="14"/>
  <c r="E15" i="14"/>
  <c r="D21" i="13"/>
  <c r="E21" i="13"/>
  <c r="F21" i="13"/>
  <c r="C21" i="13"/>
  <c r="F20" i="13"/>
  <c r="E20" i="13"/>
  <c r="D17" i="13"/>
  <c r="E17" i="13"/>
  <c r="F17" i="13"/>
  <c r="C17" i="13"/>
  <c r="F16" i="13"/>
  <c r="E16" i="13"/>
  <c r="D13" i="13"/>
  <c r="E13" i="13"/>
  <c r="F13" i="13"/>
  <c r="C13" i="13"/>
  <c r="F12" i="13"/>
  <c r="E12" i="13"/>
  <c r="D99" i="12"/>
  <c r="E99" i="12"/>
  <c r="F99" i="12"/>
  <c r="C99" i="12"/>
  <c r="F98" i="12"/>
  <c r="E98" i="12"/>
  <c r="F97" i="12"/>
  <c r="E97" i="12"/>
  <c r="F96" i="12"/>
  <c r="E96" i="12"/>
  <c r="D92" i="12"/>
  <c r="E92" i="12"/>
  <c r="F92" i="12"/>
  <c r="C92" i="12"/>
  <c r="F91" i="12"/>
  <c r="E91" i="12"/>
  <c r="F90" i="12"/>
  <c r="E90" i="12"/>
  <c r="F89" i="12"/>
  <c r="E89" i="12"/>
  <c r="F88" i="12"/>
  <c r="E88" i="12"/>
  <c r="F87" i="12"/>
  <c r="E87" i="12"/>
  <c r="D84" i="12"/>
  <c r="E84" i="12"/>
  <c r="F84" i="12"/>
  <c r="C84" i="12"/>
  <c r="F83" i="12"/>
  <c r="E83" i="12"/>
  <c r="F82" i="12"/>
  <c r="E82" i="12"/>
  <c r="F81" i="12"/>
  <c r="E81" i="12"/>
  <c r="F80" i="12"/>
  <c r="E80" i="12"/>
  <c r="F79" i="12"/>
  <c r="E79" i="12"/>
  <c r="D75" i="12"/>
  <c r="C75" i="12"/>
  <c r="F74" i="12"/>
  <c r="E74" i="12"/>
  <c r="E75" i="12"/>
  <c r="F75" i="12"/>
  <c r="F73" i="12"/>
  <c r="E73" i="12"/>
  <c r="D70" i="12"/>
  <c r="E70" i="12"/>
  <c r="F70" i="12"/>
  <c r="C70" i="12"/>
  <c r="F69" i="12"/>
  <c r="E69" i="12"/>
  <c r="F68" i="12"/>
  <c r="E68" i="12"/>
  <c r="D65" i="12"/>
  <c r="E65" i="12"/>
  <c r="F65" i="12"/>
  <c r="C65" i="12"/>
  <c r="F64" i="12"/>
  <c r="E64" i="12"/>
  <c r="F63" i="12"/>
  <c r="E63" i="12"/>
  <c r="D60" i="12"/>
  <c r="C60" i="12"/>
  <c r="F59" i="12"/>
  <c r="E59" i="12"/>
  <c r="E60" i="12"/>
  <c r="F60" i="12"/>
  <c r="F58" i="12"/>
  <c r="E58" i="12"/>
  <c r="D55" i="12"/>
  <c r="E55" i="12"/>
  <c r="F55" i="12"/>
  <c r="C55" i="12"/>
  <c r="F54" i="12"/>
  <c r="E54" i="12"/>
  <c r="F53" i="12"/>
  <c r="E53" i="12"/>
  <c r="D50" i="12"/>
  <c r="E50" i="12"/>
  <c r="F50" i="12"/>
  <c r="C50" i="12"/>
  <c r="F49" i="12"/>
  <c r="E49" i="12"/>
  <c r="F48" i="12"/>
  <c r="E48" i="12"/>
  <c r="D45" i="12"/>
  <c r="E45" i="12"/>
  <c r="F45" i="12"/>
  <c r="C45" i="12"/>
  <c r="F44" i="12"/>
  <c r="E44" i="12"/>
  <c r="F43" i="12"/>
  <c r="E43" i="12"/>
  <c r="D37" i="12"/>
  <c r="E37" i="12"/>
  <c r="F37" i="12"/>
  <c r="C37" i="12"/>
  <c r="F36" i="12"/>
  <c r="E36" i="12"/>
  <c r="F35" i="12"/>
  <c r="E35" i="12"/>
  <c r="F34" i="12"/>
  <c r="E34" i="12"/>
  <c r="F33" i="12"/>
  <c r="E33" i="12"/>
  <c r="D30" i="12"/>
  <c r="E30" i="12"/>
  <c r="F30" i="12"/>
  <c r="C30" i="12"/>
  <c r="F29" i="12"/>
  <c r="E29" i="12"/>
  <c r="F28" i="12"/>
  <c r="E28" i="12"/>
  <c r="F27" i="12"/>
  <c r="E27" i="12"/>
  <c r="F26" i="12"/>
  <c r="E26" i="12"/>
  <c r="D23" i="12"/>
  <c r="E23" i="12"/>
  <c r="F23" i="12"/>
  <c r="C23" i="12"/>
  <c r="F22" i="12"/>
  <c r="E22" i="12"/>
  <c r="F21" i="12"/>
  <c r="E21" i="12"/>
  <c r="F20" i="12"/>
  <c r="E20" i="12"/>
  <c r="F19" i="12"/>
  <c r="E19" i="12"/>
  <c r="D16" i="12"/>
  <c r="E16" i="12"/>
  <c r="F16" i="12"/>
  <c r="C16" i="12"/>
  <c r="F15" i="12"/>
  <c r="E15" i="12"/>
  <c r="F14" i="12"/>
  <c r="E14" i="12"/>
  <c r="F13" i="12"/>
  <c r="E13" i="12"/>
  <c r="F12" i="12"/>
  <c r="E12" i="12"/>
  <c r="I37" i="11"/>
  <c r="H37" i="11"/>
  <c r="G33" i="11"/>
  <c r="G36" i="11"/>
  <c r="G38" i="11"/>
  <c r="G40" i="11"/>
  <c r="C33" i="11"/>
  <c r="C36" i="11"/>
  <c r="C38" i="11"/>
  <c r="C40" i="11"/>
  <c r="C31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F17" i="11"/>
  <c r="F33" i="11"/>
  <c r="E17" i="11"/>
  <c r="E31" i="11"/>
  <c r="E33" i="11"/>
  <c r="E36" i="11"/>
  <c r="E38" i="11"/>
  <c r="E40" i="11"/>
  <c r="D17" i="11"/>
  <c r="D33" i="11"/>
  <c r="D36" i="11"/>
  <c r="D38" i="11"/>
  <c r="D40" i="11"/>
  <c r="C17" i="11"/>
  <c r="I16" i="11"/>
  <c r="H16" i="11"/>
  <c r="I15" i="11"/>
  <c r="H15" i="11"/>
  <c r="I13" i="11"/>
  <c r="H13" i="11"/>
  <c r="I11" i="11"/>
  <c r="H11" i="11"/>
  <c r="E79" i="10"/>
  <c r="D79" i="10"/>
  <c r="C79" i="10"/>
  <c r="C80" i="10"/>
  <c r="C77" i="10"/>
  <c r="E78" i="10"/>
  <c r="E80" i="10"/>
  <c r="E77" i="10"/>
  <c r="D78" i="10"/>
  <c r="D80" i="10"/>
  <c r="D77" i="10"/>
  <c r="C78" i="10"/>
  <c r="E75" i="10"/>
  <c r="E73" i="10"/>
  <c r="D73" i="10"/>
  <c r="D75" i="10"/>
  <c r="C73" i="10"/>
  <c r="C75" i="10"/>
  <c r="E71" i="10"/>
  <c r="D71" i="10"/>
  <c r="C71" i="10"/>
  <c r="E66" i="10"/>
  <c r="E65" i="10"/>
  <c r="D66" i="10"/>
  <c r="C66" i="10"/>
  <c r="C65" i="10"/>
  <c r="D65" i="10"/>
  <c r="E60" i="10"/>
  <c r="D60" i="10"/>
  <c r="C60" i="10"/>
  <c r="E58" i="10"/>
  <c r="D58" i="10"/>
  <c r="C58" i="10"/>
  <c r="E55" i="10"/>
  <c r="D55" i="10"/>
  <c r="D50" i="10"/>
  <c r="C55" i="10"/>
  <c r="E54" i="10"/>
  <c r="E50" i="10"/>
  <c r="D54" i="10"/>
  <c r="C54" i="10"/>
  <c r="C50" i="10"/>
  <c r="C48" i="10"/>
  <c r="E46" i="10"/>
  <c r="E59" i="10"/>
  <c r="E61" i="10"/>
  <c r="E57" i="10"/>
  <c r="D46" i="10"/>
  <c r="D59" i="10"/>
  <c r="D61" i="10"/>
  <c r="D57" i="10"/>
  <c r="C46" i="10"/>
  <c r="C59" i="10"/>
  <c r="C61" i="10"/>
  <c r="C57" i="10"/>
  <c r="E45" i="10"/>
  <c r="D45" i="10"/>
  <c r="C45" i="10"/>
  <c r="E38" i="10"/>
  <c r="D38" i="10"/>
  <c r="C38" i="10"/>
  <c r="D34" i="10"/>
  <c r="E33" i="10"/>
  <c r="E34" i="10"/>
  <c r="D33" i="10"/>
  <c r="E26" i="10"/>
  <c r="D26" i="10"/>
  <c r="C26" i="10"/>
  <c r="E15" i="10"/>
  <c r="E24" i="10"/>
  <c r="E13" i="10"/>
  <c r="E25" i="10"/>
  <c r="E27" i="10"/>
  <c r="D13" i="10"/>
  <c r="D15" i="10"/>
  <c r="C13" i="10"/>
  <c r="C25" i="10"/>
  <c r="C27" i="10"/>
  <c r="D46" i="9"/>
  <c r="C46" i="9"/>
  <c r="F46" i="9"/>
  <c r="F45" i="9"/>
  <c r="E45" i="9"/>
  <c r="F44" i="9"/>
  <c r="E44" i="9"/>
  <c r="D39" i="9"/>
  <c r="E39" i="9"/>
  <c r="C39" i="9"/>
  <c r="E38" i="9"/>
  <c r="F38" i="9"/>
  <c r="E37" i="9"/>
  <c r="F37" i="9"/>
  <c r="E36" i="9"/>
  <c r="F36" i="9"/>
  <c r="D31" i="9"/>
  <c r="E31" i="9"/>
  <c r="C31" i="9"/>
  <c r="E30" i="9"/>
  <c r="F30" i="9"/>
  <c r="E29" i="9"/>
  <c r="F29" i="9"/>
  <c r="E28" i="9"/>
  <c r="F28" i="9"/>
  <c r="E27" i="9"/>
  <c r="F27" i="9"/>
  <c r="E26" i="9"/>
  <c r="F26" i="9"/>
  <c r="E25" i="9"/>
  <c r="F25" i="9"/>
  <c r="E24" i="9"/>
  <c r="F24" i="9"/>
  <c r="E23" i="9"/>
  <c r="F23" i="9"/>
  <c r="E22" i="9"/>
  <c r="F22" i="9"/>
  <c r="E18" i="9"/>
  <c r="F18" i="9"/>
  <c r="E17" i="9"/>
  <c r="F17" i="9"/>
  <c r="D16" i="9"/>
  <c r="D19" i="9"/>
  <c r="C16" i="9"/>
  <c r="C19" i="9"/>
  <c r="F15" i="9"/>
  <c r="E15" i="9"/>
  <c r="E14" i="9"/>
  <c r="F14" i="9"/>
  <c r="E13" i="9"/>
  <c r="F13" i="9"/>
  <c r="E12" i="9"/>
  <c r="F12" i="9"/>
  <c r="D73" i="8"/>
  <c r="C73" i="8"/>
  <c r="E72" i="8"/>
  <c r="F72" i="8"/>
  <c r="F71" i="8"/>
  <c r="E71" i="8"/>
  <c r="F70" i="8"/>
  <c r="E70" i="8"/>
  <c r="F67" i="8"/>
  <c r="E67" i="8"/>
  <c r="F64" i="8"/>
  <c r="E64" i="8"/>
  <c r="F63" i="8"/>
  <c r="E63" i="8"/>
  <c r="D61" i="8"/>
  <c r="D65" i="8"/>
  <c r="E65" i="8"/>
  <c r="C61" i="8"/>
  <c r="C65" i="8"/>
  <c r="E60" i="8"/>
  <c r="F60" i="8"/>
  <c r="F59" i="8"/>
  <c r="E59" i="8"/>
  <c r="D56" i="8"/>
  <c r="C56" i="8"/>
  <c r="C75" i="8"/>
  <c r="F55" i="8"/>
  <c r="E55" i="8"/>
  <c r="F54" i="8"/>
  <c r="E54" i="8"/>
  <c r="F53" i="8"/>
  <c r="E53" i="8"/>
  <c r="F52" i="8"/>
  <c r="E52" i="8"/>
  <c r="F51" i="8"/>
  <c r="E51" i="8"/>
  <c r="A51" i="8"/>
  <c r="A52" i="8"/>
  <c r="A53" i="8"/>
  <c r="A54" i="8"/>
  <c r="A55" i="8"/>
  <c r="E50" i="8"/>
  <c r="F50" i="8"/>
  <c r="A50" i="8"/>
  <c r="F49" i="8"/>
  <c r="E49" i="8"/>
  <c r="F40" i="8"/>
  <c r="E40" i="8"/>
  <c r="D38" i="8"/>
  <c r="E38" i="8"/>
  <c r="F38" i="8"/>
  <c r="C38" i="8"/>
  <c r="C41" i="8"/>
  <c r="E37" i="8"/>
  <c r="F37" i="8"/>
  <c r="E36" i="8"/>
  <c r="F36" i="8"/>
  <c r="E33" i="8"/>
  <c r="F33" i="8"/>
  <c r="E32" i="8"/>
  <c r="F32" i="8"/>
  <c r="F31" i="8"/>
  <c r="E31" i="8"/>
  <c r="D29" i="8"/>
  <c r="C29" i="8"/>
  <c r="E28" i="8"/>
  <c r="F28" i="8"/>
  <c r="F27" i="8"/>
  <c r="E27" i="8"/>
  <c r="F26" i="8"/>
  <c r="E26" i="8"/>
  <c r="E25" i="8"/>
  <c r="F25" i="8"/>
  <c r="D22" i="8"/>
  <c r="C22" i="8"/>
  <c r="C43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F14" i="8"/>
  <c r="E14" i="8"/>
  <c r="F13" i="8"/>
  <c r="E13" i="8"/>
  <c r="D120" i="7"/>
  <c r="C120" i="7"/>
  <c r="D119" i="7"/>
  <c r="E119" i="7"/>
  <c r="C119" i="7"/>
  <c r="F119" i="7"/>
  <c r="D118" i="7"/>
  <c r="C118" i="7"/>
  <c r="D117" i="7"/>
  <c r="E117" i="7"/>
  <c r="C117" i="7"/>
  <c r="F117" i="7"/>
  <c r="D116" i="7"/>
  <c r="C116" i="7"/>
  <c r="D115" i="7"/>
  <c r="E115" i="7"/>
  <c r="C115" i="7"/>
  <c r="F115" i="7"/>
  <c r="D114" i="7"/>
  <c r="C114" i="7"/>
  <c r="D113" i="7"/>
  <c r="E113" i="7"/>
  <c r="C113" i="7"/>
  <c r="F113" i="7"/>
  <c r="D112" i="7"/>
  <c r="E112" i="7"/>
  <c r="F112" i="7"/>
  <c r="C112" i="7"/>
  <c r="C121" i="7"/>
  <c r="D108" i="7"/>
  <c r="E108" i="7"/>
  <c r="C108" i="7"/>
  <c r="D107" i="7"/>
  <c r="C107" i="7"/>
  <c r="E106" i="7"/>
  <c r="F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E96" i="7"/>
  <c r="C96" i="7"/>
  <c r="F96" i="7"/>
  <c r="D95" i="7"/>
  <c r="C95" i="7"/>
  <c r="E94" i="7"/>
  <c r="F94" i="7"/>
  <c r="E93" i="7"/>
  <c r="F93" i="7"/>
  <c r="E92" i="7"/>
  <c r="F92" i="7"/>
  <c r="E91" i="7"/>
  <c r="F91" i="7"/>
  <c r="E90" i="7"/>
  <c r="F90" i="7"/>
  <c r="E89" i="7"/>
  <c r="F89" i="7"/>
  <c r="E88" i="7"/>
  <c r="F88" i="7"/>
  <c r="E87" i="7"/>
  <c r="F87" i="7"/>
  <c r="E86" i="7"/>
  <c r="F86" i="7"/>
  <c r="D84" i="7"/>
  <c r="E84" i="7"/>
  <c r="C84" i="7"/>
  <c r="F84" i="7"/>
  <c r="D83" i="7"/>
  <c r="E83" i="7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E72" i="7"/>
  <c r="C72" i="7"/>
  <c r="F72" i="7"/>
  <c r="D71" i="7"/>
  <c r="E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E60" i="7"/>
  <c r="C60" i="7"/>
  <c r="D59" i="7"/>
  <c r="C59" i="7"/>
  <c r="E58" i="7"/>
  <c r="F58" i="7"/>
  <c r="E57" i="7"/>
  <c r="F57" i="7"/>
  <c r="E56" i="7"/>
  <c r="F56" i="7"/>
  <c r="E55" i="7"/>
  <c r="F55" i="7"/>
  <c r="E54" i="7"/>
  <c r="F54" i="7"/>
  <c r="E53" i="7"/>
  <c r="F53" i="7"/>
  <c r="E52" i="7"/>
  <c r="F52" i="7"/>
  <c r="E51" i="7"/>
  <c r="F51" i="7"/>
  <c r="E50" i="7"/>
  <c r="F50" i="7"/>
  <c r="D48" i="7"/>
  <c r="E48" i="7"/>
  <c r="C48" i="7"/>
  <c r="F48" i="7"/>
  <c r="D47" i="7"/>
  <c r="E47" i="7"/>
  <c r="C47" i="7"/>
  <c r="F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/>
  <c r="C36" i="7"/>
  <c r="F36" i="7"/>
  <c r="D35" i="7"/>
  <c r="C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E24" i="7"/>
  <c r="C24" i="7"/>
  <c r="F24" i="7"/>
  <c r="D23" i="7"/>
  <c r="E23" i="7"/>
  <c r="C23" i="7"/>
  <c r="F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E206" i="6"/>
  <c r="C206" i="6"/>
  <c r="D205" i="6"/>
  <c r="C205" i="6"/>
  <c r="D204" i="6"/>
  <c r="E204" i="6"/>
  <c r="C204" i="6"/>
  <c r="D203" i="6"/>
  <c r="C203" i="6"/>
  <c r="D202" i="6"/>
  <c r="E202" i="6"/>
  <c r="C202" i="6"/>
  <c r="D201" i="6"/>
  <c r="C201" i="6"/>
  <c r="D200" i="6"/>
  <c r="E200" i="6"/>
  <c r="C200" i="6"/>
  <c r="F200" i="6"/>
  <c r="D199" i="6"/>
  <c r="C199" i="6"/>
  <c r="D198" i="6"/>
  <c r="E198" i="6"/>
  <c r="F198" i="6"/>
  <c r="C198" i="6"/>
  <c r="C207" i="6"/>
  <c r="D193" i="6"/>
  <c r="C193" i="6"/>
  <c r="D192" i="6"/>
  <c r="E192" i="6"/>
  <c r="C192" i="6"/>
  <c r="F192" i="6"/>
  <c r="E191" i="6"/>
  <c r="F191" i="6"/>
  <c r="E190" i="6"/>
  <c r="F190" i="6"/>
  <c r="E189" i="6"/>
  <c r="F189" i="6"/>
  <c r="E188" i="6"/>
  <c r="F188" i="6"/>
  <c r="E187" i="6"/>
  <c r="F187" i="6"/>
  <c r="E186" i="6"/>
  <c r="F186" i="6"/>
  <c r="E185" i="6"/>
  <c r="F185" i="6"/>
  <c r="E184" i="6"/>
  <c r="F184" i="6"/>
  <c r="E183" i="6"/>
  <c r="F183" i="6"/>
  <c r="D180" i="6"/>
  <c r="E180" i="6"/>
  <c r="C180" i="6"/>
  <c r="F180" i="6"/>
  <c r="D179" i="6"/>
  <c r="E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/>
  <c r="C167" i="6"/>
  <c r="F167" i="6"/>
  <c r="D166" i="6"/>
  <c r="E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D153" i="6"/>
  <c r="E153" i="6"/>
  <c r="C153" i="6"/>
  <c r="E152" i="6"/>
  <c r="F152" i="6"/>
  <c r="E151" i="6"/>
  <c r="F151" i="6"/>
  <c r="E150" i="6"/>
  <c r="F150" i="6"/>
  <c r="E149" i="6"/>
  <c r="F149" i="6"/>
  <c r="E148" i="6"/>
  <c r="F148" i="6"/>
  <c r="E147" i="6"/>
  <c r="F147" i="6"/>
  <c r="E146" i="6"/>
  <c r="F146" i="6"/>
  <c r="E145" i="6"/>
  <c r="F145" i="6"/>
  <c r="E144" i="6"/>
  <c r="F144" i="6"/>
  <c r="D141" i="6"/>
  <c r="E141" i="6"/>
  <c r="C141" i="6"/>
  <c r="F141" i="6"/>
  <c r="D140" i="6"/>
  <c r="E140" i="6"/>
  <c r="C140" i="6"/>
  <c r="F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C128" i="6"/>
  <c r="D127" i="6"/>
  <c r="E127" i="6"/>
  <c r="C127" i="6"/>
  <c r="F127" i="6"/>
  <c r="E126" i="6"/>
  <c r="F126" i="6"/>
  <c r="E125" i="6"/>
  <c r="F125" i="6"/>
  <c r="E124" i="6"/>
  <c r="F124" i="6"/>
  <c r="E123" i="6"/>
  <c r="F123" i="6"/>
  <c r="E122" i="6"/>
  <c r="F122" i="6"/>
  <c r="E121" i="6"/>
  <c r="F121" i="6"/>
  <c r="E120" i="6"/>
  <c r="F120" i="6"/>
  <c r="E119" i="6"/>
  <c r="F119" i="6"/>
  <c r="E118" i="6"/>
  <c r="F118" i="6"/>
  <c r="D115" i="6"/>
  <c r="E115" i="6"/>
  <c r="C115" i="6"/>
  <c r="F115" i="6"/>
  <c r="D114" i="6"/>
  <c r="E114" i="6"/>
  <c r="C114" i="6"/>
  <c r="F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D102" i="6"/>
  <c r="E102" i="6"/>
  <c r="C102" i="6"/>
  <c r="F102" i="6"/>
  <c r="D101" i="6"/>
  <c r="E101" i="6"/>
  <c r="C101" i="6"/>
  <c r="F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E89" i="6"/>
  <c r="C89" i="6"/>
  <c r="F89" i="6"/>
  <c r="D88" i="6"/>
  <c r="E88" i="6"/>
  <c r="C88" i="6"/>
  <c r="F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C76" i="6"/>
  <c r="D75" i="6"/>
  <c r="E75" i="6"/>
  <c r="C75" i="6"/>
  <c r="E74" i="6"/>
  <c r="F74" i="6"/>
  <c r="E73" i="6"/>
  <c r="F73" i="6"/>
  <c r="E72" i="6"/>
  <c r="F72" i="6"/>
  <c r="E71" i="6"/>
  <c r="F71" i="6"/>
  <c r="E70" i="6"/>
  <c r="F70" i="6"/>
  <c r="E69" i="6"/>
  <c r="F69" i="6"/>
  <c r="E68" i="6"/>
  <c r="F68" i="6"/>
  <c r="E67" i="6"/>
  <c r="F67" i="6"/>
  <c r="E66" i="6"/>
  <c r="F66" i="6"/>
  <c r="D63" i="6"/>
  <c r="C63" i="6"/>
  <c r="D62" i="6"/>
  <c r="E62" i="6"/>
  <c r="C62" i="6"/>
  <c r="F62" i="6"/>
  <c r="E61" i="6"/>
  <c r="F61" i="6"/>
  <c r="E60" i="6"/>
  <c r="F60" i="6"/>
  <c r="E59" i="6"/>
  <c r="F59" i="6"/>
  <c r="E58" i="6"/>
  <c r="F58" i="6"/>
  <c r="E57" i="6"/>
  <c r="F57" i="6"/>
  <c r="E56" i="6"/>
  <c r="F56" i="6"/>
  <c r="E55" i="6"/>
  <c r="F55" i="6"/>
  <c r="E54" i="6"/>
  <c r="F54" i="6"/>
  <c r="E53" i="6"/>
  <c r="F53" i="6"/>
  <c r="D50" i="6"/>
  <c r="C50" i="6"/>
  <c r="D49" i="6"/>
  <c r="E49" i="6"/>
  <c r="C49" i="6"/>
  <c r="E48" i="6"/>
  <c r="F48" i="6"/>
  <c r="E47" i="6"/>
  <c r="F47" i="6"/>
  <c r="E46" i="6"/>
  <c r="F46" i="6"/>
  <c r="E45" i="6"/>
  <c r="F45" i="6"/>
  <c r="E44" i="6"/>
  <c r="F44" i="6"/>
  <c r="E43" i="6"/>
  <c r="F43" i="6"/>
  <c r="E42" i="6"/>
  <c r="F42" i="6"/>
  <c r="E41" i="6"/>
  <c r="F41" i="6"/>
  <c r="E40" i="6"/>
  <c r="F40" i="6"/>
  <c r="D37" i="6"/>
  <c r="E37" i="6"/>
  <c r="C37" i="6"/>
  <c r="F37" i="6"/>
  <c r="D36" i="6"/>
  <c r="E36" i="6"/>
  <c r="C36" i="6"/>
  <c r="F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C24" i="6"/>
  <c r="D23" i="6"/>
  <c r="E23" i="6"/>
  <c r="C23" i="6"/>
  <c r="F23" i="6"/>
  <c r="E22" i="6"/>
  <c r="F22" i="6"/>
  <c r="F21" i="6"/>
  <c r="E21" i="6"/>
  <c r="E20" i="6"/>
  <c r="F20" i="6"/>
  <c r="E19" i="6"/>
  <c r="F19" i="6"/>
  <c r="E18" i="6"/>
  <c r="F18" i="6"/>
  <c r="E17" i="6"/>
  <c r="F17" i="6"/>
  <c r="E16" i="6"/>
  <c r="F16" i="6"/>
  <c r="E15" i="6"/>
  <c r="F15" i="6"/>
  <c r="E14" i="6"/>
  <c r="F14" i="6"/>
  <c r="E191" i="5"/>
  <c r="D191" i="5"/>
  <c r="C191" i="5"/>
  <c r="E176" i="5"/>
  <c r="D176" i="5"/>
  <c r="C176" i="5"/>
  <c r="E164" i="5"/>
  <c r="D164" i="5"/>
  <c r="D160" i="5"/>
  <c r="D166" i="5"/>
  <c r="D154" i="5"/>
  <c r="C164" i="5"/>
  <c r="E162" i="5"/>
  <c r="D162" i="5"/>
  <c r="C162" i="5"/>
  <c r="E161" i="5"/>
  <c r="D161" i="5"/>
  <c r="C161" i="5"/>
  <c r="E160" i="5"/>
  <c r="E166" i="5"/>
  <c r="C160" i="5"/>
  <c r="C166" i="5"/>
  <c r="E147" i="5"/>
  <c r="D147" i="5"/>
  <c r="D143" i="5"/>
  <c r="C147" i="5"/>
  <c r="E145" i="5"/>
  <c r="D145" i="5"/>
  <c r="C145" i="5"/>
  <c r="E144" i="5"/>
  <c r="D144" i="5"/>
  <c r="C144" i="5"/>
  <c r="E143" i="5"/>
  <c r="E149" i="5"/>
  <c r="E136" i="5"/>
  <c r="C143" i="5"/>
  <c r="C149" i="5"/>
  <c r="E126" i="5"/>
  <c r="D126" i="5"/>
  <c r="C126" i="5"/>
  <c r="E119" i="5"/>
  <c r="D119" i="5"/>
  <c r="C119" i="5"/>
  <c r="E108" i="5"/>
  <c r="D108" i="5"/>
  <c r="D109" i="5"/>
  <c r="D106" i="5"/>
  <c r="C108" i="5"/>
  <c r="E107" i="5"/>
  <c r="E109" i="5"/>
  <c r="E106" i="5"/>
  <c r="D107" i="5"/>
  <c r="C107" i="5"/>
  <c r="C109" i="5"/>
  <c r="C106" i="5"/>
  <c r="E102" i="5"/>
  <c r="E104" i="5"/>
  <c r="D102" i="5"/>
  <c r="D104" i="5"/>
  <c r="C102" i="5"/>
  <c r="C104" i="5"/>
  <c r="E100" i="5"/>
  <c r="D100" i="5"/>
  <c r="C100" i="5"/>
  <c r="E95" i="5"/>
  <c r="E94" i="5"/>
  <c r="D95" i="5"/>
  <c r="C95" i="5"/>
  <c r="C94" i="5"/>
  <c r="D94" i="5"/>
  <c r="E89" i="5"/>
  <c r="D89" i="5"/>
  <c r="C89" i="5"/>
  <c r="E87" i="5"/>
  <c r="D87" i="5"/>
  <c r="C87" i="5"/>
  <c r="E84" i="5"/>
  <c r="D84" i="5"/>
  <c r="D79" i="5"/>
  <c r="C84" i="5"/>
  <c r="E83" i="5"/>
  <c r="E79" i="5"/>
  <c r="D83" i="5"/>
  <c r="C83" i="5"/>
  <c r="C79" i="5"/>
  <c r="E75" i="5"/>
  <c r="E88" i="5"/>
  <c r="E90" i="5"/>
  <c r="E86" i="5"/>
  <c r="D75" i="5"/>
  <c r="C75" i="5"/>
  <c r="C77" i="5"/>
  <c r="E74" i="5"/>
  <c r="D74" i="5"/>
  <c r="C74" i="5"/>
  <c r="E67" i="5"/>
  <c r="D67" i="5"/>
  <c r="C67" i="5"/>
  <c r="D49" i="5"/>
  <c r="E38" i="5"/>
  <c r="E57" i="5"/>
  <c r="E62" i="5"/>
  <c r="D38" i="5"/>
  <c r="D53" i="5"/>
  <c r="D57" i="5"/>
  <c r="D62" i="5"/>
  <c r="C38" i="5"/>
  <c r="E33" i="5"/>
  <c r="E34" i="5"/>
  <c r="D33" i="5"/>
  <c r="D34" i="5"/>
  <c r="E26" i="5"/>
  <c r="D26" i="5"/>
  <c r="C26" i="5"/>
  <c r="E25" i="5"/>
  <c r="E27" i="5"/>
  <c r="C25" i="5"/>
  <c r="C27" i="5"/>
  <c r="C21" i="5"/>
  <c r="C15" i="5"/>
  <c r="E13" i="5"/>
  <c r="E15" i="5"/>
  <c r="D13" i="5"/>
  <c r="C13" i="5"/>
  <c r="F186" i="4"/>
  <c r="E186" i="4"/>
  <c r="D183" i="4"/>
  <c r="E183" i="4"/>
  <c r="F183" i="4"/>
  <c r="C183" i="4"/>
  <c r="F182" i="4"/>
  <c r="E182" i="4"/>
  <c r="F181" i="4"/>
  <c r="E181" i="4"/>
  <c r="F180" i="4"/>
  <c r="E180" i="4"/>
  <c r="F179" i="4"/>
  <c r="E179" i="4"/>
  <c r="F178" i="4"/>
  <c r="E178" i="4"/>
  <c r="F177" i="4"/>
  <c r="E177" i="4"/>
  <c r="F176" i="4"/>
  <c r="E176" i="4"/>
  <c r="F175" i="4"/>
  <c r="E175" i="4"/>
  <c r="F174" i="4"/>
  <c r="E174" i="4"/>
  <c r="F173" i="4"/>
  <c r="E173" i="4"/>
  <c r="F172" i="4"/>
  <c r="E172" i="4"/>
  <c r="F171" i="4"/>
  <c r="E171" i="4"/>
  <c r="F170" i="4"/>
  <c r="E170" i="4"/>
  <c r="D167" i="4"/>
  <c r="E167" i="4"/>
  <c r="F167" i="4"/>
  <c r="C167" i="4"/>
  <c r="E166" i="4"/>
  <c r="F166" i="4"/>
  <c r="E165" i="4"/>
  <c r="F165" i="4"/>
  <c r="E164" i="4"/>
  <c r="F164" i="4"/>
  <c r="E163" i="4"/>
  <c r="F163" i="4"/>
  <c r="F162" i="4"/>
  <c r="E162" i="4"/>
  <c r="E161" i="4"/>
  <c r="F161" i="4"/>
  <c r="E160" i="4"/>
  <c r="F160" i="4"/>
  <c r="F159" i="4"/>
  <c r="E159" i="4"/>
  <c r="E158" i="4"/>
  <c r="F158" i="4"/>
  <c r="E157" i="4"/>
  <c r="F157" i="4"/>
  <c r="E156" i="4"/>
  <c r="F156" i="4"/>
  <c r="E155" i="4"/>
  <c r="F155" i="4"/>
  <c r="E154" i="4"/>
  <c r="F154" i="4"/>
  <c r="E153" i="4"/>
  <c r="F153" i="4"/>
  <c r="E152" i="4"/>
  <c r="F152" i="4"/>
  <c r="E151" i="4"/>
  <c r="F151" i="4"/>
  <c r="E150" i="4"/>
  <c r="F150" i="4"/>
  <c r="F149" i="4"/>
  <c r="E149" i="4"/>
  <c r="F148" i="4"/>
  <c r="E148" i="4"/>
  <c r="F147" i="4"/>
  <c r="E147" i="4"/>
  <c r="E146" i="4"/>
  <c r="F146" i="4"/>
  <c r="E145" i="4"/>
  <c r="F145" i="4"/>
  <c r="E144" i="4"/>
  <c r="F144" i="4"/>
  <c r="F143" i="4"/>
  <c r="E143" i="4"/>
  <c r="E142" i="4"/>
  <c r="F142" i="4"/>
  <c r="E141" i="4"/>
  <c r="F141" i="4"/>
  <c r="E140" i="4"/>
  <c r="F140" i="4"/>
  <c r="E139" i="4"/>
  <c r="F139" i="4"/>
  <c r="E138" i="4"/>
  <c r="F138" i="4"/>
  <c r="E137" i="4"/>
  <c r="F137" i="4"/>
  <c r="E136" i="4"/>
  <c r="F136" i="4"/>
  <c r="E135" i="4"/>
  <c r="F135" i="4"/>
  <c r="E134" i="4"/>
  <c r="F134" i="4"/>
  <c r="E133" i="4"/>
  <c r="F133" i="4"/>
  <c r="D130" i="4"/>
  <c r="C130" i="4"/>
  <c r="E129" i="4"/>
  <c r="F129" i="4"/>
  <c r="E128" i="4"/>
  <c r="F128" i="4"/>
  <c r="E127" i="4"/>
  <c r="F127" i="4"/>
  <c r="E126" i="4"/>
  <c r="F126" i="4"/>
  <c r="E125" i="4"/>
  <c r="F125" i="4"/>
  <c r="F124" i="4"/>
  <c r="E124" i="4"/>
  <c r="D121" i="4"/>
  <c r="C121" i="4"/>
  <c r="E120" i="4"/>
  <c r="F120" i="4"/>
  <c r="E119" i="4"/>
  <c r="F119" i="4"/>
  <c r="E118" i="4"/>
  <c r="F118" i="4"/>
  <c r="E117" i="4"/>
  <c r="F117" i="4"/>
  <c r="E116" i="4"/>
  <c r="F116" i="4"/>
  <c r="E115" i="4"/>
  <c r="F115" i="4"/>
  <c r="F114" i="4"/>
  <c r="E114" i="4"/>
  <c r="E113" i="4"/>
  <c r="F113" i="4"/>
  <c r="E112" i="4"/>
  <c r="F112" i="4"/>
  <c r="E111" i="4"/>
  <c r="F111" i="4"/>
  <c r="E110" i="4"/>
  <c r="F110" i="4"/>
  <c r="E109" i="4"/>
  <c r="F109" i="4"/>
  <c r="E108" i="4"/>
  <c r="F108" i="4"/>
  <c r="E107" i="4"/>
  <c r="F107" i="4"/>
  <c r="E106" i="4"/>
  <c r="F106" i="4"/>
  <c r="E105" i="4"/>
  <c r="F105" i="4"/>
  <c r="E104" i="4"/>
  <c r="F104" i="4"/>
  <c r="E103" i="4"/>
  <c r="F103" i="4"/>
  <c r="F93" i="4"/>
  <c r="E93" i="4"/>
  <c r="D90" i="4"/>
  <c r="E90" i="4"/>
  <c r="C90" i="4"/>
  <c r="E89" i="4"/>
  <c r="F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E76" i="4"/>
  <c r="F76" i="4"/>
  <c r="E75" i="4"/>
  <c r="F75" i="4"/>
  <c r="E74" i="4"/>
  <c r="F74" i="4"/>
  <c r="E73" i="4"/>
  <c r="F73" i="4"/>
  <c r="E72" i="4"/>
  <c r="F72" i="4"/>
  <c r="E71" i="4"/>
  <c r="F71" i="4"/>
  <c r="E70" i="4"/>
  <c r="F70" i="4"/>
  <c r="E69" i="4"/>
  <c r="F69" i="4"/>
  <c r="E68" i="4"/>
  <c r="F68" i="4"/>
  <c r="F67" i="4"/>
  <c r="E67" i="4"/>
  <c r="E66" i="4"/>
  <c r="F66" i="4"/>
  <c r="E65" i="4"/>
  <c r="F65" i="4"/>
  <c r="E64" i="4"/>
  <c r="F64" i="4"/>
  <c r="E63" i="4"/>
  <c r="F63" i="4"/>
  <c r="E62" i="4"/>
  <c r="F62" i="4"/>
  <c r="D59" i="4"/>
  <c r="E59" i="4"/>
  <c r="C59" i="4"/>
  <c r="F59" i="4"/>
  <c r="E58" i="4"/>
  <c r="F58" i="4"/>
  <c r="E57" i="4"/>
  <c r="F57" i="4"/>
  <c r="E56" i="4"/>
  <c r="F56" i="4"/>
  <c r="E55" i="4"/>
  <c r="F55" i="4"/>
  <c r="E54" i="4"/>
  <c r="F54" i="4"/>
  <c r="E53" i="4"/>
  <c r="F53" i="4"/>
  <c r="E50" i="4"/>
  <c r="F50" i="4"/>
  <c r="E47" i="4"/>
  <c r="F47" i="4"/>
  <c r="E44" i="4"/>
  <c r="F44" i="4"/>
  <c r="D41" i="4"/>
  <c r="E41" i="4"/>
  <c r="C41" i="4"/>
  <c r="F40" i="4"/>
  <c r="E40" i="4"/>
  <c r="F39" i="4"/>
  <c r="E39" i="4"/>
  <c r="F38" i="4"/>
  <c r="E38" i="4"/>
  <c r="D35" i="4"/>
  <c r="E35" i="4"/>
  <c r="F35" i="4"/>
  <c r="C35" i="4"/>
  <c r="F34" i="4"/>
  <c r="E34" i="4"/>
  <c r="F33" i="4"/>
  <c r="E33" i="4"/>
  <c r="D30" i="4"/>
  <c r="E30" i="4"/>
  <c r="F30" i="4"/>
  <c r="C30" i="4"/>
  <c r="F29" i="4"/>
  <c r="E29" i="4"/>
  <c r="F28" i="4"/>
  <c r="E28" i="4"/>
  <c r="F27" i="4"/>
  <c r="E27" i="4"/>
  <c r="D24" i="4"/>
  <c r="C24" i="4"/>
  <c r="F23" i="4"/>
  <c r="E23" i="4"/>
  <c r="E22" i="4"/>
  <c r="F22" i="4"/>
  <c r="F21" i="4"/>
  <c r="E21" i="4"/>
  <c r="D18" i="4"/>
  <c r="E18" i="4"/>
  <c r="C18" i="4"/>
  <c r="F18" i="4"/>
  <c r="E17" i="4"/>
  <c r="F17" i="4"/>
  <c r="F16" i="4"/>
  <c r="E16" i="4"/>
  <c r="E15" i="4"/>
  <c r="F15" i="4"/>
  <c r="D179" i="3"/>
  <c r="E179" i="3"/>
  <c r="F179" i="3"/>
  <c r="C179" i="3"/>
  <c r="F178" i="3"/>
  <c r="E178" i="3"/>
  <c r="F177" i="3"/>
  <c r="E177" i="3"/>
  <c r="F176" i="3"/>
  <c r="E176" i="3"/>
  <c r="F175" i="3"/>
  <c r="E175" i="3"/>
  <c r="F174" i="3"/>
  <c r="E174" i="3"/>
  <c r="F173" i="3"/>
  <c r="E173" i="3"/>
  <c r="F172" i="3"/>
  <c r="E172" i="3"/>
  <c r="F171" i="3"/>
  <c r="E171" i="3"/>
  <c r="F170" i="3"/>
  <c r="E170" i="3"/>
  <c r="F169" i="3"/>
  <c r="E169" i="3"/>
  <c r="F168" i="3"/>
  <c r="E168" i="3"/>
  <c r="D166" i="3"/>
  <c r="E166" i="3"/>
  <c r="F166" i="3"/>
  <c r="C166" i="3"/>
  <c r="F165" i="3"/>
  <c r="E165" i="3"/>
  <c r="F164" i="3"/>
  <c r="E164" i="3"/>
  <c r="F163" i="3"/>
  <c r="E163" i="3"/>
  <c r="F162" i="3"/>
  <c r="E162" i="3"/>
  <c r="F161" i="3"/>
  <c r="E161" i="3"/>
  <c r="F160" i="3"/>
  <c r="E160" i="3"/>
  <c r="F159" i="3"/>
  <c r="E159" i="3"/>
  <c r="F158" i="3"/>
  <c r="E158" i="3"/>
  <c r="F157" i="3"/>
  <c r="E157" i="3"/>
  <c r="F156" i="3"/>
  <c r="E156" i="3"/>
  <c r="F155" i="3"/>
  <c r="E155" i="3"/>
  <c r="D153" i="3"/>
  <c r="C153" i="3"/>
  <c r="F152" i="3"/>
  <c r="E152" i="3"/>
  <c r="F151" i="3"/>
  <c r="E151" i="3"/>
  <c r="F150" i="3"/>
  <c r="E150" i="3"/>
  <c r="E149" i="3"/>
  <c r="F149" i="3"/>
  <c r="F148" i="3"/>
  <c r="E148" i="3"/>
  <c r="E147" i="3"/>
  <c r="F147" i="3"/>
  <c r="F146" i="3"/>
  <c r="E146" i="3"/>
  <c r="E145" i="3"/>
  <c r="F145" i="3"/>
  <c r="F144" i="3"/>
  <c r="E144" i="3"/>
  <c r="E143" i="3"/>
  <c r="F143" i="3"/>
  <c r="F142" i="3"/>
  <c r="E142" i="3"/>
  <c r="D137" i="3"/>
  <c r="E137" i="3"/>
  <c r="C137" i="3"/>
  <c r="F137" i="3"/>
  <c r="E136" i="3"/>
  <c r="F136" i="3"/>
  <c r="F135" i="3"/>
  <c r="E135" i="3"/>
  <c r="E134" i="3"/>
  <c r="F134" i="3"/>
  <c r="F133" i="3"/>
  <c r="E133" i="3"/>
  <c r="E132" i="3"/>
  <c r="F132" i="3"/>
  <c r="F131" i="3"/>
  <c r="E131" i="3"/>
  <c r="E130" i="3"/>
  <c r="F130" i="3"/>
  <c r="F129" i="3"/>
  <c r="E129" i="3"/>
  <c r="E128" i="3"/>
  <c r="F128" i="3"/>
  <c r="F127" i="3"/>
  <c r="E127" i="3"/>
  <c r="E126" i="3"/>
  <c r="F126" i="3"/>
  <c r="D124" i="3"/>
  <c r="E124" i="3"/>
  <c r="C124" i="3"/>
  <c r="F124" i="3"/>
  <c r="F123" i="3"/>
  <c r="E123" i="3"/>
  <c r="F122" i="3"/>
  <c r="E122" i="3"/>
  <c r="F121" i="3"/>
  <c r="E121" i="3"/>
  <c r="F120" i="3"/>
  <c r="E120" i="3"/>
  <c r="F119" i="3"/>
  <c r="E119" i="3"/>
  <c r="F118" i="3"/>
  <c r="E118" i="3"/>
  <c r="F117" i="3"/>
  <c r="E117" i="3"/>
  <c r="F116" i="3"/>
  <c r="E116" i="3"/>
  <c r="F115" i="3"/>
  <c r="E115" i="3"/>
  <c r="F114" i="3"/>
  <c r="E114" i="3"/>
  <c r="F113" i="3"/>
  <c r="E113" i="3"/>
  <c r="D111" i="3"/>
  <c r="E111" i="3"/>
  <c r="F111" i="3"/>
  <c r="C111" i="3"/>
  <c r="F110" i="3"/>
  <c r="E110" i="3"/>
  <c r="F109" i="3"/>
  <c r="E109" i="3"/>
  <c r="F108" i="3"/>
  <c r="E108" i="3"/>
  <c r="F107" i="3"/>
  <c r="E107" i="3"/>
  <c r="F106" i="3"/>
  <c r="E106" i="3"/>
  <c r="F105" i="3"/>
  <c r="E105" i="3"/>
  <c r="F104" i="3"/>
  <c r="E104" i="3"/>
  <c r="F103" i="3"/>
  <c r="E103" i="3"/>
  <c r="F102" i="3"/>
  <c r="E102" i="3"/>
  <c r="F101" i="3"/>
  <c r="E101" i="3"/>
  <c r="F100" i="3"/>
  <c r="E100" i="3"/>
  <c r="D94" i="3"/>
  <c r="E94" i="3"/>
  <c r="F94" i="3"/>
  <c r="C94" i="3"/>
  <c r="D93" i="3"/>
  <c r="C93" i="3"/>
  <c r="F93" i="3"/>
  <c r="D92" i="3"/>
  <c r="E92" i="3"/>
  <c r="C92" i="3"/>
  <c r="F92" i="3"/>
  <c r="D91" i="3"/>
  <c r="C91" i="3"/>
  <c r="D90" i="3"/>
  <c r="C90" i="3"/>
  <c r="D89" i="3"/>
  <c r="C89" i="3"/>
  <c r="D88" i="3"/>
  <c r="E88" i="3"/>
  <c r="C88" i="3"/>
  <c r="F88" i="3"/>
  <c r="D87" i="3"/>
  <c r="C87" i="3"/>
  <c r="D86" i="3"/>
  <c r="C86" i="3"/>
  <c r="D85" i="3"/>
  <c r="C85" i="3"/>
  <c r="D84" i="3"/>
  <c r="E84" i="3"/>
  <c r="C84" i="3"/>
  <c r="F84" i="3"/>
  <c r="D81" i="3"/>
  <c r="C81" i="3"/>
  <c r="E80" i="3"/>
  <c r="F80" i="3"/>
  <c r="F79" i="3"/>
  <c r="E79" i="3"/>
  <c r="E78" i="3"/>
  <c r="F78" i="3"/>
  <c r="E77" i="3"/>
  <c r="F77" i="3"/>
  <c r="E76" i="3"/>
  <c r="F76" i="3"/>
  <c r="E75" i="3"/>
  <c r="F75" i="3"/>
  <c r="E74" i="3"/>
  <c r="F74" i="3"/>
  <c r="E73" i="3"/>
  <c r="F73" i="3"/>
  <c r="E72" i="3"/>
  <c r="F72" i="3"/>
  <c r="E71" i="3"/>
  <c r="F71" i="3"/>
  <c r="E70" i="3"/>
  <c r="F70" i="3"/>
  <c r="D68" i="3"/>
  <c r="C68" i="3"/>
  <c r="E68" i="3"/>
  <c r="E67" i="3"/>
  <c r="F67" i="3"/>
  <c r="F66" i="3"/>
  <c r="E66" i="3"/>
  <c r="E65" i="3"/>
  <c r="F65" i="3"/>
  <c r="E64" i="3"/>
  <c r="F64" i="3"/>
  <c r="E63" i="3"/>
  <c r="F63" i="3"/>
  <c r="E62" i="3"/>
  <c r="F62" i="3"/>
  <c r="E61" i="3"/>
  <c r="F61" i="3"/>
  <c r="E60" i="3"/>
  <c r="F60" i="3"/>
  <c r="E59" i="3"/>
  <c r="F59" i="3"/>
  <c r="E58" i="3"/>
  <c r="F58" i="3"/>
  <c r="E57" i="3"/>
  <c r="F57" i="3"/>
  <c r="D51" i="3"/>
  <c r="E51" i="3"/>
  <c r="F51" i="3"/>
  <c r="C51" i="3"/>
  <c r="D50" i="3"/>
  <c r="E50" i="3"/>
  <c r="C50" i="3"/>
  <c r="F50" i="3"/>
  <c r="D49" i="3"/>
  <c r="E49" i="3"/>
  <c r="F49" i="3"/>
  <c r="C49" i="3"/>
  <c r="D48" i="3"/>
  <c r="E48" i="3"/>
  <c r="F48" i="3"/>
  <c r="C48" i="3"/>
  <c r="D47" i="3"/>
  <c r="E47" i="3"/>
  <c r="F47" i="3"/>
  <c r="C47" i="3"/>
  <c r="D46" i="3"/>
  <c r="E46" i="3"/>
  <c r="F46" i="3"/>
  <c r="C46" i="3"/>
  <c r="D45" i="3"/>
  <c r="E45" i="3"/>
  <c r="F45" i="3"/>
  <c r="C45" i="3"/>
  <c r="D44" i="3"/>
  <c r="E44" i="3"/>
  <c r="F44" i="3"/>
  <c r="C44" i="3"/>
  <c r="D43" i="3"/>
  <c r="E43" i="3"/>
  <c r="F43" i="3"/>
  <c r="C43" i="3"/>
  <c r="D42" i="3"/>
  <c r="E42" i="3"/>
  <c r="F42" i="3"/>
  <c r="C42" i="3"/>
  <c r="D41" i="3"/>
  <c r="E41" i="3"/>
  <c r="C41" i="3"/>
  <c r="F41" i="3"/>
  <c r="D38" i="3"/>
  <c r="C38" i="3"/>
  <c r="E37" i="3"/>
  <c r="F37" i="3"/>
  <c r="F36" i="3"/>
  <c r="E36" i="3"/>
  <c r="E35" i="3"/>
  <c r="F35" i="3"/>
  <c r="E34" i="3"/>
  <c r="F34" i="3"/>
  <c r="E33" i="3"/>
  <c r="F33" i="3"/>
  <c r="E32" i="3"/>
  <c r="F32" i="3"/>
  <c r="E31" i="3"/>
  <c r="F31" i="3"/>
  <c r="E30" i="3"/>
  <c r="F30" i="3"/>
  <c r="E29" i="3"/>
  <c r="F29" i="3"/>
  <c r="E28" i="3"/>
  <c r="F28" i="3"/>
  <c r="E27" i="3"/>
  <c r="F27" i="3"/>
  <c r="D25" i="3"/>
  <c r="C25" i="3"/>
  <c r="E25" i="3"/>
  <c r="E24" i="3"/>
  <c r="F24" i="3"/>
  <c r="F23" i="3"/>
  <c r="E23" i="3"/>
  <c r="E22" i="3"/>
  <c r="F22" i="3"/>
  <c r="E21" i="3"/>
  <c r="F21" i="3"/>
  <c r="E20" i="3"/>
  <c r="F20" i="3"/>
  <c r="E19" i="3"/>
  <c r="F19" i="3"/>
  <c r="E18" i="3"/>
  <c r="F18" i="3"/>
  <c r="E17" i="3"/>
  <c r="F17" i="3"/>
  <c r="E16" i="3"/>
  <c r="F16" i="3"/>
  <c r="E15" i="3"/>
  <c r="F15" i="3"/>
  <c r="E14" i="3"/>
  <c r="F14" i="3"/>
  <c r="E49" i="2"/>
  <c r="F49" i="2"/>
  <c r="D46" i="2"/>
  <c r="C46" i="2"/>
  <c r="E46" i="2"/>
  <c r="F45" i="2"/>
  <c r="E45" i="2"/>
  <c r="F44" i="2"/>
  <c r="E44" i="2"/>
  <c r="D39" i="2"/>
  <c r="C39" i="2"/>
  <c r="E39" i="2"/>
  <c r="E38" i="2"/>
  <c r="F38" i="2"/>
  <c r="F37" i="2"/>
  <c r="E37" i="2"/>
  <c r="E36" i="2"/>
  <c r="F36" i="2"/>
  <c r="D31" i="2"/>
  <c r="E31" i="2"/>
  <c r="F31" i="2"/>
  <c r="C31" i="2"/>
  <c r="E30" i="2"/>
  <c r="F30" i="2"/>
  <c r="E29" i="2"/>
  <c r="F29" i="2"/>
  <c r="E28" i="2"/>
  <c r="F28" i="2"/>
  <c r="E27" i="2"/>
  <c r="F27" i="2"/>
  <c r="E26" i="2"/>
  <c r="F26" i="2"/>
  <c r="E25" i="2"/>
  <c r="F25" i="2"/>
  <c r="E24" i="2"/>
  <c r="F24" i="2"/>
  <c r="E23" i="2"/>
  <c r="F23" i="2"/>
  <c r="E22" i="2"/>
  <c r="F22" i="2"/>
  <c r="F18" i="2"/>
  <c r="E18" i="2"/>
  <c r="E17" i="2"/>
  <c r="F17" i="2"/>
  <c r="D16" i="2"/>
  <c r="D19" i="2"/>
  <c r="C16" i="2"/>
  <c r="E16" i="2"/>
  <c r="F15" i="2"/>
  <c r="E15" i="2"/>
  <c r="E14" i="2"/>
  <c r="F14" i="2"/>
  <c r="E13" i="2"/>
  <c r="F13" i="2"/>
  <c r="E12" i="2"/>
  <c r="F12" i="2"/>
  <c r="D73" i="1"/>
  <c r="C73" i="1"/>
  <c r="E73" i="1"/>
  <c r="F73" i="1"/>
  <c r="E72" i="1"/>
  <c r="F72" i="1"/>
  <c r="E71" i="1"/>
  <c r="F71" i="1"/>
  <c r="E70" i="1"/>
  <c r="F70" i="1"/>
  <c r="F67" i="1"/>
  <c r="E67" i="1"/>
  <c r="E64" i="1"/>
  <c r="F64" i="1"/>
  <c r="F63" i="1"/>
  <c r="E63" i="1"/>
  <c r="D61" i="1"/>
  <c r="D65" i="1"/>
  <c r="E65" i="1"/>
  <c r="F65" i="1"/>
  <c r="C61" i="1"/>
  <c r="E60" i="1"/>
  <c r="F60" i="1"/>
  <c r="F59" i="1"/>
  <c r="E59" i="1"/>
  <c r="D56" i="1"/>
  <c r="D75" i="1"/>
  <c r="E75" i="1"/>
  <c r="F75" i="1"/>
  <c r="C56" i="1"/>
  <c r="E55" i="1"/>
  <c r="F55" i="1"/>
  <c r="F54" i="1"/>
  <c r="E54" i="1"/>
  <c r="E53" i="1"/>
  <c r="F53" i="1"/>
  <c r="F52" i="1"/>
  <c r="E52" i="1"/>
  <c r="E51" i="1"/>
  <c r="F51" i="1"/>
  <c r="F50" i="1"/>
  <c r="E50" i="1"/>
  <c r="A50" i="1"/>
  <c r="A51" i="1"/>
  <c r="A52" i="1"/>
  <c r="A53" i="1"/>
  <c r="A54" i="1"/>
  <c r="A55" i="1"/>
  <c r="E49" i="1"/>
  <c r="F49" i="1"/>
  <c r="C41" i="1"/>
  <c r="E40" i="1"/>
  <c r="F40" i="1"/>
  <c r="D38" i="1"/>
  <c r="E38" i="1"/>
  <c r="F38" i="1"/>
  <c r="C38" i="1"/>
  <c r="E37" i="1"/>
  <c r="F37" i="1"/>
  <c r="E36" i="1"/>
  <c r="F36" i="1"/>
  <c r="E33" i="1"/>
  <c r="F33" i="1"/>
  <c r="F32" i="1"/>
  <c r="E32" i="1"/>
  <c r="F31" i="1"/>
  <c r="E31" i="1"/>
  <c r="D29" i="1"/>
  <c r="C29" i="1"/>
  <c r="E29" i="1"/>
  <c r="F29" i="1"/>
  <c r="E28" i="1"/>
  <c r="F28" i="1"/>
  <c r="F27" i="1"/>
  <c r="E27" i="1"/>
  <c r="F26" i="1"/>
  <c r="E26" i="1"/>
  <c r="F25" i="1"/>
  <c r="E25" i="1"/>
  <c r="D22" i="1"/>
  <c r="C22" i="1"/>
  <c r="F21" i="1"/>
  <c r="E21" i="1"/>
  <c r="E20" i="1"/>
  <c r="F20" i="1"/>
  <c r="E19" i="1"/>
  <c r="F19" i="1"/>
  <c r="F18" i="1"/>
  <c r="E18" i="1"/>
  <c r="E17" i="1"/>
  <c r="F17" i="1"/>
  <c r="E16" i="1"/>
  <c r="F16" i="1"/>
  <c r="E15" i="1"/>
  <c r="F15" i="1"/>
  <c r="F14" i="1"/>
  <c r="E14" i="1"/>
  <c r="E13" i="1"/>
  <c r="F13" i="1"/>
  <c r="F44" i="14"/>
  <c r="F67" i="14"/>
  <c r="F223" i="14"/>
  <c r="F238" i="14"/>
  <c r="D270" i="14"/>
  <c r="D261" i="14"/>
  <c r="D285" i="14"/>
  <c r="D215" i="14"/>
  <c r="D255" i="14"/>
  <c r="E255" i="14"/>
  <c r="F255" i="14"/>
  <c r="D286" i="14"/>
  <c r="D111" i="14"/>
  <c r="D205" i="14"/>
  <c r="D277" i="14"/>
  <c r="D284" i="14"/>
  <c r="E172" i="14"/>
  <c r="C139" i="5"/>
  <c r="C135" i="5"/>
  <c r="C137" i="5"/>
  <c r="C140" i="5"/>
  <c r="C138" i="5"/>
  <c r="C136" i="5"/>
  <c r="D33" i="2"/>
  <c r="E154" i="5"/>
  <c r="E156" i="5"/>
  <c r="E152" i="5"/>
  <c r="E157" i="5"/>
  <c r="E155" i="5"/>
  <c r="E153" i="5"/>
  <c r="C156" i="5"/>
  <c r="C152" i="5"/>
  <c r="C154" i="5"/>
  <c r="C155" i="5"/>
  <c r="C153" i="5"/>
  <c r="C157" i="5"/>
  <c r="E21" i="5"/>
  <c r="C24" i="5"/>
  <c r="C17" i="5"/>
  <c r="D88" i="5"/>
  <c r="D90" i="5"/>
  <c r="D86" i="5"/>
  <c r="D77" i="5"/>
  <c r="D71" i="5"/>
  <c r="E137" i="5"/>
  <c r="E139" i="5"/>
  <c r="E135" i="5"/>
  <c r="D157" i="5"/>
  <c r="D153" i="5"/>
  <c r="D155" i="5"/>
  <c r="E43" i="5"/>
  <c r="E53" i="5"/>
  <c r="D24" i="10"/>
  <c r="D17" i="10"/>
  <c r="D28" i="10"/>
  <c r="D70" i="10"/>
  <c r="D72" i="10"/>
  <c r="D69" i="10"/>
  <c r="H33" i="11"/>
  <c r="H36" i="11"/>
  <c r="H38" i="11"/>
  <c r="H40" i="11"/>
  <c r="F36" i="11"/>
  <c r="F38" i="11"/>
  <c r="F40" i="11"/>
  <c r="C95" i="3"/>
  <c r="F16" i="2"/>
  <c r="F39" i="2"/>
  <c r="F46" i="2"/>
  <c r="F25" i="3"/>
  <c r="F68" i="3"/>
  <c r="E85" i="3"/>
  <c r="F85" i="3"/>
  <c r="E89" i="3"/>
  <c r="F89" i="3"/>
  <c r="E93" i="3"/>
  <c r="E153" i="3"/>
  <c r="F153" i="3"/>
  <c r="C95" i="4"/>
  <c r="D188" i="4"/>
  <c r="C20" i="5"/>
  <c r="E49" i="5"/>
  <c r="E138" i="5"/>
  <c r="D156" i="5"/>
  <c r="D208" i="6"/>
  <c r="D33" i="9"/>
  <c r="E19" i="9"/>
  <c r="D25" i="5"/>
  <c r="D27" i="5"/>
  <c r="D15" i="5"/>
  <c r="E24" i="5"/>
  <c r="E20" i="5"/>
  <c r="E17" i="5"/>
  <c r="C53" i="5"/>
  <c r="C43" i="5"/>
  <c r="F19" i="9"/>
  <c r="C33" i="9"/>
  <c r="C43" i="1"/>
  <c r="C65" i="1"/>
  <c r="C75" i="1"/>
  <c r="C19" i="2"/>
  <c r="C52" i="3"/>
  <c r="C71" i="5"/>
  <c r="E140" i="5"/>
  <c r="E87" i="3"/>
  <c r="F87" i="3"/>
  <c r="E91" i="3"/>
  <c r="F91" i="3"/>
  <c r="E24" i="4"/>
  <c r="F24" i="4"/>
  <c r="F41" i="4"/>
  <c r="D95" i="4"/>
  <c r="E95" i="4"/>
  <c r="C49" i="5"/>
  <c r="C57" i="5"/>
  <c r="C62" i="5"/>
  <c r="D149" i="5"/>
  <c r="D152" i="5"/>
  <c r="D158" i="5"/>
  <c r="D207" i="6"/>
  <c r="E207" i="6"/>
  <c r="F207" i="6"/>
  <c r="F65" i="8"/>
  <c r="E20" i="10"/>
  <c r="E21" i="10"/>
  <c r="D121" i="7"/>
  <c r="E121" i="7"/>
  <c r="F121" i="7"/>
  <c r="D75" i="8"/>
  <c r="E75" i="8"/>
  <c r="F75" i="8"/>
  <c r="C215" i="14"/>
  <c r="F189" i="14"/>
  <c r="C267" i="14"/>
  <c r="C283" i="14"/>
  <c r="C205" i="14"/>
  <c r="F203" i="14"/>
  <c r="D55" i="15"/>
  <c r="D284" i="15"/>
  <c r="E284" i="15"/>
  <c r="E54" i="15"/>
  <c r="D320" i="15"/>
  <c r="E320" i="15"/>
  <c r="E316" i="15"/>
  <c r="D330" i="15"/>
  <c r="E330" i="15"/>
  <c r="E326" i="15"/>
  <c r="C41" i="17"/>
  <c r="D109" i="19"/>
  <c r="D108" i="19"/>
  <c r="D90" i="14"/>
  <c r="D160" i="14"/>
  <c r="D279" i="14"/>
  <c r="E278" i="14"/>
  <c r="D288" i="14"/>
  <c r="E22" i="8"/>
  <c r="F22" i="8"/>
  <c r="E56" i="8"/>
  <c r="F56" i="8"/>
  <c r="E61" i="8"/>
  <c r="F61" i="8"/>
  <c r="E16" i="9"/>
  <c r="F16" i="9"/>
  <c r="D25" i="10"/>
  <c r="D27" i="10"/>
  <c r="D48" i="10"/>
  <c r="D42" i="10"/>
  <c r="F31" i="11"/>
  <c r="H31" i="11"/>
  <c r="C21" i="14"/>
  <c r="E29" i="14"/>
  <c r="F29" i="14"/>
  <c r="C32" i="14"/>
  <c r="E47" i="14"/>
  <c r="F47" i="14"/>
  <c r="E58" i="14"/>
  <c r="F58" i="14"/>
  <c r="F94" i="14"/>
  <c r="F135" i="14"/>
  <c r="F158" i="14"/>
  <c r="F165" i="14"/>
  <c r="E171" i="14"/>
  <c r="C173" i="14"/>
  <c r="C192" i="14"/>
  <c r="E199" i="14"/>
  <c r="F199" i="14"/>
  <c r="C214" i="14"/>
  <c r="F237" i="14"/>
  <c r="C255" i="14"/>
  <c r="C274" i="14"/>
  <c r="F278" i="14"/>
  <c r="C294" i="15"/>
  <c r="C44" i="15"/>
  <c r="F40" i="17"/>
  <c r="E103" i="19"/>
  <c r="E173" i="14"/>
  <c r="D268" i="14"/>
  <c r="C168" i="15"/>
  <c r="C145" i="15"/>
  <c r="E156" i="15"/>
  <c r="D157" i="15"/>
  <c r="E157" i="15"/>
  <c r="C108" i="19"/>
  <c r="C109" i="19"/>
  <c r="D175" i="14"/>
  <c r="D62" i="14"/>
  <c r="D105" i="14"/>
  <c r="D254" i="14"/>
  <c r="E214" i="14"/>
  <c r="D216" i="14"/>
  <c r="D41" i="8"/>
  <c r="E41" i="8"/>
  <c r="F41" i="8"/>
  <c r="H17" i="11"/>
  <c r="F23" i="14"/>
  <c r="F31" i="14"/>
  <c r="C304" i="14"/>
  <c r="F52" i="14"/>
  <c r="F66" i="14"/>
  <c r="C68" i="14"/>
  <c r="F109" i="14"/>
  <c r="C111" i="14"/>
  <c r="C137" i="14"/>
  <c r="F172" i="14"/>
  <c r="F180" i="14"/>
  <c r="C239" i="14"/>
  <c r="E163" i="15"/>
  <c r="C277" i="14"/>
  <c r="C261" i="14"/>
  <c r="C254" i="14"/>
  <c r="E188" i="14"/>
  <c r="F188" i="14"/>
  <c r="C285" i="14"/>
  <c r="C288" i="14"/>
  <c r="C269" i="14"/>
  <c r="D43" i="15"/>
  <c r="D44" i="15"/>
  <c r="E38" i="15"/>
  <c r="D71" i="15"/>
  <c r="D65" i="15"/>
  <c r="D289" i="15"/>
  <c r="E289" i="15"/>
  <c r="E60" i="15"/>
  <c r="D144" i="15"/>
  <c r="D175" i="15"/>
  <c r="E175" i="15"/>
  <c r="E139" i="15"/>
  <c r="E17" i="10"/>
  <c r="E28" i="10"/>
  <c r="D31" i="11"/>
  <c r="E20" i="14"/>
  <c r="F20" i="14"/>
  <c r="C48" i="14"/>
  <c r="E76" i="14"/>
  <c r="F76" i="14"/>
  <c r="C102" i="14"/>
  <c r="F179" i="14"/>
  <c r="C190" i="14"/>
  <c r="C193" i="14"/>
  <c r="C266" i="14"/>
  <c r="E198" i="14"/>
  <c r="F198" i="14"/>
  <c r="C200" i="14"/>
  <c r="F229" i="14"/>
  <c r="C262" i="14"/>
  <c r="F295" i="14"/>
  <c r="F299" i="14"/>
  <c r="D283" i="15"/>
  <c r="C295" i="15"/>
  <c r="E151" i="15"/>
  <c r="E243" i="15"/>
  <c r="E20" i="17"/>
  <c r="E226" i="14"/>
  <c r="F226" i="14"/>
  <c r="C227" i="14"/>
  <c r="C283" i="15"/>
  <c r="C22" i="15"/>
  <c r="C284" i="15"/>
  <c r="D33" i="15"/>
  <c r="D294" i="15"/>
  <c r="E294" i="15"/>
  <c r="E32" i="15"/>
  <c r="D41" i="17"/>
  <c r="E39" i="17"/>
  <c r="E41" i="17"/>
  <c r="F41" i="17"/>
  <c r="E109" i="19"/>
  <c r="E108" i="19"/>
  <c r="D104" i="14"/>
  <c r="D174" i="14"/>
  <c r="D207" i="14"/>
  <c r="D138" i="14"/>
  <c r="D139" i="14"/>
  <c r="F35" i="14"/>
  <c r="C37" i="14"/>
  <c r="F85" i="14"/>
  <c r="F136" i="14"/>
  <c r="C159" i="14"/>
  <c r="F170" i="14"/>
  <c r="F171" i="14"/>
  <c r="C181" i="14"/>
  <c r="C290" i="14"/>
  <c r="F20" i="17"/>
  <c r="E192" i="14"/>
  <c r="E239" i="14"/>
  <c r="F250" i="14"/>
  <c r="E188" i="15"/>
  <c r="D210" i="15"/>
  <c r="D217" i="15"/>
  <c r="E218" i="15"/>
  <c r="E233" i="15"/>
  <c r="D239" i="15"/>
  <c r="C242" i="15"/>
  <c r="E242" i="15"/>
  <c r="E251" i="15"/>
  <c r="C260" i="15"/>
  <c r="D261" i="15"/>
  <c r="C22" i="16"/>
  <c r="E22" i="19"/>
  <c r="C33" i="19"/>
  <c r="D34" i="19"/>
  <c r="C53" i="19"/>
  <c r="D54" i="19"/>
  <c r="C101" i="19"/>
  <c r="C103" i="19"/>
  <c r="D102" i="19"/>
  <c r="D193" i="14"/>
  <c r="D266" i="14"/>
  <c r="D271" i="14"/>
  <c r="D306" i="14"/>
  <c r="E306" i="14"/>
  <c r="E215" i="15"/>
  <c r="D222" i="15"/>
  <c r="D229" i="15"/>
  <c r="E229" i="15"/>
  <c r="C239" i="15"/>
  <c r="D240" i="15"/>
  <c r="E240" i="15"/>
  <c r="D244" i="15"/>
  <c r="E244" i="15"/>
  <c r="E314" i="15"/>
  <c r="F33" i="17"/>
  <c r="D22" i="19"/>
  <c r="D45" i="19"/>
  <c r="E23" i="19"/>
  <c r="C34" i="19"/>
  <c r="C110" i="19"/>
  <c r="D111" i="19"/>
  <c r="D124" i="14"/>
  <c r="E124" i="14"/>
  <c r="F124" i="14"/>
  <c r="D200" i="14"/>
  <c r="E200" i="14"/>
  <c r="F200" i="14"/>
  <c r="D206" i="14"/>
  <c r="D262" i="14"/>
  <c r="D263" i="14"/>
  <c r="D274" i="14"/>
  <c r="E274" i="14"/>
  <c r="D280" i="14"/>
  <c r="E231" i="15"/>
  <c r="E260" i="15"/>
  <c r="E324" i="15"/>
  <c r="E19" i="17"/>
  <c r="F19" i="17"/>
  <c r="C29" i="19"/>
  <c r="D30" i="19"/>
  <c r="E33" i="19"/>
  <c r="C35" i="19"/>
  <c r="D36" i="19"/>
  <c r="C39" i="19"/>
  <c r="D40" i="19"/>
  <c r="D287" i="14"/>
  <c r="D289" i="14"/>
  <c r="E221" i="15"/>
  <c r="D21" i="14"/>
  <c r="D91" i="14"/>
  <c r="D190" i="14"/>
  <c r="E190" i="14"/>
  <c r="F190" i="14"/>
  <c r="D291" i="14"/>
  <c r="D53" i="19"/>
  <c r="D39" i="19"/>
  <c r="D29" i="19"/>
  <c r="D304" i="14"/>
  <c r="C112" i="19"/>
  <c r="C55" i="19"/>
  <c r="C47" i="19"/>
  <c r="C37" i="19"/>
  <c r="E54" i="19"/>
  <c r="E46" i="19"/>
  <c r="E40" i="19"/>
  <c r="E36" i="19"/>
  <c r="E30" i="19"/>
  <c r="E111" i="19"/>
  <c r="D234" i="15"/>
  <c r="D211" i="15"/>
  <c r="E181" i="14"/>
  <c r="F181" i="14"/>
  <c r="D208" i="14"/>
  <c r="C272" i="14"/>
  <c r="C194" i="14"/>
  <c r="C169" i="15"/>
  <c r="D22" i="10"/>
  <c r="D21" i="10"/>
  <c r="D20" i="10"/>
  <c r="E205" i="14"/>
  <c r="F205" i="14"/>
  <c r="E215" i="14"/>
  <c r="F215" i="14"/>
  <c r="D140" i="5"/>
  <c r="D136" i="5"/>
  <c r="D138" i="5"/>
  <c r="D137" i="5"/>
  <c r="D135" i="5"/>
  <c r="D139" i="5"/>
  <c r="C33" i="2"/>
  <c r="E33" i="2"/>
  <c r="F33" i="2"/>
  <c r="C41" i="9"/>
  <c r="E28" i="5"/>
  <c r="E112" i="5"/>
  <c r="E111" i="5"/>
  <c r="E33" i="9"/>
  <c r="F33" i="9"/>
  <c r="D41" i="9"/>
  <c r="D41" i="2"/>
  <c r="E239" i="15"/>
  <c r="E283" i="15"/>
  <c r="F192" i="14"/>
  <c r="D43" i="8"/>
  <c r="E43" i="8"/>
  <c r="F43" i="8"/>
  <c r="C158" i="5"/>
  <c r="D126" i="14"/>
  <c r="D49" i="14"/>
  <c r="E21" i="14"/>
  <c r="D194" i="14"/>
  <c r="D196" i="14"/>
  <c r="E193" i="14"/>
  <c r="F193" i="14"/>
  <c r="E217" i="15"/>
  <c r="D241" i="15"/>
  <c r="E241" i="15"/>
  <c r="E33" i="15"/>
  <c r="E102" i="14"/>
  <c r="F102" i="14"/>
  <c r="C103" i="14"/>
  <c r="D180" i="15"/>
  <c r="D168" i="15"/>
  <c r="E168" i="15"/>
  <c r="D145" i="15"/>
  <c r="E144" i="15"/>
  <c r="D76" i="15"/>
  <c r="F285" i="14"/>
  <c r="E285" i="14"/>
  <c r="C287" i="14"/>
  <c r="E287" i="14"/>
  <c r="C279" i="14"/>
  <c r="E277" i="14"/>
  <c r="F277" i="14"/>
  <c r="C284" i="14"/>
  <c r="D106" i="14"/>
  <c r="D176" i="14"/>
  <c r="C105" i="14"/>
  <c r="E105" i="14"/>
  <c r="F105" i="14"/>
  <c r="E32" i="14"/>
  <c r="F32" i="14"/>
  <c r="C175" i="14"/>
  <c r="E175" i="14"/>
  <c r="C28" i="5"/>
  <c r="C112" i="5"/>
  <c r="C111" i="5"/>
  <c r="D252" i="15"/>
  <c r="D282" i="14"/>
  <c r="C282" i="14"/>
  <c r="C141" i="5"/>
  <c r="D113" i="19"/>
  <c r="D56" i="19"/>
  <c r="D48" i="19"/>
  <c r="D38" i="19"/>
  <c r="E159" i="14"/>
  <c r="F159" i="14"/>
  <c r="D281" i="14"/>
  <c r="E280" i="14"/>
  <c r="F280" i="14"/>
  <c r="D246" i="15"/>
  <c r="E110" i="19"/>
  <c r="E53" i="19"/>
  <c r="E45" i="19"/>
  <c r="E39" i="19"/>
  <c r="E35" i="19"/>
  <c r="E29" i="19"/>
  <c r="E37" i="19"/>
  <c r="E37" i="14"/>
  <c r="F37" i="14"/>
  <c r="E227" i="14"/>
  <c r="F227" i="14"/>
  <c r="D66" i="15"/>
  <c r="E66" i="15"/>
  <c r="E65" i="15"/>
  <c r="E269" i="14"/>
  <c r="F269" i="14"/>
  <c r="C271" i="14"/>
  <c r="C273" i="14"/>
  <c r="C263" i="14"/>
  <c r="E263" i="14"/>
  <c r="E261" i="14"/>
  <c r="F261" i="14"/>
  <c r="C268" i="14"/>
  <c r="C138" i="14"/>
  <c r="E138" i="14"/>
  <c r="C207" i="14"/>
  <c r="E137" i="14"/>
  <c r="F137" i="14"/>
  <c r="E68" i="14"/>
  <c r="F68" i="14"/>
  <c r="E254" i="14"/>
  <c r="C258" i="15"/>
  <c r="C98" i="15"/>
  <c r="C87" i="15"/>
  <c r="C83" i="15"/>
  <c r="C100" i="15"/>
  <c r="C96" i="15"/>
  <c r="C102" i="15"/>
  <c r="C89" i="15"/>
  <c r="C85" i="15"/>
  <c r="C99" i="15"/>
  <c r="C88" i="15"/>
  <c r="C97" i="15"/>
  <c r="C86" i="15"/>
  <c r="C95" i="15"/>
  <c r="C84" i="15"/>
  <c r="C101" i="15"/>
  <c r="F214" i="14"/>
  <c r="C216" i="14"/>
  <c r="C270" i="14"/>
  <c r="E267" i="14"/>
  <c r="F267" i="14"/>
  <c r="D17" i="5"/>
  <c r="D24" i="5"/>
  <c r="D253" i="15"/>
  <c r="D300" i="14"/>
  <c r="E111" i="14"/>
  <c r="F111" i="14"/>
  <c r="F239" i="14"/>
  <c r="D140" i="14"/>
  <c r="F274" i="14"/>
  <c r="E288" i="14"/>
  <c r="F288" i="14"/>
  <c r="F39" i="17"/>
  <c r="E22" i="15"/>
  <c r="E141" i="5"/>
  <c r="D272" i="14"/>
  <c r="E272" i="14"/>
  <c r="E262" i="14"/>
  <c r="F262" i="14"/>
  <c r="C195" i="14"/>
  <c r="C125" i="14"/>
  <c r="C160" i="14"/>
  <c r="E160" i="14"/>
  <c r="F160" i="14"/>
  <c r="C90" i="14"/>
  <c r="E48" i="14"/>
  <c r="F48" i="14"/>
  <c r="D259" i="15"/>
  <c r="E43" i="15"/>
  <c r="F254" i="14"/>
  <c r="D63" i="14"/>
  <c r="C161" i="14"/>
  <c r="C162" i="14"/>
  <c r="C196" i="14"/>
  <c r="C91" i="14"/>
  <c r="C49" i="14"/>
  <c r="F21" i="14"/>
  <c r="C126" i="14"/>
  <c r="C286" i="14"/>
  <c r="F286" i="14"/>
  <c r="E283" i="14"/>
  <c r="F283" i="14"/>
  <c r="D223" i="15"/>
  <c r="F173" i="14"/>
  <c r="D125" i="14"/>
  <c r="E125" i="14"/>
  <c r="F125" i="14"/>
  <c r="F95" i="4"/>
  <c r="E158" i="5"/>
  <c r="E19" i="2"/>
  <c r="F19" i="2"/>
  <c r="E286" i="14"/>
  <c r="C127" i="14"/>
  <c r="D141" i="14"/>
  <c r="E47" i="19"/>
  <c r="E112" i="19"/>
  <c r="C92" i="14"/>
  <c r="D263" i="15"/>
  <c r="C106" i="14"/>
  <c r="E106" i="14"/>
  <c r="D127" i="14"/>
  <c r="E126" i="14"/>
  <c r="F126" i="14"/>
  <c r="D48" i="2"/>
  <c r="E99" i="5"/>
  <c r="E101" i="5"/>
  <c r="E98" i="5"/>
  <c r="E22" i="5"/>
  <c r="C41" i="2"/>
  <c r="D235" i="15"/>
  <c r="E48" i="19"/>
  <c r="E38" i="19"/>
  <c r="E113" i="19"/>
  <c r="E56" i="19"/>
  <c r="C103" i="15"/>
  <c r="E268" i="14"/>
  <c r="F268" i="14"/>
  <c r="D112" i="5"/>
  <c r="D111" i="5"/>
  <c r="D28" i="5"/>
  <c r="D181" i="15"/>
  <c r="E145" i="15"/>
  <c r="D169" i="15"/>
  <c r="E169" i="15"/>
  <c r="D209" i="14"/>
  <c r="D210" i="14"/>
  <c r="E304" i="14"/>
  <c r="F304" i="14"/>
  <c r="D47" i="19"/>
  <c r="D37" i="19"/>
  <c r="D112" i="19"/>
  <c r="D55" i="19"/>
  <c r="F263" i="14"/>
  <c r="C50" i="14"/>
  <c r="D247" i="15"/>
  <c r="C208" i="14"/>
  <c r="E208" i="14"/>
  <c r="C22" i="5"/>
  <c r="C99" i="5"/>
  <c r="C101" i="5"/>
  <c r="C98" i="5"/>
  <c r="C176" i="14"/>
  <c r="F175" i="14"/>
  <c r="E103" i="14"/>
  <c r="F103" i="14"/>
  <c r="E194" i="14"/>
  <c r="F194" i="14"/>
  <c r="D195" i="14"/>
  <c r="E195" i="14"/>
  <c r="F195" i="14"/>
  <c r="D50" i="14"/>
  <c r="E49" i="14"/>
  <c r="F49" i="14"/>
  <c r="F41" i="9"/>
  <c r="C48" i="9"/>
  <c r="D305" i="14"/>
  <c r="C90" i="15"/>
  <c r="C91" i="15"/>
  <c r="C105" i="15"/>
  <c r="F138" i="14"/>
  <c r="E282" i="14"/>
  <c r="F282" i="14"/>
  <c r="C140" i="14"/>
  <c r="E140" i="14"/>
  <c r="E176" i="14"/>
  <c r="D295" i="15"/>
  <c r="E295" i="15"/>
  <c r="E279" i="14"/>
  <c r="F279" i="14"/>
  <c r="D141" i="5"/>
  <c r="E207" i="14"/>
  <c r="F207" i="14"/>
  <c r="D273" i="14"/>
  <c r="E273" i="14"/>
  <c r="E270" i="14"/>
  <c r="F270" i="14"/>
  <c r="C281" i="14"/>
  <c r="E284" i="14"/>
  <c r="F284" i="14"/>
  <c r="C289" i="14"/>
  <c r="F287" i="14"/>
  <c r="C291" i="14"/>
  <c r="D77" i="15"/>
  <c r="D197" i="14"/>
  <c r="E196" i="14"/>
  <c r="F196" i="14"/>
  <c r="D48" i="9"/>
  <c r="E48" i="9"/>
  <c r="E41" i="9"/>
  <c r="E90" i="14"/>
  <c r="F90" i="14"/>
  <c r="E216" i="14"/>
  <c r="F216" i="14"/>
  <c r="F272" i="14"/>
  <c r="E271" i="14"/>
  <c r="F271" i="14"/>
  <c r="E289" i="14"/>
  <c r="C305" i="14"/>
  <c r="C141" i="14"/>
  <c r="E141" i="14"/>
  <c r="C183" i="14"/>
  <c r="D322" i="14"/>
  <c r="E291" i="14"/>
  <c r="F291" i="14"/>
  <c r="E48" i="2"/>
  <c r="C48" i="2"/>
  <c r="F176" i="14"/>
  <c r="E41" i="2"/>
  <c r="F41" i="2"/>
  <c r="F140" i="14"/>
  <c r="D126" i="15"/>
  <c r="D122" i="15"/>
  <c r="D115" i="15"/>
  <c r="D111" i="15"/>
  <c r="D124" i="15"/>
  <c r="D113" i="15"/>
  <c r="D109" i="15"/>
  <c r="D127" i="15"/>
  <c r="D125" i="15"/>
  <c r="D114" i="15"/>
  <c r="D123" i="15"/>
  <c r="D112" i="15"/>
  <c r="D121" i="15"/>
  <c r="D110" i="15"/>
  <c r="F208" i="14"/>
  <c r="C210" i="14"/>
  <c r="D211" i="14"/>
  <c r="E210" i="14"/>
  <c r="D99" i="5"/>
  <c r="D101" i="5"/>
  <c r="D98" i="5"/>
  <c r="D22" i="5"/>
  <c r="D148" i="14"/>
  <c r="E127" i="14"/>
  <c r="C148" i="14"/>
  <c r="C197" i="14"/>
  <c r="E197" i="14"/>
  <c r="F197" i="14"/>
  <c r="F127" i="14"/>
  <c r="F289" i="14"/>
  <c r="E281" i="14"/>
  <c r="F281" i="14"/>
  <c r="F48" i="9"/>
  <c r="D309" i="14"/>
  <c r="E305" i="14"/>
  <c r="D70" i="14"/>
  <c r="E50" i="14"/>
  <c r="F50" i="14"/>
  <c r="C324" i="14"/>
  <c r="C113" i="14"/>
  <c r="F106" i="14"/>
  <c r="D116" i="15"/>
  <c r="C322" i="14"/>
  <c r="C211" i="14"/>
  <c r="E211" i="14"/>
  <c r="F211" i="14"/>
  <c r="F141" i="14"/>
  <c r="E148" i="14"/>
  <c r="F148" i="14"/>
  <c r="F210" i="14"/>
  <c r="F48" i="2"/>
  <c r="D128" i="15"/>
  <c r="D310" i="14"/>
  <c r="C309" i="14"/>
  <c r="C310" i="14"/>
  <c r="F305" i="14"/>
  <c r="D312" i="14"/>
  <c r="D313" i="14"/>
  <c r="E309" i="14"/>
  <c r="D129" i="15"/>
  <c r="E322" i="14"/>
  <c r="F322" i="14"/>
  <c r="C312" i="14"/>
  <c r="E310" i="14"/>
  <c r="F310" i="14"/>
  <c r="D314" i="14"/>
  <c r="D251" i="14"/>
  <c r="D256" i="14"/>
  <c r="D315" i="14"/>
  <c r="C323" i="14"/>
  <c r="F273" i="14"/>
  <c r="E91" i="14"/>
  <c r="F91" i="14"/>
  <c r="D92" i="14"/>
  <c r="E70" i="10"/>
  <c r="E72" i="10"/>
  <c r="E69" i="10"/>
  <c r="E22" i="10"/>
  <c r="D20" i="5"/>
  <c r="D21" i="5"/>
  <c r="D117" i="15"/>
  <c r="F309" i="14"/>
  <c r="C325" i="14"/>
  <c r="E266" i="14"/>
  <c r="D265" i="14"/>
  <c r="F266" i="14"/>
  <c r="D95" i="15"/>
  <c r="D84" i="15"/>
  <c r="D258" i="15"/>
  <c r="D97" i="15"/>
  <c r="E97" i="15"/>
  <c r="D96" i="15"/>
  <c r="D83" i="15"/>
  <c r="D89" i="15"/>
  <c r="E89" i="15"/>
  <c r="D87" i="15"/>
  <c r="E87" i="15"/>
  <c r="D99" i="15"/>
  <c r="E99" i="15"/>
  <c r="D88" i="15"/>
  <c r="E88" i="15"/>
  <c r="E44" i="15"/>
  <c r="D101" i="15"/>
  <c r="E101" i="15"/>
  <c r="D86" i="15"/>
  <c r="E86" i="15"/>
  <c r="D85" i="15"/>
  <c r="E85" i="15"/>
  <c r="D100" i="15"/>
  <c r="E100" i="15"/>
  <c r="D98" i="15"/>
  <c r="E98" i="15"/>
  <c r="F90" i="4"/>
  <c r="E38" i="3"/>
  <c r="F38" i="3"/>
  <c r="E81" i="3"/>
  <c r="F81" i="3"/>
  <c r="E86" i="3"/>
  <c r="F86" i="3"/>
  <c r="E90" i="3"/>
  <c r="F90" i="3"/>
  <c r="C188" i="4"/>
  <c r="F202" i="6"/>
  <c r="F204" i="6"/>
  <c r="F206" i="6"/>
  <c r="F60" i="7"/>
  <c r="F108" i="7"/>
  <c r="C21" i="10"/>
  <c r="D254" i="15"/>
  <c r="E55" i="19"/>
  <c r="D161" i="14"/>
  <c r="D110" i="19"/>
  <c r="D35" i="19"/>
  <c r="E55" i="15"/>
  <c r="E22" i="1"/>
  <c r="F22" i="1"/>
  <c r="D41" i="1"/>
  <c r="E41" i="1"/>
  <c r="F41" i="1"/>
  <c r="E56" i="1"/>
  <c r="F56" i="1"/>
  <c r="E61" i="1"/>
  <c r="F61" i="1"/>
  <c r="D52" i="3"/>
  <c r="E52" i="3"/>
  <c r="F52" i="3"/>
  <c r="D95" i="3"/>
  <c r="E95" i="3"/>
  <c r="F95" i="3"/>
  <c r="E121" i="4"/>
  <c r="F121" i="4"/>
  <c r="E130" i="4"/>
  <c r="F130" i="4"/>
  <c r="F49" i="6"/>
  <c r="F75" i="6"/>
  <c r="F153" i="6"/>
  <c r="E77" i="5"/>
  <c r="E71" i="5"/>
  <c r="C88" i="5"/>
  <c r="C90" i="5"/>
  <c r="C86" i="5"/>
  <c r="E24" i="6"/>
  <c r="F24" i="6"/>
  <c r="E50" i="6"/>
  <c r="F50" i="6"/>
  <c r="E63" i="6"/>
  <c r="F63" i="6"/>
  <c r="E76" i="6"/>
  <c r="F76" i="6"/>
  <c r="E128" i="6"/>
  <c r="F128" i="6"/>
  <c r="E154" i="6"/>
  <c r="F154" i="6"/>
  <c r="E193" i="6"/>
  <c r="F193" i="6"/>
  <c r="E199" i="6"/>
  <c r="F199" i="6"/>
  <c r="E201" i="6"/>
  <c r="F201" i="6"/>
  <c r="E203" i="6"/>
  <c r="F203" i="6"/>
  <c r="E205" i="6"/>
  <c r="F205" i="6"/>
  <c r="E35" i="7"/>
  <c r="F35" i="7"/>
  <c r="E59" i="7"/>
  <c r="F59" i="7"/>
  <c r="E95" i="7"/>
  <c r="F95" i="7"/>
  <c r="E107" i="7"/>
  <c r="F107" i="7"/>
  <c r="E114" i="7"/>
  <c r="F114" i="7"/>
  <c r="E116" i="7"/>
  <c r="F116" i="7"/>
  <c r="E118" i="7"/>
  <c r="F118" i="7"/>
  <c r="E120" i="7"/>
  <c r="F120" i="7"/>
  <c r="D122" i="7"/>
  <c r="E29" i="8"/>
  <c r="F29" i="8"/>
  <c r="C15" i="10"/>
  <c r="C42" i="10"/>
  <c r="G31" i="11"/>
  <c r="I31" i="11"/>
  <c r="I17" i="11"/>
  <c r="F36" i="14"/>
  <c r="F120" i="14"/>
  <c r="C146" i="14"/>
  <c r="F145" i="14"/>
  <c r="F155" i="14"/>
  <c r="C206" i="14"/>
  <c r="F204" i="14"/>
  <c r="F307" i="14"/>
  <c r="E37" i="15"/>
  <c r="E40" i="15"/>
  <c r="E42" i="15"/>
  <c r="E77" i="14"/>
  <c r="D43" i="5"/>
  <c r="C208" i="6"/>
  <c r="C122" i="7"/>
  <c r="E73" i="8"/>
  <c r="F73" i="8"/>
  <c r="F31" i="9"/>
  <c r="F39" i="9"/>
  <c r="E46" i="9"/>
  <c r="E48" i="10"/>
  <c r="E42" i="10"/>
  <c r="I33" i="11"/>
  <c r="I36" i="11"/>
  <c r="I38" i="11"/>
  <c r="I40" i="11"/>
  <c r="E24" i="14"/>
  <c r="F24" i="14"/>
  <c r="F59" i="14"/>
  <c r="C60" i="14"/>
  <c r="F95" i="14"/>
  <c r="F297" i="14"/>
  <c r="F311" i="14"/>
  <c r="E311" i="14"/>
  <c r="C253" i="15"/>
  <c r="E253" i="15"/>
  <c r="E89" i="14"/>
  <c r="F89" i="14"/>
  <c r="E146" i="14"/>
  <c r="E30" i="14"/>
  <c r="F30" i="14"/>
  <c r="E144" i="14"/>
  <c r="F144" i="14"/>
  <c r="F191" i="14"/>
  <c r="C264" i="14"/>
  <c r="C71" i="15"/>
  <c r="C189" i="15"/>
  <c r="E189" i="15"/>
  <c r="C261" i="15"/>
  <c r="E261" i="15"/>
  <c r="C252" i="15"/>
  <c r="F44" i="17"/>
  <c r="F45" i="17"/>
  <c r="C210" i="15"/>
  <c r="C222" i="15"/>
  <c r="C64" i="16"/>
  <c r="C65" i="16"/>
  <c r="C114" i="16"/>
  <c r="C116" i="16"/>
  <c r="C119" i="16"/>
  <c r="C123" i="16"/>
  <c r="E43" i="17"/>
  <c r="D101" i="19"/>
  <c r="D103" i="19"/>
  <c r="D302" i="15"/>
  <c r="F25" i="17"/>
  <c r="C23" i="19"/>
  <c r="D33" i="19"/>
  <c r="D290" i="14"/>
  <c r="E290" i="14"/>
  <c r="F290" i="14"/>
  <c r="C234" i="15"/>
  <c r="E234" i="15"/>
  <c r="E210" i="15"/>
  <c r="C180" i="15"/>
  <c r="E180" i="15"/>
  <c r="C211" i="15"/>
  <c r="E71" i="15"/>
  <c r="C76" i="15"/>
  <c r="E60" i="14"/>
  <c r="C61" i="14"/>
  <c r="F60" i="14"/>
  <c r="E122" i="7"/>
  <c r="F122" i="7"/>
  <c r="D162" i="14"/>
  <c r="E161" i="14"/>
  <c r="F161" i="14"/>
  <c r="E188" i="4"/>
  <c r="F188" i="4"/>
  <c r="D43" i="1"/>
  <c r="E43" i="1"/>
  <c r="F43" i="1"/>
  <c r="D102" i="15"/>
  <c r="E102" i="15"/>
  <c r="E96" i="15"/>
  <c r="D264" i="15"/>
  <c r="E258" i="15"/>
  <c r="D103" i="15"/>
  <c r="E103" i="15"/>
  <c r="E95" i="15"/>
  <c r="D131" i="15"/>
  <c r="E206" i="14"/>
  <c r="F206" i="14"/>
  <c r="D318" i="14"/>
  <c r="C313" i="14"/>
  <c r="E312" i="14"/>
  <c r="F312" i="14"/>
  <c r="C40" i="19"/>
  <c r="C30" i="19"/>
  <c r="C54" i="19"/>
  <c r="C46" i="19"/>
  <c r="C36" i="19"/>
  <c r="C111" i="19"/>
  <c r="E302" i="15"/>
  <c r="D303" i="15"/>
  <c r="E46" i="17"/>
  <c r="F46" i="17"/>
  <c r="F43" i="17"/>
  <c r="C223" i="15"/>
  <c r="C246" i="15"/>
  <c r="E246" i="15"/>
  <c r="E222" i="15"/>
  <c r="C254" i="15"/>
  <c r="E254" i="15"/>
  <c r="E252" i="15"/>
  <c r="C300" i="14"/>
  <c r="E264" i="14"/>
  <c r="C265" i="14"/>
  <c r="F264" i="14"/>
  <c r="F208" i="6"/>
  <c r="E208" i="6"/>
  <c r="F146" i="14"/>
  <c r="C24" i="10"/>
  <c r="C20" i="10"/>
  <c r="C17" i="10"/>
  <c r="C28" i="10"/>
  <c r="E83" i="15"/>
  <c r="E84" i="15"/>
  <c r="D90" i="15"/>
  <c r="E90" i="15"/>
  <c r="D113" i="14"/>
  <c r="E113" i="14"/>
  <c r="F113" i="14"/>
  <c r="D324" i="14"/>
  <c r="E92" i="14"/>
  <c r="F92" i="14"/>
  <c r="D257" i="14"/>
  <c r="E324" i="14"/>
  <c r="F324" i="14"/>
  <c r="D91" i="15"/>
  <c r="C70" i="10"/>
  <c r="C72" i="10"/>
  <c r="C69" i="10"/>
  <c r="C22" i="10"/>
  <c r="F300" i="14"/>
  <c r="E300" i="14"/>
  <c r="E303" i="15"/>
  <c r="D306" i="15"/>
  <c r="C48" i="19"/>
  <c r="C113" i="19"/>
  <c r="C56" i="19"/>
  <c r="C38" i="19"/>
  <c r="C251" i="14"/>
  <c r="C314" i="14"/>
  <c r="C256" i="14"/>
  <c r="C315" i="14"/>
  <c r="E313" i="14"/>
  <c r="F313" i="14"/>
  <c r="E265" i="14"/>
  <c r="F265" i="14"/>
  <c r="C174" i="14"/>
  <c r="C62" i="14"/>
  <c r="C139" i="14"/>
  <c r="C209" i="14"/>
  <c r="E61" i="14"/>
  <c r="F61" i="14"/>
  <c r="C104" i="14"/>
  <c r="C259" i="15"/>
  <c r="C77" i="15"/>
  <c r="E76" i="15"/>
  <c r="C235" i="15"/>
  <c r="E235" i="15"/>
  <c r="E211" i="15"/>
  <c r="C181" i="15"/>
  <c r="E181" i="15"/>
  <c r="C247" i="15"/>
  <c r="E247" i="15"/>
  <c r="E223" i="15"/>
  <c r="D266" i="15"/>
  <c r="D183" i="14"/>
  <c r="E183" i="14"/>
  <c r="F183" i="14"/>
  <c r="E162" i="14"/>
  <c r="F162" i="14"/>
  <c r="D323" i="14"/>
  <c r="E323" i="14"/>
  <c r="F323" i="14"/>
  <c r="D267" i="15"/>
  <c r="C125" i="15"/>
  <c r="E125" i="15"/>
  <c r="C114" i="15"/>
  <c r="E114" i="15"/>
  <c r="C127" i="15"/>
  <c r="E127" i="15"/>
  <c r="C112" i="15"/>
  <c r="E112" i="15"/>
  <c r="C111" i="15"/>
  <c r="E111" i="15"/>
  <c r="C126" i="15"/>
  <c r="E126" i="15"/>
  <c r="C124" i="15"/>
  <c r="E124" i="15"/>
  <c r="E77" i="15"/>
  <c r="C121" i="15"/>
  <c r="C110" i="15"/>
  <c r="C123" i="15"/>
  <c r="E123" i="15"/>
  <c r="C122" i="15"/>
  <c r="C109" i="15"/>
  <c r="C115" i="15"/>
  <c r="E115" i="15"/>
  <c r="C113" i="15"/>
  <c r="E113" i="15"/>
  <c r="E104" i="14"/>
  <c r="F104" i="14"/>
  <c r="E139" i="14"/>
  <c r="F139" i="14"/>
  <c r="E174" i="14"/>
  <c r="F174" i="14"/>
  <c r="C318" i="14"/>
  <c r="E314" i="14"/>
  <c r="F314" i="14"/>
  <c r="E306" i="15"/>
  <c r="D310" i="15"/>
  <c r="E310" i="15"/>
  <c r="D325" i="14"/>
  <c r="E325" i="14"/>
  <c r="F325" i="14"/>
  <c r="E259" i="15"/>
  <c r="C263" i="15"/>
  <c r="E209" i="14"/>
  <c r="F209" i="14"/>
  <c r="E62" i="14"/>
  <c r="F62" i="14"/>
  <c r="C63" i="14"/>
  <c r="F315" i="14"/>
  <c r="E315" i="14"/>
  <c r="C257" i="14"/>
  <c r="E256" i="14"/>
  <c r="F256" i="14"/>
  <c r="E251" i="14"/>
  <c r="F251" i="14"/>
  <c r="E91" i="15"/>
  <c r="D105" i="15"/>
  <c r="E105" i="15"/>
  <c r="F257" i="14"/>
  <c r="E257" i="14"/>
  <c r="E63" i="14"/>
  <c r="F63" i="14"/>
  <c r="C70" i="14"/>
  <c r="E318" i="14"/>
  <c r="F318" i="14"/>
  <c r="C128" i="15"/>
  <c r="E128" i="15"/>
  <c r="E122" i="15"/>
  <c r="C116" i="15"/>
  <c r="E116" i="15"/>
  <c r="E110" i="15"/>
  <c r="D269" i="15"/>
  <c r="D268" i="15"/>
  <c r="E263" i="15"/>
  <c r="C264" i="15"/>
  <c r="C117" i="15"/>
  <c r="E109" i="15"/>
  <c r="C129" i="15"/>
  <c r="E129" i="15"/>
  <c r="E121" i="15"/>
  <c r="C266" i="15"/>
  <c r="E264" i="15"/>
  <c r="C131" i="15"/>
  <c r="E131" i="15"/>
  <c r="E117" i="15"/>
  <c r="D271" i="15"/>
  <c r="E70" i="14"/>
  <c r="F70" i="14"/>
  <c r="C267" i="15"/>
  <c r="E266" i="15"/>
  <c r="C269" i="15"/>
  <c r="E269" i="15"/>
  <c r="C268" i="15"/>
  <c r="E267" i="15"/>
  <c r="C271" i="15"/>
  <c r="E271" i="15"/>
  <c r="E268" i="15"/>
</calcChain>
</file>

<file path=xl/sharedStrings.xml><?xml version="1.0" encoding="utf-8"?>
<sst xmlns="http://schemas.openxmlformats.org/spreadsheetml/2006/main" count="2320" uniqueCount="996">
  <si>
    <t>DANBURY HOSPITAL</t>
  </si>
  <si>
    <t>TWELVE MONTHS ACTUAL FILING</t>
  </si>
  <si>
    <t xml:space="preserve">      FISCAL YEAR 2012</t>
  </si>
  <si>
    <t>REPORT 100 - HOSPITAL BALANCE SHEET INFORMATION</t>
  </si>
  <si>
    <t xml:space="preserve">      FY 2011</t>
  </si>
  <si>
    <t xml:space="preserve">      FY 2012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</si>
  <si>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</si>
  <si>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</si>
  <si>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</si>
  <si>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</si>
  <si>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</si>
  <si>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</si>
  <si>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</si>
  <si>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</si>
  <si>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</si>
  <si>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</si>
  <si>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</si>
  <si>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</si>
  <si>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</si>
  <si>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</si>
  <si>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</si>
  <si>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</si>
  <si>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</si>
  <si>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</si>
  <si>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</si>
  <si>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</si>
  <si>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</si>
  <si>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</si>
  <si>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</si>
  <si>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</si>
  <si>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</si>
  <si>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</si>
  <si>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</si>
  <si>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</si>
  <si>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</si>
  <si>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</si>
  <si>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</si>
  <si>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</si>
  <si>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</si>
  <si>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</si>
  <si>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</si>
  <si>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</si>
  <si>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</si>
  <si>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</si>
  <si>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</si>
  <si>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</si>
  <si>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</si>
  <si>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</si>
  <si>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</si>
  <si>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</si>
  <si>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</si>
  <si>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</si>
  <si>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</si>
  <si>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</si>
  <si>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</si>
  <si>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</si>
  <si>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</si>
  <si>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</si>
  <si>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</si>
  <si>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</si>
  <si>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</si>
  <si>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</si>
  <si>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</si>
  <si>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</si>
  <si>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</si>
  <si>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</si>
  <si>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</si>
  <si>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</si>
  <si>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</si>
  <si>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</si>
  <si>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</si>
  <si>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</si>
  <si>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</si>
  <si>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</si>
  <si>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</si>
  <si>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</si>
  <si>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</si>
  <si>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</si>
  <si>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</si>
  <si>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</si>
  <si>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</si>
  <si>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</si>
  <si>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</si>
  <si>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</si>
  <si>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</si>
  <si>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</si>
  <si>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</si>
  <si>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</si>
  <si>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</si>
  <si>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</si>
  <si>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</si>
  <si>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</si>
  <si>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</si>
  <si>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</si>
  <si>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</si>
  <si>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</si>
  <si>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</si>
  <si>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</si>
  <si>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</si>
  <si>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</si>
  <si>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</si>
  <si>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</si>
  <si>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</si>
  <si>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</si>
  <si>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</si>
  <si>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2011                ACTUAL     </t>
  </si>
  <si>
    <t xml:space="preserve">      FY 2012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</si>
  <si>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</si>
  <si>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</si>
  <si>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</si>
  <si>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</si>
  <si>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</si>
  <si>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</si>
  <si>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</si>
  <si>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</si>
  <si>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</si>
  <si>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</si>
  <si>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</si>
  <si>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</si>
  <si>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</si>
  <si>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</si>
  <si>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</si>
  <si>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</si>
  <si>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</si>
  <si>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</si>
  <si>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</si>
  <si>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</si>
  <si>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</si>
  <si>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</si>
  <si>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</si>
  <si>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</si>
  <si>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</si>
  <si>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</si>
  <si>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</si>
  <si>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</si>
  <si>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</si>
  <si>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</si>
  <si>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</si>
  <si>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</si>
  <si>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</si>
  <si>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</si>
  <si>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</si>
  <si>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</si>
  <si>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</si>
  <si>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</si>
  <si>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</si>
  <si>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</si>
  <si>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</si>
  <si>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</si>
  <si>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</si>
  <si>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</si>
  <si>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</si>
  <si>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</si>
  <si>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</si>
  <si>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</si>
  <si>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</si>
  <si>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</si>
  <si>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</si>
  <si>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</si>
  <si>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</si>
  <si>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</si>
  <si>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</si>
  <si>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</si>
  <si>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</si>
  <si>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</si>
  <si>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</si>
  <si>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</si>
  <si>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</si>
  <si>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</si>
  <si>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</si>
  <si>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</si>
  <si>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</si>
  <si>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</si>
  <si>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</si>
  <si>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</si>
  <si>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</si>
  <si>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</si>
  <si>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</si>
  <si>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</si>
  <si>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</si>
  <si>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</si>
  <si>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</si>
  <si>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</si>
  <si>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</si>
  <si>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</si>
  <si>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</si>
  <si>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</si>
  <si>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</si>
  <si>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</si>
  <si>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</si>
  <si>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</si>
  <si>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</si>
  <si>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</si>
  <si>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</si>
  <si>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</si>
  <si>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</si>
  <si>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</si>
  <si>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</si>
  <si>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</si>
  <si>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</si>
  <si>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</si>
  <si>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</si>
  <si>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</si>
  <si>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</si>
  <si>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</si>
  <si>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</si>
  <si>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</si>
  <si>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</si>
  <si>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</si>
  <si>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</si>
  <si>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</si>
  <si>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</si>
  <si>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</si>
  <si>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</si>
  <si>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</si>
  <si>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</si>
  <si>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</si>
  <si>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</si>
  <si>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</si>
  <si>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</si>
  <si>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</si>
  <si>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</si>
  <si>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</si>
  <si>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</si>
  <si>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</si>
  <si>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</si>
  <si>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</si>
  <si>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</si>
  <si>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</si>
  <si>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</si>
  <si>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</si>
  <si>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</si>
  <si>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</si>
  <si>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</si>
  <si>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</si>
  <si>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</si>
  <si>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</si>
  <si>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</si>
  <si>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</si>
  <si>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</si>
  <si>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</si>
  <si>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</si>
  <si>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</si>
  <si>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</si>
  <si>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</si>
  <si>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</si>
  <si>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</si>
  <si>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</si>
  <si>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</si>
  <si>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</si>
  <si>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</si>
  <si>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</si>
  <si>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</si>
  <si>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</si>
  <si>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</si>
  <si>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</si>
  <si>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</si>
  <si>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</si>
  <si>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</si>
  <si>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</si>
  <si>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</si>
  <si>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</si>
  <si>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</si>
  <si>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</si>
  <si>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</si>
  <si>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</si>
  <si>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</si>
  <si>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</si>
  <si>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</si>
  <si>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</si>
  <si>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</si>
  <si>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</si>
  <si>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</si>
  <si>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</si>
  <si>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</si>
  <si>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</si>
  <si>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</si>
  <si>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</si>
  <si>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</si>
  <si>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</si>
  <si>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</si>
  <si>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</si>
  <si>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</si>
  <si>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</si>
  <si>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</si>
  <si>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</si>
  <si>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</si>
  <si>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</si>
  <si>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</si>
  <si>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</si>
  <si>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</si>
  <si>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</si>
  <si>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</si>
  <si>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</si>
  <si>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</si>
  <si>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</si>
  <si>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</si>
  <si>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</si>
  <si>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</si>
  <si>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</si>
  <si>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</si>
  <si>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</si>
  <si>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</si>
  <si>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</si>
  <si>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</si>
  <si>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</si>
  <si>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</si>
  <si>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</si>
  <si>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</si>
  <si>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</si>
  <si>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</si>
  <si>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</si>
  <si>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</si>
  <si>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</si>
  <si>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</si>
  <si>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</si>
  <si>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</si>
  <si>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</si>
  <si>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</si>
  <si>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2010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</si>
  <si>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</si>
  <si>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</si>
  <si>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</si>
  <si>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</si>
  <si>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</si>
  <si>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</si>
  <si>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</si>
  <si>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</si>
  <si>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</si>
  <si>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</si>
  <si>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</si>
  <si>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</si>
  <si>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</si>
  <si>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</si>
  <si>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</si>
  <si>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</si>
  <si>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</si>
  <si>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</si>
  <si>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</si>
  <si>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</si>
  <si>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</si>
  <si>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</si>
  <si>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</si>
  <si>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</si>
  <si>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</si>
  <si>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</si>
  <si>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</si>
  <si>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</si>
  <si>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</si>
  <si>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</si>
  <si>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</si>
  <si>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</si>
  <si>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</si>
  <si>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</si>
  <si>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</si>
  <si>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</si>
  <si>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</si>
  <si>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</si>
  <si>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</si>
  <si>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</si>
  <si>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</si>
  <si>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</si>
  <si>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</si>
  <si>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</si>
  <si>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</si>
  <si>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</si>
  <si>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</si>
  <si>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</si>
  <si>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</si>
  <si>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</si>
  <si>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</si>
  <si>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</si>
  <si>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</si>
  <si>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</si>
  <si>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</si>
  <si>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</si>
  <si>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</si>
  <si>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</si>
  <si>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</si>
  <si>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</si>
  <si>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</si>
  <si>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</si>
  <si>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</si>
  <si>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</si>
  <si>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</si>
  <si>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</si>
  <si>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</si>
  <si>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</si>
  <si>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</si>
  <si>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</si>
  <si>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</si>
  <si>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</si>
  <si>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</si>
  <si>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</si>
  <si>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</si>
  <si>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</si>
  <si>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</si>
  <si>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</si>
  <si>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</si>
  <si>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</si>
  <si>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</si>
  <si>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</si>
  <si>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</si>
  <si>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</si>
  <si>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</si>
  <si>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</si>
  <si>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</si>
  <si>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</si>
  <si>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</si>
  <si>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</si>
  <si>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</si>
  <si>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</si>
  <si>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</si>
  <si>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</si>
  <si>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</si>
  <si>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</si>
  <si>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</si>
  <si>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</si>
  <si>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</si>
  <si>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</si>
  <si>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</si>
  <si>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</si>
  <si>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</si>
  <si>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</si>
  <si>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</si>
  <si>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</si>
  <si>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</si>
  <si>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</si>
  <si>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</si>
  <si>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</si>
  <si>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</si>
  <si>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</si>
  <si>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</si>
  <si>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</si>
  <si>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</si>
  <si>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</si>
  <si>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</si>
  <si>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</si>
  <si>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</si>
  <si>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</si>
  <si>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</si>
  <si>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</si>
  <si>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2011 ACTUAL     </t>
  </si>
  <si>
    <t xml:space="preserve">      FY 2012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</si>
  <si>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</si>
  <si>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</si>
  <si>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</si>
  <si>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</si>
  <si>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</si>
  <si>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</si>
  <si>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</si>
  <si>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</si>
  <si>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</si>
  <si>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</si>
  <si>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</si>
  <si>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</si>
  <si>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</si>
  <si>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</si>
  <si>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</si>
  <si>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</si>
  <si>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</si>
  <si>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</si>
  <si>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</si>
  <si>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</si>
  <si>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</si>
  <si>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</si>
  <si>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</si>
  <si>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</si>
  <si>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</si>
  <si>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</si>
  <si>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</si>
  <si>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</si>
  <si>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</si>
  <si>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</si>
  <si>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</si>
  <si>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</si>
  <si>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</si>
  <si>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</si>
  <si>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</si>
  <si>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</si>
  <si>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</si>
  <si>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</si>
  <si>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</si>
  <si>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</si>
  <si>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</si>
  <si>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</si>
  <si>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</si>
  <si>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</si>
  <si>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</si>
  <si>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</si>
  <si>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</si>
  <si>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WESTERN CONNECTICUT HEALTH NETWORK , INC.(FORMERLY WESTERN CONNECTICUT HEALTHCARE,INC.)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</si>
  <si>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</si>
  <si>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</si>
  <si>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</si>
  <si>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</si>
  <si>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</si>
  <si>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</si>
  <si>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</si>
  <si>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</si>
  <si>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</si>
  <si>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</si>
  <si>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</si>
  <si>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</si>
  <si>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</si>
  <si>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</si>
  <si>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</si>
  <si>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</si>
  <si>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</si>
  <si>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</si>
  <si>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</si>
  <si>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</si>
  <si>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</si>
  <si>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</si>
  <si>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</si>
  <si>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</si>
  <si>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</si>
  <si>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</si>
  <si>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</si>
  <si>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</si>
  <si>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</si>
  <si>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</si>
  <si>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</si>
  <si>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</si>
  <si>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</si>
  <si>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</si>
  <si>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</si>
  <si>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</si>
  <si>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</si>
  <si>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</si>
  <si>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</si>
  <si>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</si>
  <si>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</si>
  <si>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</si>
  <si>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</si>
  <si>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</si>
  <si>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</si>
  <si>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</si>
  <si>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</si>
  <si>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</si>
  <si>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</si>
  <si>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</si>
  <si>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</si>
  <si>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</si>
  <si>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</si>
  <si>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</si>
  <si>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</si>
  <si>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</si>
  <si>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</si>
  <si>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</si>
  <si>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</si>
  <si>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</si>
  <si>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</si>
  <si>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</si>
  <si>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</si>
  <si>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</si>
  <si>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</si>
  <si>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</si>
  <si>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</si>
  <si>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</si>
  <si>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</si>
  <si>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</si>
  <si>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</si>
  <si>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</si>
  <si>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</si>
  <si>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</si>
  <si>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</si>
  <si>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</si>
  <si>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</si>
  <si>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</si>
  <si>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</si>
  <si>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</si>
  <si>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</si>
  <si>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</si>
  <si>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</si>
  <si>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</si>
  <si>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</si>
  <si>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</si>
  <si>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</si>
  <si>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</si>
  <si>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</si>
  <si>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</si>
  <si>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</si>
  <si>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</si>
  <si>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</si>
  <si>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</si>
  <si>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</si>
  <si>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</si>
  <si>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</si>
  <si>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</si>
  <si>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</si>
  <si>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</si>
  <si>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</si>
  <si>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</si>
  <si>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</si>
  <si>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</si>
  <si>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</si>
  <si>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</si>
  <si>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</si>
  <si>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</si>
  <si>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</si>
  <si>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</si>
  <si>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</si>
  <si>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</si>
  <si>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</si>
  <si>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</si>
  <si>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</si>
  <si>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</si>
  <si>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</si>
  <si>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</si>
  <si>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2012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</si>
  <si>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</si>
  <si>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</si>
  <si>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</si>
  <si>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</si>
  <si>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2011</t>
  </si>
  <si>
    <t xml:space="preserve">         FY 2012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</si>
  <si>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</si>
  <si>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</si>
  <si>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</si>
  <si>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</si>
  <si>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</si>
  <si>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</si>
  <si>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</si>
  <si>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</si>
  <si>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</si>
  <si>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</si>
  <si>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</si>
  <si>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</si>
  <si>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</si>
  <si>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</si>
  <si>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</si>
  <si>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</si>
  <si>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</si>
  <si>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</si>
  <si>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</si>
  <si>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</si>
  <si>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</si>
  <si>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</si>
  <si>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</si>
  <si>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</si>
  <si>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</si>
  <si>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</si>
  <si>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</si>
  <si>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</si>
  <si>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</si>
  <si>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</si>
  <si>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</si>
  <si>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</si>
  <si>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</si>
  <si>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</si>
  <si>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</si>
  <si>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</si>
  <si>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</si>
  <si>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</si>
  <si>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</si>
  <si>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</si>
  <si>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</si>
  <si>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</si>
  <si>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</si>
  <si>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</si>
  <si>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</si>
  <si>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</si>
  <si>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</si>
  <si>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</si>
  <si>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</si>
  <si>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</si>
  <si>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</si>
  <si>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</si>
  <si>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</si>
  <si>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</si>
  <si>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</si>
  <si>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</si>
  <si>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</si>
  <si>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</si>
  <si>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</si>
  <si>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</si>
  <si>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</si>
  <si>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</si>
  <si>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</si>
  <si>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</si>
  <si>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</si>
  <si>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</si>
  <si>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</si>
  <si>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</si>
  <si>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</si>
  <si>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</si>
  <si>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</si>
  <si>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</si>
  <si>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</si>
  <si>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</si>
  <si>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</si>
  <si>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</si>
  <si>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</si>
  <si>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</si>
  <si>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</si>
  <si>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</si>
  <si>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</si>
  <si>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</si>
  <si>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</si>
  <si>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</si>
  <si>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</si>
  <si>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</si>
  <si>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</si>
  <si>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</si>
  <si>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</si>
  <si>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</si>
  <si>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</si>
  <si>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</si>
  <si>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</si>
  <si>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</si>
  <si>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</si>
  <si>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</si>
  <si>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</si>
  <si>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</si>
  <si>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</si>
  <si>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</si>
  <si>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</si>
  <si>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</si>
  <si>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</si>
  <si>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</si>
  <si>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</si>
  <si>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</si>
  <si>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</si>
  <si>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</si>
  <si>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</si>
  <si>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</si>
  <si>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</si>
  <si>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</si>
  <si>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</si>
  <si>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</si>
  <si>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</si>
  <si>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</si>
  <si>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</si>
  <si>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</si>
  <si>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</si>
  <si>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</si>
  <si>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</si>
  <si>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</si>
  <si>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</si>
  <si>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</si>
  <si>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</si>
  <si>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</si>
  <si>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</si>
  <si>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</si>
  <si>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</si>
  <si>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</si>
  <si>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</si>
  <si>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</si>
  <si>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</si>
  <si>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</si>
  <si>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</si>
  <si>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</si>
  <si>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</si>
  <si>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</si>
  <si>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</si>
  <si>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</si>
  <si>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</si>
  <si>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</si>
  <si>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</si>
  <si>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2012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</si>
  <si>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</si>
  <si>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</si>
  <si>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</si>
  <si>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</si>
  <si>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</si>
  <si>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</si>
  <si>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</si>
  <si>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</si>
  <si>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</si>
  <si>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</si>
  <si>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</si>
  <si>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</si>
  <si>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</si>
  <si>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</si>
  <si>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</si>
  <si>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</si>
  <si>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</si>
  <si>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</si>
  <si>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</si>
  <si>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</si>
  <si>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</si>
  <si>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</si>
  <si>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</si>
  <si>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</si>
  <si>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</si>
  <si>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</si>
  <si>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</si>
  <si>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</si>
  <si>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</si>
  <si>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</si>
  <si>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</si>
  <si>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</si>
  <si>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</si>
  <si>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</si>
  <si>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</si>
  <si>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</si>
  <si>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</si>
  <si>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</si>
  <si>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</si>
  <si>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</si>
  <si>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</si>
  <si>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</si>
  <si>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</si>
  <si>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</si>
  <si>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</si>
  <si>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</si>
  <si>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</si>
  <si>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</si>
  <si>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</si>
  <si>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</si>
  <si>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</si>
  <si>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</si>
  <si>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</si>
  <si>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</si>
  <si>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</si>
  <si>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</si>
  <si>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</si>
  <si>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</si>
  <si>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</si>
  <si>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</si>
  <si>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</si>
  <si>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</si>
  <si>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</si>
  <si>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</si>
  <si>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</si>
  <si>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</si>
  <si>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</si>
  <si>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</si>
  <si>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</si>
  <si>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</si>
  <si>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</si>
  <si>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</si>
  <si>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</si>
  <si>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</si>
  <si>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</si>
  <si>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</si>
  <si>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</si>
  <si>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</si>
  <si>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</si>
  <si>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</si>
  <si>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</si>
  <si>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</si>
  <si>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</si>
  <si>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</si>
  <si>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</si>
  <si>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</si>
  <si>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</si>
  <si>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</si>
  <si>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</si>
  <si>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</si>
  <si>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</si>
  <si>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</si>
  <si>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</si>
  <si>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</si>
  <si>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</si>
  <si>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</si>
  <si>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</si>
  <si>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</si>
  <si>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2012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</si>
  <si>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</si>
  <si>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</si>
  <si>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</si>
  <si>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</si>
  <si>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</si>
  <si>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</si>
  <si>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</si>
  <si>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</si>
  <si>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</si>
  <si>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</si>
  <si>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</si>
  <si>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</si>
  <si>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</si>
  <si>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</si>
  <si>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</si>
  <si>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</si>
  <si>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</si>
  <si>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</si>
  <si>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</si>
  <si>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</si>
  <si>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</si>
  <si>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</si>
  <si>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</si>
  <si>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</si>
  <si>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</si>
  <si>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</si>
  <si>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</si>
  <si>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</si>
  <si>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</si>
  <si>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</si>
  <si>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</si>
  <si>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</si>
  <si>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</si>
  <si>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</si>
  <si>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</si>
  <si>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</si>
  <si>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</si>
  <si>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</si>
  <si>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</si>
  <si>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</si>
  <si>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</si>
  <si>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</si>
  <si>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</si>
  <si>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</si>
  <si>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</si>
  <si>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</si>
  <si>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</si>
  <si>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</si>
  <si>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</si>
  <si>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</si>
  <si>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</si>
  <si>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</si>
  <si>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</si>
  <si>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</si>
  <si>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</si>
  <si>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</si>
  <si>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2011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</si>
  <si>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2012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</si>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</sst>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0" fontId="6" fillId="0" borderId="0" xfId="0" applyFont="1" applyBorder="1" applyAlignment="1">
      <alignment horizontal="center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168" fontId="6" fillId="33" borderId="29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6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36603282</v>
      </c>
      <c r="D13" s="23">
        <v>53518078</v>
      </c>
      <c r="E13" s="23">
        <f t="shared" ref="E13:E22" si="0">D13-C13</f>
        <v>16914796</v>
      </c>
      <c r="F13" s="24">
        <f t="shared" ref="F13:F22" si="1">IF(C13=0,0,E13/C13)</f>
        <v>0.46211145765562772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0.75" customHeight="1" x14ac:dyDescent="0.2">
      <c r="A15" s="21">
        <v>3</v>
      </c>
      <c r="B15" s="22" t="s">
        <v>18</v>
      </c>
      <c r="C15" s="23">
        <v>53313528</v>
      </c>
      <c r="D15" s="23">
        <v>60038935</v>
      </c>
      <c r="E15" s="23">
        <f t="shared" si="0"/>
        <v>6725407</v>
      </c>
      <c r="F15" s="24">
        <f t="shared" si="1"/>
        <v>0.12614822639387135</v>
      </c>
    </row>
    <row r="16" spans="1:8" ht="24" customHeight="1" x14ac:dyDescent="0.2">
      <c r="A16" s="21">
        <v>4</v>
      </c>
      <c r="B16" s="22" t="s">
        <v>19</v>
      </c>
      <c r="C16" s="23">
        <v>1273013</v>
      </c>
      <c r="D16" s="23">
        <v>900896</v>
      </c>
      <c r="E16" s="23">
        <f t="shared" si="0"/>
        <v>-372117</v>
      </c>
      <c r="F16" s="24">
        <f t="shared" si="1"/>
        <v>-0.29231201880892027</v>
      </c>
    </row>
    <row r="17" spans="1:11" ht="24" customHeight="1" x14ac:dyDescent="0.2">
      <c r="A17" s="21">
        <v>5</v>
      </c>
      <c r="B17" s="22" t="s">
        <v>20</v>
      </c>
      <c r="C17" s="23">
        <v>6177652</v>
      </c>
      <c r="D17" s="23">
        <v>8994093</v>
      </c>
      <c r="E17" s="23">
        <f t="shared" si="0"/>
        <v>2816441</v>
      </c>
      <c r="F17" s="24">
        <f t="shared" si="1"/>
        <v>0.45590800517737162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8853966</v>
      </c>
      <c r="D19" s="23">
        <v>9333372</v>
      </c>
      <c r="E19" s="23">
        <f t="shared" si="0"/>
        <v>479406</v>
      </c>
      <c r="F19" s="24">
        <f t="shared" si="1"/>
        <v>5.4145904784364429E-2</v>
      </c>
    </row>
    <row r="20" spans="1:11" ht="24" customHeight="1" x14ac:dyDescent="0.2">
      <c r="A20" s="21">
        <v>8</v>
      </c>
      <c r="B20" s="22" t="s">
        <v>23</v>
      </c>
      <c r="C20" s="23">
        <v>9816103</v>
      </c>
      <c r="D20" s="23">
        <v>9603409</v>
      </c>
      <c r="E20" s="23">
        <f t="shared" si="0"/>
        <v>-212694</v>
      </c>
      <c r="F20" s="24">
        <f t="shared" si="1"/>
        <v>-2.1667865547050597E-2</v>
      </c>
    </row>
    <row r="21" spans="1:11" ht="24" customHeight="1" x14ac:dyDescent="0.2">
      <c r="A21" s="21">
        <v>9</v>
      </c>
      <c r="B21" s="22" t="s">
        <v>24</v>
      </c>
      <c r="C21" s="23">
        <v>0</v>
      </c>
      <c r="D21" s="23">
        <v>0</v>
      </c>
      <c r="E21" s="23">
        <f t="shared" si="0"/>
        <v>0</v>
      </c>
      <c r="F21" s="24">
        <f t="shared" si="1"/>
        <v>0</v>
      </c>
    </row>
    <row r="22" spans="1:11" ht="24" customHeight="1" x14ac:dyDescent="0.25">
      <c r="A22" s="25"/>
      <c r="B22" s="26" t="s">
        <v>25</v>
      </c>
      <c r="C22" s="27">
        <f>SUM(C13:C21)</f>
        <v>116037544</v>
      </c>
      <c r="D22" s="27">
        <f>SUM(D13:D21)</f>
        <v>142388783</v>
      </c>
      <c r="E22" s="27">
        <f t="shared" si="0"/>
        <v>26351239</v>
      </c>
      <c r="F22" s="28">
        <f t="shared" si="1"/>
        <v>0.22709235383334209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151523870</v>
      </c>
      <c r="D28" s="23">
        <v>173599412</v>
      </c>
      <c r="E28" s="23">
        <f>D28-C28</f>
        <v>22075542</v>
      </c>
      <c r="F28" s="24">
        <f>IF(C28=0,0,E28/C28)</f>
        <v>0.1456901938948629</v>
      </c>
    </row>
    <row r="29" spans="1:11" ht="24" customHeight="1" x14ac:dyDescent="0.25">
      <c r="A29" s="25"/>
      <c r="B29" s="26" t="s">
        <v>32</v>
      </c>
      <c r="C29" s="27">
        <f>SUM(C25:C28)</f>
        <v>151523870</v>
      </c>
      <c r="D29" s="27">
        <f>SUM(D25:D28)</f>
        <v>173599412</v>
      </c>
      <c r="E29" s="27">
        <f>D29-C29</f>
        <v>22075542</v>
      </c>
      <c r="F29" s="28">
        <f>IF(C29=0,0,E29/C29)</f>
        <v>0.1456901938948629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0</v>
      </c>
      <c r="E32" s="23">
        <f>D32-C32</f>
        <v>0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227259186</v>
      </c>
      <c r="D33" s="23">
        <v>215660594</v>
      </c>
      <c r="E33" s="23">
        <f>D33-C33</f>
        <v>-11598592</v>
      </c>
      <c r="F33" s="24">
        <f>IF(C33=0,0,E33/C33)</f>
        <v>-5.1036845656923194E-2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492540194</v>
      </c>
      <c r="D36" s="23">
        <v>526112141</v>
      </c>
      <c r="E36" s="23">
        <f>D36-C36</f>
        <v>33571947</v>
      </c>
      <c r="F36" s="24">
        <f>IF(C36=0,0,E36/C36)</f>
        <v>6.8160827093839166E-2</v>
      </c>
    </row>
    <row r="37" spans="1:8" ht="24" customHeight="1" x14ac:dyDescent="0.2">
      <c r="A37" s="21">
        <v>2</v>
      </c>
      <c r="B37" s="22" t="s">
        <v>39</v>
      </c>
      <c r="C37" s="23">
        <v>299833683</v>
      </c>
      <c r="D37" s="23">
        <v>322977997</v>
      </c>
      <c r="E37" s="23">
        <f>D37-C37</f>
        <v>23144314</v>
      </c>
      <c r="F37" s="24">
        <f>IF(C37=0,0,E37/C37)</f>
        <v>7.7190506978497136E-2</v>
      </c>
    </row>
    <row r="38" spans="1:8" ht="24" customHeight="1" x14ac:dyDescent="0.25">
      <c r="A38" s="25"/>
      <c r="B38" s="26" t="s">
        <v>40</v>
      </c>
      <c r="C38" s="27">
        <f>C36-C37</f>
        <v>192706511</v>
      </c>
      <c r="D38" s="27">
        <f>D36-D37</f>
        <v>203134144</v>
      </c>
      <c r="E38" s="27">
        <f>D38-C38</f>
        <v>10427633</v>
      </c>
      <c r="F38" s="28">
        <f>IF(C38=0,0,E38/C38)</f>
        <v>5.4111472133912486E-2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27578848</v>
      </c>
      <c r="D40" s="23">
        <v>39100951</v>
      </c>
      <c r="E40" s="23">
        <f>D40-C40</f>
        <v>11522103</v>
      </c>
      <c r="F40" s="24">
        <f>IF(C40=0,0,E40/C40)</f>
        <v>0.41778768279226164</v>
      </c>
    </row>
    <row r="41" spans="1:8" ht="24" customHeight="1" x14ac:dyDescent="0.25">
      <c r="A41" s="25"/>
      <c r="B41" s="26" t="s">
        <v>42</v>
      </c>
      <c r="C41" s="27">
        <f>+C38+C40</f>
        <v>220285359</v>
      </c>
      <c r="D41" s="27">
        <f>+D38+D40</f>
        <v>242235095</v>
      </c>
      <c r="E41" s="27">
        <f>D41-C41</f>
        <v>21949736</v>
      </c>
      <c r="F41" s="28">
        <f>IF(C41=0,0,E41/C41)</f>
        <v>9.9642282626690587E-2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715105959</v>
      </c>
      <c r="D43" s="27">
        <f>D22+D29+D31+D32+D33+D41</f>
        <v>773883884</v>
      </c>
      <c r="E43" s="27">
        <f>D43-C43</f>
        <v>58777925</v>
      </c>
      <c r="F43" s="28">
        <f>IF(C43=0,0,E43/C43)</f>
        <v>8.2194707316094393E-2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27356488</v>
      </c>
      <c r="D49" s="23">
        <v>25493612</v>
      </c>
      <c r="E49" s="23">
        <f t="shared" ref="E49:E56" si="2">D49-C49</f>
        <v>-1862876</v>
      </c>
      <c r="F49" s="24">
        <f t="shared" ref="F49:F56" si="3">IF(C49=0,0,E49/C49)</f>
        <v>-6.809631411751392E-2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12263559</v>
      </c>
      <c r="D50" s="23">
        <v>20868119</v>
      </c>
      <c r="E50" s="23">
        <f t="shared" si="2"/>
        <v>8604560</v>
      </c>
      <c r="F50" s="24">
        <f t="shared" si="3"/>
        <v>0.70163644990821994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11107547</v>
      </c>
      <c r="D51" s="23">
        <v>9985351</v>
      </c>
      <c r="E51" s="23">
        <f t="shared" si="2"/>
        <v>-1122196</v>
      </c>
      <c r="F51" s="24">
        <f t="shared" si="3"/>
        <v>-0.10103004740830716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2515000</v>
      </c>
      <c r="D53" s="23">
        <v>1555000</v>
      </c>
      <c r="E53" s="23">
        <f t="shared" si="2"/>
        <v>-960000</v>
      </c>
      <c r="F53" s="24">
        <f t="shared" si="3"/>
        <v>-0.38170974155069581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5874479</v>
      </c>
      <c r="D55" s="23">
        <v>5178467</v>
      </c>
      <c r="E55" s="23">
        <f t="shared" si="2"/>
        <v>-696012</v>
      </c>
      <c r="F55" s="24">
        <f t="shared" si="3"/>
        <v>-0.11848063462308743</v>
      </c>
    </row>
    <row r="56" spans="1:6" ht="24" customHeight="1" x14ac:dyDescent="0.25">
      <c r="A56" s="25"/>
      <c r="B56" s="26" t="s">
        <v>54</v>
      </c>
      <c r="C56" s="27">
        <f>SUM(C49:C55)</f>
        <v>59117073</v>
      </c>
      <c r="D56" s="27">
        <f>SUM(D49:D55)</f>
        <v>63080549</v>
      </c>
      <c r="E56" s="27">
        <f t="shared" si="2"/>
        <v>3963476</v>
      </c>
      <c r="F56" s="28">
        <f t="shared" si="3"/>
        <v>6.704452366916068E-2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252100000</v>
      </c>
      <c r="D60" s="23">
        <v>249580000</v>
      </c>
      <c r="E60" s="23">
        <f>D60-C60</f>
        <v>-2520000</v>
      </c>
      <c r="F60" s="24">
        <f>IF(C60=0,0,E60/C60)</f>
        <v>-9.9960333201110675E-3</v>
      </c>
    </row>
    <row r="61" spans="1:6" ht="24" customHeight="1" x14ac:dyDescent="0.25">
      <c r="A61" s="25"/>
      <c r="B61" s="26" t="s">
        <v>58</v>
      </c>
      <c r="C61" s="27">
        <f>SUM(C59:C60)</f>
        <v>252100000</v>
      </c>
      <c r="D61" s="27">
        <f>SUM(D59:D60)</f>
        <v>249580000</v>
      </c>
      <c r="E61" s="27">
        <f>D61-C61</f>
        <v>-2520000</v>
      </c>
      <c r="F61" s="28">
        <f>IF(C61=0,0,E61/C61)</f>
        <v>-9.9960333201110675E-3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0</v>
      </c>
      <c r="D63" s="23">
        <v>0</v>
      </c>
      <c r="E63" s="23">
        <f>D63-C63</f>
        <v>0</v>
      </c>
      <c r="F63" s="24">
        <f>IF(C63=0,0,E63/C63)</f>
        <v>0</v>
      </c>
    </row>
    <row r="64" spans="1:6" ht="24" customHeight="1" x14ac:dyDescent="0.2">
      <c r="A64" s="21">
        <v>4</v>
      </c>
      <c r="B64" s="22" t="s">
        <v>60</v>
      </c>
      <c r="C64" s="23">
        <v>15647308</v>
      </c>
      <c r="D64" s="23">
        <v>16602236</v>
      </c>
      <c r="E64" s="23">
        <f>D64-C64</f>
        <v>954928</v>
      </c>
      <c r="F64" s="24">
        <f>IF(C64=0,0,E64/C64)</f>
        <v>6.1028261219118328E-2</v>
      </c>
    </row>
    <row r="65" spans="1:6" ht="24" customHeight="1" x14ac:dyDescent="0.25">
      <c r="A65" s="25"/>
      <c r="B65" s="26" t="s">
        <v>61</v>
      </c>
      <c r="C65" s="27">
        <f>SUM(C61:C64)</f>
        <v>267747308</v>
      </c>
      <c r="D65" s="27">
        <f>SUM(D61:D64)</f>
        <v>266182236</v>
      </c>
      <c r="E65" s="27">
        <f>D65-C65</f>
        <v>-1565072</v>
      </c>
      <c r="F65" s="28">
        <f>IF(C65=0,0,E65/C65)</f>
        <v>-5.8453323459745112E-3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332255763</v>
      </c>
      <c r="D70" s="23">
        <v>386002265</v>
      </c>
      <c r="E70" s="23">
        <f>D70-C70</f>
        <v>53746502</v>
      </c>
      <c r="F70" s="24">
        <f>IF(C70=0,0,E70/C70)</f>
        <v>0.16176243721015607</v>
      </c>
    </row>
    <row r="71" spans="1:6" ht="24" customHeight="1" x14ac:dyDescent="0.2">
      <c r="A71" s="21">
        <v>2</v>
      </c>
      <c r="B71" s="22" t="s">
        <v>65</v>
      </c>
      <c r="C71" s="23">
        <v>27787449</v>
      </c>
      <c r="D71" s="23">
        <v>29794088</v>
      </c>
      <c r="E71" s="23">
        <f>D71-C71</f>
        <v>2006639</v>
      </c>
      <c r="F71" s="24">
        <f>IF(C71=0,0,E71/C71)</f>
        <v>7.2213861733043574E-2</v>
      </c>
    </row>
    <row r="72" spans="1:6" ht="24" customHeight="1" x14ac:dyDescent="0.2">
      <c r="A72" s="21">
        <v>3</v>
      </c>
      <c r="B72" s="22" t="s">
        <v>66</v>
      </c>
      <c r="C72" s="23">
        <v>28198366</v>
      </c>
      <c r="D72" s="23">
        <v>28824746</v>
      </c>
      <c r="E72" s="23">
        <f>D72-C72</f>
        <v>626380</v>
      </c>
      <c r="F72" s="24">
        <f>IF(C72=0,0,E72/C72)</f>
        <v>2.2213343851200457E-2</v>
      </c>
    </row>
    <row r="73" spans="1:6" ht="24" customHeight="1" x14ac:dyDescent="0.25">
      <c r="A73" s="21"/>
      <c r="B73" s="26" t="s">
        <v>67</v>
      </c>
      <c r="C73" s="27">
        <f>SUM(C70:C72)</f>
        <v>388241578</v>
      </c>
      <c r="D73" s="27">
        <f>SUM(D70:D72)</f>
        <v>444621099</v>
      </c>
      <c r="E73" s="27">
        <f>D73-C73</f>
        <v>56379521</v>
      </c>
      <c r="F73" s="28">
        <f>IF(C73=0,0,E73/C73)</f>
        <v>0.14521762787601281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715105959</v>
      </c>
      <c r="D75" s="27">
        <f>D56+D65+D67+D73</f>
        <v>773883884</v>
      </c>
      <c r="E75" s="27">
        <f>D75-C75</f>
        <v>58777925</v>
      </c>
      <c r="F75" s="28">
        <f>IF(C75=0,0,E75/C75)</f>
        <v>8.2194707316094393E-2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FILING&amp;RDANBURY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491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494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319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495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496</v>
      </c>
      <c r="C11" s="51">
        <v>702067144</v>
      </c>
      <c r="D11" s="51">
        <v>720525178</v>
      </c>
      <c r="E11" s="51">
        <v>736921369</v>
      </c>
      <c r="F11" s="28"/>
    </row>
    <row r="12" spans="1:6" ht="24" customHeight="1" x14ac:dyDescent="0.25">
      <c r="A12" s="44">
        <v>2</v>
      </c>
      <c r="B12" s="48" t="s">
        <v>76</v>
      </c>
      <c r="C12" s="49">
        <v>14892893</v>
      </c>
      <c r="D12" s="49">
        <v>17176189</v>
      </c>
      <c r="E12" s="49">
        <v>29907285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716960037</v>
      </c>
      <c r="D13" s="51">
        <f>+D11+D12</f>
        <v>737701367</v>
      </c>
      <c r="E13" s="51">
        <f>+E11+E12</f>
        <v>766828654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699978062</v>
      </c>
      <c r="D14" s="49">
        <v>746101320</v>
      </c>
      <c r="E14" s="49">
        <v>748965294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16981975</v>
      </c>
      <c r="D15" s="51">
        <f>+D13-D14</f>
        <v>-8399953</v>
      </c>
      <c r="E15" s="51">
        <f>+E13-E14</f>
        <v>17863360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21776718</v>
      </c>
      <c r="D16" s="49">
        <v>5592784</v>
      </c>
      <c r="E16" s="49">
        <v>24649093</v>
      </c>
      <c r="F16" s="70"/>
    </row>
    <row r="17" spans="1:14" s="56" customFormat="1" ht="24" customHeight="1" x14ac:dyDescent="0.2">
      <c r="A17" s="44">
        <v>7</v>
      </c>
      <c r="B17" s="45" t="s">
        <v>322</v>
      </c>
      <c r="C17" s="51">
        <f>C15+C16</f>
        <v>38758693</v>
      </c>
      <c r="D17" s="51">
        <f>D15+D16</f>
        <v>-2807169</v>
      </c>
      <c r="E17" s="51">
        <f>E15+E16</f>
        <v>42512453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497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498</v>
      </c>
      <c r="C20" s="169">
        <f>IF(+C27=0,0,+C24/+C27)</f>
        <v>2.2987857156234227E-2</v>
      </c>
      <c r="D20" s="169">
        <f>IF(+D27=0,0,+D24/+D27)</f>
        <v>-1.1300980895247217E-2</v>
      </c>
      <c r="E20" s="169">
        <f>IF(+E27=0,0,+E24/+E27)</f>
        <v>2.2569630122525733E-2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499</v>
      </c>
      <c r="C21" s="169">
        <f>IF(+C27=0,0,+C26/+C27)</f>
        <v>2.9478319377787016E-2</v>
      </c>
      <c r="D21" s="169">
        <f>IF(+D27=0,0,+D26/+D27)</f>
        <v>7.524321283136264E-3</v>
      </c>
      <c r="E21" s="169">
        <f>IF(+E27=0,0,+E26/+E27)</f>
        <v>3.1143128272941828E-2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500</v>
      </c>
      <c r="C22" s="169">
        <f>IF(+C27=0,0,+C28/+C27)</f>
        <v>5.246617653402124E-2</v>
      </c>
      <c r="D22" s="169">
        <f>IF(+D27=0,0,+D28/+D27)</f>
        <v>-3.776659612110953E-3</v>
      </c>
      <c r="E22" s="169">
        <f>IF(+E27=0,0,+E28/+E27)</f>
        <v>5.3712758395467561E-2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16981975</v>
      </c>
      <c r="D24" s="51">
        <f>+D15</f>
        <v>-8399953</v>
      </c>
      <c r="E24" s="51">
        <f>+E15</f>
        <v>17863360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716960037</v>
      </c>
      <c r="D25" s="51">
        <f>+D13</f>
        <v>737701367</v>
      </c>
      <c r="E25" s="51">
        <f>+E13</f>
        <v>766828654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21776718</v>
      </c>
      <c r="D26" s="51">
        <f>+D16</f>
        <v>5592784</v>
      </c>
      <c r="E26" s="51">
        <f>+E16</f>
        <v>24649093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327</v>
      </c>
      <c r="C27" s="51">
        <f>SUM(C25:C26)</f>
        <v>738736755</v>
      </c>
      <c r="D27" s="51">
        <f>SUM(D25:D26)</f>
        <v>743294151</v>
      </c>
      <c r="E27" s="51">
        <f>SUM(E25:E26)</f>
        <v>791477747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322</v>
      </c>
      <c r="C28" s="51">
        <f>+C17</f>
        <v>38758693</v>
      </c>
      <c r="D28" s="51">
        <f>+D17</f>
        <v>-2807169</v>
      </c>
      <c r="E28" s="51">
        <f>+E17</f>
        <v>42512453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501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502</v>
      </c>
      <c r="C31" s="51">
        <v>244887741</v>
      </c>
      <c r="D31" s="51">
        <v>286369831</v>
      </c>
      <c r="E31" s="52">
        <v>277089185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503</v>
      </c>
      <c r="C32" s="51">
        <v>310380664</v>
      </c>
      <c r="D32" s="51">
        <v>348404442</v>
      </c>
      <c r="E32" s="51">
        <v>343874581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504</v>
      </c>
      <c r="C33" s="51">
        <v>71182837</v>
      </c>
      <c r="D33" s="51">
        <f>+D32-C32</f>
        <v>38023778</v>
      </c>
      <c r="E33" s="51">
        <f>+E32-D32</f>
        <v>-4529861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505</v>
      </c>
      <c r="C34" s="171">
        <v>1.2975000000000001</v>
      </c>
      <c r="D34" s="171">
        <f>IF(C32=0,0,+D33/C32)</f>
        <v>0.12250691621692</v>
      </c>
      <c r="E34" s="171">
        <f>IF(D32=0,0,+E33/D32)</f>
        <v>-1.3001731476202018E-2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333</v>
      </c>
      <c r="B36" s="16" t="s">
        <v>355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356</v>
      </c>
      <c r="C38" s="269">
        <f>IF(+C40=0,0,+C39/+C40)</f>
        <v>1.2906982860525396</v>
      </c>
      <c r="D38" s="269">
        <f>IF(+D40=0,0,+D39/+D40)</f>
        <v>1.8760989261589514</v>
      </c>
      <c r="E38" s="269">
        <f>IF(+E40=0,0,+E39/+E40)</f>
        <v>2.2618085678223792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148919595</v>
      </c>
      <c r="D39" s="270">
        <v>164310318</v>
      </c>
      <c r="E39" s="270">
        <v>187490183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115379091</v>
      </c>
      <c r="D40" s="270">
        <v>87580839</v>
      </c>
      <c r="E40" s="270">
        <v>82893922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357</v>
      </c>
      <c r="C42" s="271">
        <f>IF((C48/365)=0,0,+C45/(C48/365))</f>
        <v>24.477863684241054</v>
      </c>
      <c r="D42" s="271">
        <f>IF((D48/365)=0,0,+D45/(D48/365))</f>
        <v>29.199329444295312</v>
      </c>
      <c r="E42" s="271">
        <f>IF((E48/365)=0,0,+E45/(E48/365))</f>
        <v>38.088847164066088</v>
      </c>
    </row>
    <row r="43" spans="1:14" ht="24" customHeight="1" x14ac:dyDescent="0.2">
      <c r="A43" s="17">
        <v>5</v>
      </c>
      <c r="B43" s="188" t="s">
        <v>16</v>
      </c>
      <c r="C43" s="272">
        <v>44650227</v>
      </c>
      <c r="D43" s="272">
        <v>56787869</v>
      </c>
      <c r="E43" s="272">
        <v>74083960</v>
      </c>
    </row>
    <row r="44" spans="1:14" ht="24" customHeight="1" x14ac:dyDescent="0.2">
      <c r="A44" s="17">
        <v>6</v>
      </c>
      <c r="B44" s="273" t="s">
        <v>17</v>
      </c>
      <c r="C44" s="274">
        <v>0</v>
      </c>
      <c r="D44" s="274">
        <v>0</v>
      </c>
      <c r="E44" s="274">
        <v>0</v>
      </c>
    </row>
    <row r="45" spans="1:14" ht="24" customHeight="1" x14ac:dyDescent="0.2">
      <c r="A45" s="17">
        <v>7</v>
      </c>
      <c r="B45" s="45" t="s">
        <v>358</v>
      </c>
      <c r="C45" s="270">
        <f>+C43+C44</f>
        <v>44650227</v>
      </c>
      <c r="D45" s="270">
        <f>+D43+D44</f>
        <v>56787869</v>
      </c>
      <c r="E45" s="270">
        <f>+E43+E44</f>
        <v>74083960</v>
      </c>
    </row>
    <row r="46" spans="1:14" ht="24" customHeight="1" x14ac:dyDescent="0.2">
      <c r="A46" s="17">
        <v>8</v>
      </c>
      <c r="B46" s="45" t="s">
        <v>336</v>
      </c>
      <c r="C46" s="270">
        <f>+C14</f>
        <v>699978062</v>
      </c>
      <c r="D46" s="270">
        <f>+D14</f>
        <v>746101320</v>
      </c>
      <c r="E46" s="270">
        <f>+E14</f>
        <v>748965294</v>
      </c>
    </row>
    <row r="47" spans="1:14" ht="24" customHeight="1" x14ac:dyDescent="0.2">
      <c r="A47" s="17">
        <v>9</v>
      </c>
      <c r="B47" s="45" t="s">
        <v>359</v>
      </c>
      <c r="C47" s="270">
        <v>34179238</v>
      </c>
      <c r="D47" s="270">
        <v>36236656</v>
      </c>
      <c r="E47" s="270">
        <v>39029252</v>
      </c>
    </row>
    <row r="48" spans="1:14" ht="24" customHeight="1" x14ac:dyDescent="0.2">
      <c r="A48" s="17">
        <v>10</v>
      </c>
      <c r="B48" s="45" t="s">
        <v>360</v>
      </c>
      <c r="C48" s="270">
        <f>+C46-C47</f>
        <v>665798824</v>
      </c>
      <c r="D48" s="270">
        <f>+D46-D47</f>
        <v>709864664</v>
      </c>
      <c r="E48" s="270">
        <f>+E46-E47</f>
        <v>709936042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361</v>
      </c>
      <c r="C50" s="278">
        <f>IF((C55/365)=0,0,+C54/(C55/365))</f>
        <v>32.139971871408356</v>
      </c>
      <c r="D50" s="278">
        <f>IF((D55/365)=0,0,+D54/(D55/365))</f>
        <v>29.917490336472323</v>
      </c>
      <c r="E50" s="278">
        <f>IF((E55/365)=0,0,+E54/(E55/365))</f>
        <v>33.186873883419715</v>
      </c>
    </row>
    <row r="51" spans="1:5" ht="24" customHeight="1" x14ac:dyDescent="0.2">
      <c r="A51" s="17">
        <v>12</v>
      </c>
      <c r="B51" s="188" t="s">
        <v>362</v>
      </c>
      <c r="C51" s="279">
        <v>76702649</v>
      </c>
      <c r="D51" s="279">
        <v>74395713</v>
      </c>
      <c r="E51" s="279">
        <v>79495132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14882325</v>
      </c>
      <c r="D53" s="270">
        <v>15337343</v>
      </c>
      <c r="E53" s="270">
        <v>12492073</v>
      </c>
    </row>
    <row r="54" spans="1:5" ht="32.25" customHeight="1" x14ac:dyDescent="0.2">
      <c r="A54" s="17">
        <v>15</v>
      </c>
      <c r="B54" s="45" t="s">
        <v>363</v>
      </c>
      <c r="C54" s="280">
        <f>+C51+C52-C53</f>
        <v>61820324</v>
      </c>
      <c r="D54" s="280">
        <f>+D51+D52-D53</f>
        <v>59058370</v>
      </c>
      <c r="E54" s="280">
        <f>+E51+E52-E53</f>
        <v>67003059</v>
      </c>
    </row>
    <row r="55" spans="1:5" ht="24" customHeight="1" x14ac:dyDescent="0.2">
      <c r="A55" s="17">
        <v>16</v>
      </c>
      <c r="B55" s="45" t="s">
        <v>75</v>
      </c>
      <c r="C55" s="270">
        <f>+C11</f>
        <v>702067144</v>
      </c>
      <c r="D55" s="270">
        <f>+D11</f>
        <v>720525178</v>
      </c>
      <c r="E55" s="270">
        <f>+E11</f>
        <v>736921369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364</v>
      </c>
      <c r="C57" s="283">
        <f>IF((C61/365)=0,0,+C58/(C61/365))</f>
        <v>63.252392009331636</v>
      </c>
      <c r="D57" s="283">
        <f>IF((D61/365)=0,0,+D58/(D61/365))</f>
        <v>45.032536279337883</v>
      </c>
      <c r="E57" s="283">
        <f>IF((E61/365)=0,0,+E58/(E61/365))</f>
        <v>42.618320158479854</v>
      </c>
    </row>
    <row r="58" spans="1:5" ht="24" customHeight="1" x14ac:dyDescent="0.2">
      <c r="A58" s="17">
        <v>18</v>
      </c>
      <c r="B58" s="45" t="s">
        <v>54</v>
      </c>
      <c r="C58" s="281">
        <f>+C40</f>
        <v>115379091</v>
      </c>
      <c r="D58" s="281">
        <f>+D40</f>
        <v>87580839</v>
      </c>
      <c r="E58" s="281">
        <f>+E40</f>
        <v>82893922</v>
      </c>
    </row>
    <row r="59" spans="1:5" ht="24" customHeight="1" x14ac:dyDescent="0.2">
      <c r="A59" s="17">
        <v>19</v>
      </c>
      <c r="B59" s="45" t="s">
        <v>336</v>
      </c>
      <c r="C59" s="281">
        <f t="shared" ref="C59:E60" si="0">+C46</f>
        <v>699978062</v>
      </c>
      <c r="D59" s="281">
        <f t="shared" si="0"/>
        <v>746101320</v>
      </c>
      <c r="E59" s="281">
        <f t="shared" si="0"/>
        <v>748965294</v>
      </c>
    </row>
    <row r="60" spans="1:5" ht="24" customHeight="1" x14ac:dyDescent="0.2">
      <c r="A60" s="17">
        <v>20</v>
      </c>
      <c r="B60" s="45" t="s">
        <v>359</v>
      </c>
      <c r="C60" s="176">
        <f t="shared" si="0"/>
        <v>34179238</v>
      </c>
      <c r="D60" s="176">
        <f t="shared" si="0"/>
        <v>36236656</v>
      </c>
      <c r="E60" s="176">
        <f t="shared" si="0"/>
        <v>39029252</v>
      </c>
    </row>
    <row r="61" spans="1:5" ht="24" customHeight="1" x14ac:dyDescent="0.2">
      <c r="A61" s="17">
        <v>21</v>
      </c>
      <c r="B61" s="45" t="s">
        <v>365</v>
      </c>
      <c r="C61" s="281">
        <f>+C59-C60</f>
        <v>665798824</v>
      </c>
      <c r="D61" s="281">
        <f>+D59-D60</f>
        <v>709864664</v>
      </c>
      <c r="E61" s="281">
        <f>+E59-E60</f>
        <v>709936042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354</v>
      </c>
      <c r="B63" s="16" t="s">
        <v>367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368</v>
      </c>
      <c r="C65" s="284">
        <f>IF(C67=0,0,(C66/C67)*100)</f>
        <v>43.850558188169678</v>
      </c>
      <c r="D65" s="284">
        <f>IF(D67=0,0,(D66/D67)*100)</f>
        <v>40.689135296768129</v>
      </c>
      <c r="E65" s="284">
        <f>IF(E67=0,0,(E66/E67)*100)</f>
        <v>37.740246953753633</v>
      </c>
    </row>
    <row r="66" spans="1:5" ht="24" customHeight="1" x14ac:dyDescent="0.2">
      <c r="A66" s="17">
        <v>2</v>
      </c>
      <c r="B66" s="45" t="s">
        <v>67</v>
      </c>
      <c r="C66" s="281">
        <f>+C32</f>
        <v>310380664</v>
      </c>
      <c r="D66" s="281">
        <f>+D32</f>
        <v>348404442</v>
      </c>
      <c r="E66" s="281">
        <f>+E32</f>
        <v>343874581</v>
      </c>
    </row>
    <row r="67" spans="1:5" ht="24" customHeight="1" x14ac:dyDescent="0.2">
      <c r="A67" s="17">
        <v>3</v>
      </c>
      <c r="B67" s="45" t="s">
        <v>43</v>
      </c>
      <c r="C67" s="281">
        <v>707814625</v>
      </c>
      <c r="D67" s="281">
        <v>856259145</v>
      </c>
      <c r="E67" s="281">
        <v>911161449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369</v>
      </c>
      <c r="C69" s="284">
        <f>IF(C75=0,0,(C72/C75)*100)</f>
        <v>35.091475255617667</v>
      </c>
      <c r="D69" s="284">
        <f>IF(D75=0,0,(D72/D75)*100)</f>
        <v>9.8006222344315077</v>
      </c>
      <c r="E69" s="284">
        <f>IF(E75=0,0,(E72/E75)*100)</f>
        <v>24.451189107920499</v>
      </c>
    </row>
    <row r="70" spans="1:5" ht="24" customHeight="1" x14ac:dyDescent="0.2">
      <c r="A70" s="17">
        <v>5</v>
      </c>
      <c r="B70" s="45" t="s">
        <v>370</v>
      </c>
      <c r="C70" s="281">
        <f>+C28</f>
        <v>38758693</v>
      </c>
      <c r="D70" s="281">
        <f>+D28</f>
        <v>-2807169</v>
      </c>
      <c r="E70" s="281">
        <f>+E28</f>
        <v>42512453</v>
      </c>
    </row>
    <row r="71" spans="1:5" ht="24" customHeight="1" x14ac:dyDescent="0.2">
      <c r="A71" s="17">
        <v>6</v>
      </c>
      <c r="B71" s="45" t="s">
        <v>359</v>
      </c>
      <c r="C71" s="176">
        <f>+C47</f>
        <v>34179238</v>
      </c>
      <c r="D71" s="176">
        <f>+D47</f>
        <v>36236656</v>
      </c>
      <c r="E71" s="176">
        <f>+E47</f>
        <v>39029252</v>
      </c>
    </row>
    <row r="72" spans="1:5" ht="24" customHeight="1" x14ac:dyDescent="0.2">
      <c r="A72" s="17">
        <v>7</v>
      </c>
      <c r="B72" s="45" t="s">
        <v>371</v>
      </c>
      <c r="C72" s="281">
        <f>+C70+C71</f>
        <v>72937931</v>
      </c>
      <c r="D72" s="281">
        <f>+D70+D71</f>
        <v>33429487</v>
      </c>
      <c r="E72" s="281">
        <f>+E70+E71</f>
        <v>81541705</v>
      </c>
    </row>
    <row r="73" spans="1:5" ht="24" customHeight="1" x14ac:dyDescent="0.2">
      <c r="A73" s="17">
        <v>8</v>
      </c>
      <c r="B73" s="45" t="s">
        <v>54</v>
      </c>
      <c r="C73" s="270">
        <f>+C40</f>
        <v>115379091</v>
      </c>
      <c r="D73" s="270">
        <f>+D40</f>
        <v>87580839</v>
      </c>
      <c r="E73" s="270">
        <f>+E40</f>
        <v>82893922</v>
      </c>
    </row>
    <row r="74" spans="1:5" ht="24" customHeight="1" x14ac:dyDescent="0.2">
      <c r="A74" s="17">
        <v>9</v>
      </c>
      <c r="B74" s="45" t="s">
        <v>58</v>
      </c>
      <c r="C74" s="281">
        <v>92471763</v>
      </c>
      <c r="D74" s="281">
        <v>253514718</v>
      </c>
      <c r="E74" s="281">
        <v>250593765</v>
      </c>
    </row>
    <row r="75" spans="1:5" ht="24" customHeight="1" x14ac:dyDescent="0.2">
      <c r="A75" s="17">
        <v>10</v>
      </c>
      <c r="B75" s="285" t="s">
        <v>372</v>
      </c>
      <c r="C75" s="270">
        <f>+C73+C74</f>
        <v>207850854</v>
      </c>
      <c r="D75" s="270">
        <f>+D73+D74</f>
        <v>341095557</v>
      </c>
      <c r="E75" s="270">
        <f>+E73+E74</f>
        <v>333487687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373</v>
      </c>
      <c r="C77" s="286">
        <f>IF(C80=0,0,(C78/C80)*100)</f>
        <v>22.954252426534342</v>
      </c>
      <c r="D77" s="286">
        <f>IF(D80=0,0,(D78/D80)*100)</f>
        <v>42.117735212150414</v>
      </c>
      <c r="E77" s="286">
        <f>IF(E80=0,0,(E78/E80)*100)</f>
        <v>42.154265519126568</v>
      </c>
    </row>
    <row r="78" spans="1:5" ht="24" customHeight="1" x14ac:dyDescent="0.2">
      <c r="A78" s="17">
        <v>12</v>
      </c>
      <c r="B78" s="45" t="s">
        <v>58</v>
      </c>
      <c r="C78" s="270">
        <f>+C74</f>
        <v>92471763</v>
      </c>
      <c r="D78" s="270">
        <f>+D74</f>
        <v>253514718</v>
      </c>
      <c r="E78" s="270">
        <f>+E74</f>
        <v>250593765</v>
      </c>
    </row>
    <row r="79" spans="1:5" ht="24" customHeight="1" x14ac:dyDescent="0.2">
      <c r="A79" s="17">
        <v>13</v>
      </c>
      <c r="B79" s="45" t="s">
        <v>67</v>
      </c>
      <c r="C79" s="270">
        <f>+C32</f>
        <v>310380664</v>
      </c>
      <c r="D79" s="270">
        <f>+D32</f>
        <v>348404442</v>
      </c>
      <c r="E79" s="270">
        <f>+E32</f>
        <v>343874581</v>
      </c>
    </row>
    <row r="80" spans="1:5" ht="24" customHeight="1" x14ac:dyDescent="0.2">
      <c r="A80" s="17">
        <v>14</v>
      </c>
      <c r="B80" s="45" t="s">
        <v>374</v>
      </c>
      <c r="C80" s="270">
        <f>+C78+C79</f>
        <v>402852427</v>
      </c>
      <c r="D80" s="270">
        <f>+D78+D79</f>
        <v>601919160</v>
      </c>
      <c r="E80" s="270">
        <f>+E78+E79</f>
        <v>594468346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/>
  <headerFooter>
    <oddHeader>&amp;L&amp;8OFFICE OF HEALTH CARE ACCESS&amp;C&amp;8TWELVE MONTHS ACTUAL FILING&amp;R&amp;8WESTERN CONNECTICUT HEALTH NETWORK , INC.(FORMERLY WESTERN CONNECTICUT HEALTHCARE,INC.)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506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507</v>
      </c>
      <c r="E6" s="126" t="s">
        <v>508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509</v>
      </c>
      <c r="I7" s="126" t="s">
        <v>509</v>
      </c>
      <c r="J7" s="125"/>
      <c r="K7" s="289"/>
    </row>
    <row r="8" spans="1:11" ht="15.75" customHeight="1" x14ac:dyDescent="0.25">
      <c r="A8" s="287"/>
      <c r="B8" s="126"/>
      <c r="C8" s="126" t="s">
        <v>510</v>
      </c>
      <c r="D8" s="126" t="s">
        <v>511</v>
      </c>
      <c r="E8" s="126" t="s">
        <v>512</v>
      </c>
      <c r="F8" s="126" t="s">
        <v>513</v>
      </c>
      <c r="G8" s="126" t="s">
        <v>514</v>
      </c>
      <c r="H8" s="126" t="s">
        <v>515</v>
      </c>
      <c r="I8" s="126" t="s">
        <v>516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517</v>
      </c>
      <c r="D9" s="292" t="s">
        <v>518</v>
      </c>
      <c r="E9" s="292" t="s">
        <v>519</v>
      </c>
      <c r="F9" s="292" t="s">
        <v>520</v>
      </c>
      <c r="G9" s="292" t="s">
        <v>521</v>
      </c>
      <c r="H9" s="292" t="s">
        <v>520</v>
      </c>
      <c r="I9" s="292" t="s">
        <v>521</v>
      </c>
      <c r="J9" s="125"/>
      <c r="K9" s="56"/>
    </row>
    <row r="10" spans="1:11" ht="15.75" customHeight="1" x14ac:dyDescent="0.25">
      <c r="A10" s="293" t="s">
        <v>519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522</v>
      </c>
      <c r="C11" s="296">
        <v>61851</v>
      </c>
      <c r="D11" s="296">
        <v>14216</v>
      </c>
      <c r="E11" s="296">
        <v>14495</v>
      </c>
      <c r="F11" s="297">
        <v>175</v>
      </c>
      <c r="G11" s="297">
        <v>227</v>
      </c>
      <c r="H11" s="298">
        <f>IF(F11=0,0,$C11/(F11*365))</f>
        <v>0.9683131115459882</v>
      </c>
      <c r="I11" s="298">
        <f>IF(G11=0,0,$C11/(G11*365))</f>
        <v>0.74649689216100412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523</v>
      </c>
      <c r="C13" s="296">
        <v>3861</v>
      </c>
      <c r="D13" s="296">
        <v>175</v>
      </c>
      <c r="E13" s="296">
        <v>0</v>
      </c>
      <c r="F13" s="297">
        <v>12</v>
      </c>
      <c r="G13" s="297">
        <v>30</v>
      </c>
      <c r="H13" s="298">
        <f>IF(F13=0,0,$C13/(F13*365))</f>
        <v>0.88150684931506851</v>
      </c>
      <c r="I13" s="298">
        <f>IF(G13=0,0,$C13/(G13*365))</f>
        <v>0.3526027397260274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524</v>
      </c>
      <c r="C15" s="296">
        <v>21</v>
      </c>
      <c r="D15" s="296">
        <v>2</v>
      </c>
      <c r="E15" s="296">
        <v>2</v>
      </c>
      <c r="F15" s="297">
        <v>1</v>
      </c>
      <c r="G15" s="297">
        <v>1</v>
      </c>
      <c r="H15" s="298">
        <f t="shared" ref="H15:I17" si="0">IF(F15=0,0,$C15/(F15*365))</f>
        <v>5.7534246575342465E-2</v>
      </c>
      <c r="I15" s="298">
        <f t="shared" si="0"/>
        <v>5.7534246575342465E-2</v>
      </c>
      <c r="J15" s="125"/>
      <c r="K15" s="299"/>
    </row>
    <row r="16" spans="1:11" ht="15" customHeight="1" x14ac:dyDescent="0.2">
      <c r="A16" s="294">
        <v>4</v>
      </c>
      <c r="B16" s="295" t="s">
        <v>525</v>
      </c>
      <c r="C16" s="296">
        <v>6595</v>
      </c>
      <c r="D16" s="296">
        <v>705</v>
      </c>
      <c r="E16" s="296">
        <v>711</v>
      </c>
      <c r="F16" s="297">
        <v>19</v>
      </c>
      <c r="G16" s="297">
        <v>22</v>
      </c>
      <c r="H16" s="298">
        <f t="shared" si="0"/>
        <v>0.95097332372025956</v>
      </c>
      <c r="I16" s="298">
        <f t="shared" si="0"/>
        <v>0.82129514321295138</v>
      </c>
      <c r="J16" s="125"/>
      <c r="K16" s="299"/>
    </row>
    <row r="17" spans="1:11" ht="15.75" customHeight="1" x14ac:dyDescent="0.25">
      <c r="A17" s="293"/>
      <c r="B17" s="135" t="s">
        <v>526</v>
      </c>
      <c r="C17" s="300">
        <f>SUM(C15:C16)</f>
        <v>6616</v>
      </c>
      <c r="D17" s="300">
        <f>SUM(D15:D16)</f>
        <v>707</v>
      </c>
      <c r="E17" s="300">
        <f>SUM(E15:E16)</f>
        <v>713</v>
      </c>
      <c r="F17" s="300">
        <f>SUM(F15:F16)</f>
        <v>20</v>
      </c>
      <c r="G17" s="300">
        <f>SUM(G15:G16)</f>
        <v>23</v>
      </c>
      <c r="H17" s="301">
        <f t="shared" si="0"/>
        <v>0.90630136986301368</v>
      </c>
      <c r="I17" s="301">
        <f t="shared" si="0"/>
        <v>0.78808814770696844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527</v>
      </c>
      <c r="C19" s="296">
        <v>4090</v>
      </c>
      <c r="D19" s="296">
        <v>291</v>
      </c>
      <c r="E19" s="296">
        <v>290</v>
      </c>
      <c r="F19" s="297">
        <v>12</v>
      </c>
      <c r="G19" s="297">
        <v>14</v>
      </c>
      <c r="H19" s="298">
        <f>IF(F19=0,0,$C19/(F19*365))</f>
        <v>0.93378995433789957</v>
      </c>
      <c r="I19" s="298">
        <f>IF(G19=0,0,$C19/(G19*365))</f>
        <v>0.80039138943248533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528</v>
      </c>
      <c r="C21" s="296">
        <v>6219</v>
      </c>
      <c r="D21" s="296">
        <v>2071</v>
      </c>
      <c r="E21" s="296">
        <v>2065</v>
      </c>
      <c r="F21" s="297">
        <v>18</v>
      </c>
      <c r="G21" s="297">
        <v>32</v>
      </c>
      <c r="H21" s="298">
        <f>IF(F21=0,0,$C21/(F21*365))</f>
        <v>0.94657534246575348</v>
      </c>
      <c r="I21" s="298">
        <f>IF(G21=0,0,$C21/(G21*365))</f>
        <v>0.53244863013698629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529</v>
      </c>
      <c r="C23" s="296">
        <v>4643</v>
      </c>
      <c r="D23" s="296">
        <v>1814</v>
      </c>
      <c r="E23" s="296">
        <v>1812</v>
      </c>
      <c r="F23" s="297">
        <v>13</v>
      </c>
      <c r="G23" s="297">
        <v>26</v>
      </c>
      <c r="H23" s="298">
        <f>IF(F23=0,0,$C23/(F23*365))</f>
        <v>0.97850368809272914</v>
      </c>
      <c r="I23" s="298">
        <f>IF(G23=0,0,$C23/(G23*365))</f>
        <v>0.48925184404636457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307</v>
      </c>
      <c r="C25" s="296">
        <v>4197</v>
      </c>
      <c r="D25" s="296">
        <v>264</v>
      </c>
      <c r="E25" s="296">
        <v>0</v>
      </c>
      <c r="F25" s="297">
        <v>12</v>
      </c>
      <c r="G25" s="297">
        <v>15</v>
      </c>
      <c r="H25" s="298">
        <f>IF(F25=0,0,$C25/(F25*365))</f>
        <v>0.95821917808219181</v>
      </c>
      <c r="I25" s="298">
        <f>IF(G25=0,0,$C25/(G25*365))</f>
        <v>0.76657534246575343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530</v>
      </c>
      <c r="C27" s="296">
        <v>533</v>
      </c>
      <c r="D27" s="296">
        <v>305</v>
      </c>
      <c r="E27" s="296">
        <v>294</v>
      </c>
      <c r="F27" s="297">
        <v>3</v>
      </c>
      <c r="G27" s="297">
        <v>4</v>
      </c>
      <c r="H27" s="298">
        <f>IF(F27=0,0,$C27/(F27*365))</f>
        <v>0.48675799086757993</v>
      </c>
      <c r="I27" s="298">
        <f>IF(G27=0,0,$C27/(G27*365))</f>
        <v>0.36506849315068496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531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532</v>
      </c>
      <c r="C31" s="300">
        <f>SUM(C10:C29)-C17-C23</f>
        <v>87367</v>
      </c>
      <c r="D31" s="300">
        <f>SUM(D10:D29)-D13-D17-D23</f>
        <v>17854</v>
      </c>
      <c r="E31" s="300">
        <f>SUM(E10:E29)-E17-E23</f>
        <v>17857</v>
      </c>
      <c r="F31" s="300">
        <f>SUM(F10:F29)-F17-F23</f>
        <v>252</v>
      </c>
      <c r="G31" s="300">
        <f>SUM(G10:G29)-G17-G23</f>
        <v>345</v>
      </c>
      <c r="H31" s="301">
        <f>IF(F31=0,0,$C31/(F31*365))</f>
        <v>0.94984779299847788</v>
      </c>
      <c r="I31" s="301">
        <f>IF(G31=0,0,$C31/(G31*365))</f>
        <v>0.69380186619019257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533</v>
      </c>
      <c r="C33" s="300">
        <f>SUM(C10:C29)-C17</f>
        <v>92010</v>
      </c>
      <c r="D33" s="300">
        <f>SUM(D10:D29)-D13-D17</f>
        <v>19668</v>
      </c>
      <c r="E33" s="300">
        <f>SUM(E10:E29)-E17</f>
        <v>19669</v>
      </c>
      <c r="F33" s="300">
        <f>SUM(F10:F29)-F17</f>
        <v>265</v>
      </c>
      <c r="G33" s="300">
        <f>SUM(G10:G29)-G17</f>
        <v>371</v>
      </c>
      <c r="H33" s="301">
        <f>IF(F33=0,0,$C33/(F33*365))</f>
        <v>0.95125355388989408</v>
      </c>
      <c r="I33" s="301">
        <f>IF(G33=0,0,$C33/(G33*365))</f>
        <v>0.67946682420706717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534</v>
      </c>
      <c r="C36" s="300">
        <f t="shared" ref="C36:I36" si="1">+C33</f>
        <v>92010</v>
      </c>
      <c r="D36" s="300">
        <f t="shared" si="1"/>
        <v>19668</v>
      </c>
      <c r="E36" s="300">
        <f t="shared" si="1"/>
        <v>19669</v>
      </c>
      <c r="F36" s="300">
        <f t="shared" si="1"/>
        <v>265</v>
      </c>
      <c r="G36" s="300">
        <f t="shared" si="1"/>
        <v>371</v>
      </c>
      <c r="H36" s="301">
        <f t="shared" si="1"/>
        <v>0.95125355388989408</v>
      </c>
      <c r="I36" s="301">
        <f t="shared" si="1"/>
        <v>0.67946682420706717</v>
      </c>
      <c r="J36" s="125"/>
      <c r="K36" s="299"/>
    </row>
    <row r="37" spans="1:11" ht="15.75" customHeight="1" x14ac:dyDescent="0.25">
      <c r="A37" s="293"/>
      <c r="B37" s="135" t="s">
        <v>535</v>
      </c>
      <c r="C37" s="300">
        <v>96663</v>
      </c>
      <c r="D37" s="300">
        <v>20763</v>
      </c>
      <c r="E37" s="300">
        <v>18846</v>
      </c>
      <c r="F37" s="302">
        <v>286</v>
      </c>
      <c r="G37" s="302">
        <v>371</v>
      </c>
      <c r="H37" s="301">
        <f>IF(F37=0,0,$C37/(F37*365))</f>
        <v>0.92597949995210271</v>
      </c>
      <c r="I37" s="301">
        <f>IF(G37=0,0,$C37/(G37*365))</f>
        <v>0.71382786249676922</v>
      </c>
      <c r="J37" s="125"/>
      <c r="K37" s="299"/>
    </row>
    <row r="38" spans="1:11" ht="15.75" customHeight="1" x14ac:dyDescent="0.25">
      <c r="A38" s="293"/>
      <c r="B38" s="135" t="s">
        <v>536</v>
      </c>
      <c r="C38" s="300">
        <f t="shared" ref="C38:I38" si="2">+C36-C37</f>
        <v>-4653</v>
      </c>
      <c r="D38" s="300">
        <f t="shared" si="2"/>
        <v>-1095</v>
      </c>
      <c r="E38" s="300">
        <f t="shared" si="2"/>
        <v>823</v>
      </c>
      <c r="F38" s="300">
        <f t="shared" si="2"/>
        <v>-21</v>
      </c>
      <c r="G38" s="300">
        <f t="shared" si="2"/>
        <v>0</v>
      </c>
      <c r="H38" s="301">
        <f t="shared" si="2"/>
        <v>2.5274053937791363E-2</v>
      </c>
      <c r="I38" s="301">
        <f t="shared" si="2"/>
        <v>-3.4361038289702051E-2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537</v>
      </c>
      <c r="C40" s="148">
        <f t="shared" ref="C40:I40" si="3">IF(C37=0,0,C38/C37)</f>
        <v>-4.8136308618602776E-2</v>
      </c>
      <c r="D40" s="148">
        <f t="shared" si="3"/>
        <v>-5.2738043635312815E-2</v>
      </c>
      <c r="E40" s="148">
        <f t="shared" si="3"/>
        <v>4.3669744242810143E-2</v>
      </c>
      <c r="F40" s="148">
        <f t="shared" si="3"/>
        <v>-7.3426573426573424E-2</v>
      </c>
      <c r="G40" s="148">
        <f t="shared" si="3"/>
        <v>0</v>
      </c>
      <c r="H40" s="148">
        <f t="shared" si="3"/>
        <v>2.729439900030043E-2</v>
      </c>
      <c r="I40" s="148">
        <f t="shared" si="3"/>
        <v>-4.8136308618602804E-2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538</v>
      </c>
      <c r="C42" s="295">
        <v>371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539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519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4" t="s">
        <v>540</v>
      </c>
      <c r="B46" s="305"/>
      <c r="C46" s="125"/>
      <c r="D46" s="125"/>
      <c r="E46" s="125"/>
      <c r="F46" s="125"/>
      <c r="G46" s="125"/>
      <c r="H46" s="125"/>
      <c r="I46" s="125"/>
      <c r="J46" s="125"/>
      <c r="K46" s="299"/>
    </row>
    <row r="47" spans="1:11" ht="15.75" customHeight="1" x14ac:dyDescent="0.25">
      <c r="A47" s="306"/>
      <c r="B47" s="305"/>
      <c r="C47" s="305"/>
      <c r="D47" s="305"/>
      <c r="E47" s="305"/>
      <c r="F47" s="305"/>
      <c r="G47" s="305"/>
      <c r="H47" s="305"/>
      <c r="I47" s="305"/>
    </row>
    <row r="48" spans="1:11" ht="15" customHeight="1" x14ac:dyDescent="0.25">
      <c r="B48" s="26"/>
      <c r="C48" s="48"/>
    </row>
  </sheetData>
  <printOptions horizontalCentered="1" gridLines="1"/>
  <pageMargins left="0.5" right="0.5" top="0.5" bottom="0.5" header="0.25" footer="0.25"/>
  <pageSetup paperSize="9" scale="74" orientation="landscape" horizontalDpi="1200" verticalDpi="1200" r:id="rId1"/>
  <headerFooter>
    <oddHeader>&amp;LOFFICE OF HEALTH CARE ACCESS&amp;CTWELVE MONTHS ACTUAL FILING&amp;RDANBURY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541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542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543</v>
      </c>
      <c r="C12" s="296">
        <v>12277</v>
      </c>
      <c r="D12" s="296">
        <v>10946</v>
      </c>
      <c r="E12" s="296">
        <f>+D12-C12</f>
        <v>-1331</v>
      </c>
      <c r="F12" s="316">
        <f>IF(C12=0,0,+E12/C12)</f>
        <v>-0.10841410768102956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544</v>
      </c>
      <c r="C13" s="296">
        <v>13597</v>
      </c>
      <c r="D13" s="296">
        <v>13523</v>
      </c>
      <c r="E13" s="296">
        <f>+D13-C13</f>
        <v>-74</v>
      </c>
      <c r="F13" s="316">
        <f>IF(C13=0,0,+E13/C13)</f>
        <v>-5.4423769949253509E-3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545</v>
      </c>
      <c r="C14" s="296">
        <v>10103</v>
      </c>
      <c r="D14" s="296">
        <v>10010</v>
      </c>
      <c r="E14" s="296">
        <f>+D14-C14</f>
        <v>-93</v>
      </c>
      <c r="F14" s="316">
        <f>IF(C14=0,0,+E14/C14)</f>
        <v>-9.2051865782440852E-3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546</v>
      </c>
      <c r="C15" s="296">
        <v>6793</v>
      </c>
      <c r="D15" s="296">
        <v>5653</v>
      </c>
      <c r="E15" s="296">
        <f>+D15-C15</f>
        <v>-1140</v>
      </c>
      <c r="F15" s="316">
        <f>IF(C15=0,0,+E15/C15)</f>
        <v>-0.16781981451494185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547</v>
      </c>
      <c r="C16" s="300">
        <f>SUM(C12:C15)</f>
        <v>42770</v>
      </c>
      <c r="D16" s="300">
        <f>SUM(D12:D15)</f>
        <v>40132</v>
      </c>
      <c r="E16" s="300">
        <f>+D16-C16</f>
        <v>-2638</v>
      </c>
      <c r="F16" s="309">
        <f>IF(C16=0,0,+E16/C16)</f>
        <v>-6.1678746785129766E-2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548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543</v>
      </c>
      <c r="C19" s="296">
        <v>1309</v>
      </c>
      <c r="D19" s="296">
        <v>1188</v>
      </c>
      <c r="E19" s="296">
        <f>+D19-C19</f>
        <v>-121</v>
      </c>
      <c r="F19" s="316">
        <f>IF(C19=0,0,+E19/C19)</f>
        <v>-9.2436974789915971E-2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544</v>
      </c>
      <c r="C20" s="296">
        <v>6963</v>
      </c>
      <c r="D20" s="296">
        <v>6926</v>
      </c>
      <c r="E20" s="296">
        <f>+D20-C20</f>
        <v>-37</v>
      </c>
      <c r="F20" s="316">
        <f>IF(C20=0,0,+E20/C20)</f>
        <v>-5.3138015223323284E-3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545</v>
      </c>
      <c r="C21" s="296">
        <v>157</v>
      </c>
      <c r="D21" s="296">
        <v>204</v>
      </c>
      <c r="E21" s="296">
        <f>+D21-C21</f>
        <v>47</v>
      </c>
      <c r="F21" s="316">
        <f>IF(C21=0,0,+E21/C21)</f>
        <v>0.29936305732484075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546</v>
      </c>
      <c r="C22" s="296">
        <v>6606</v>
      </c>
      <c r="D22" s="296">
        <v>6480</v>
      </c>
      <c r="E22" s="296">
        <f>+D22-C22</f>
        <v>-126</v>
      </c>
      <c r="F22" s="316">
        <f>IF(C22=0,0,+E22/C22)</f>
        <v>-1.9073569482288829E-2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549</v>
      </c>
      <c r="C23" s="300">
        <f>SUM(C19:C22)</f>
        <v>15035</v>
      </c>
      <c r="D23" s="300">
        <f>SUM(D19:D22)</f>
        <v>14798</v>
      </c>
      <c r="E23" s="300">
        <f>+D23-C23</f>
        <v>-237</v>
      </c>
      <c r="F23" s="309">
        <f>IF(C23=0,0,+E23/C23)</f>
        <v>-1.5763219155304289E-2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550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543</v>
      </c>
      <c r="C26" s="296">
        <v>5</v>
      </c>
      <c r="D26" s="296">
        <v>0</v>
      </c>
      <c r="E26" s="296">
        <f>+D26-C26</f>
        <v>-5</v>
      </c>
      <c r="F26" s="316">
        <f>IF(C26=0,0,+E26/C26)</f>
        <v>-1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544</v>
      </c>
      <c r="C27" s="296">
        <v>183</v>
      </c>
      <c r="D27" s="296">
        <v>6</v>
      </c>
      <c r="E27" s="296">
        <f>+D27-C27</f>
        <v>-177</v>
      </c>
      <c r="F27" s="316">
        <f>IF(C27=0,0,+E27/C27)</f>
        <v>-0.96721311475409832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545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546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551</v>
      </c>
      <c r="C30" s="300">
        <f>SUM(C26:C29)</f>
        <v>188</v>
      </c>
      <c r="D30" s="300">
        <f>SUM(D26:D29)</f>
        <v>6</v>
      </c>
      <c r="E30" s="300">
        <f>+D30-C30</f>
        <v>-182</v>
      </c>
      <c r="F30" s="309">
        <f>IF(C30=0,0,+E30/C30)</f>
        <v>-0.96808510638297873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333</v>
      </c>
      <c r="B32" s="291" t="s">
        <v>552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543</v>
      </c>
      <c r="C33" s="296">
        <v>8</v>
      </c>
      <c r="D33" s="296">
        <v>4</v>
      </c>
      <c r="E33" s="296">
        <f>+D33-C33</f>
        <v>-4</v>
      </c>
      <c r="F33" s="316">
        <f>IF(C33=0,0,+E33/C33)</f>
        <v>-0.5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544</v>
      </c>
      <c r="C34" s="296">
        <v>663</v>
      </c>
      <c r="D34" s="296">
        <v>632</v>
      </c>
      <c r="E34" s="296">
        <f>+D34-C34</f>
        <v>-31</v>
      </c>
      <c r="F34" s="316">
        <f>IF(C34=0,0,+E34/C34)</f>
        <v>-4.6757164404223228E-2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545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546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553</v>
      </c>
      <c r="C37" s="300">
        <f>SUM(C33:C36)</f>
        <v>671</v>
      </c>
      <c r="D37" s="300">
        <f>SUM(D33:D36)</f>
        <v>636</v>
      </c>
      <c r="E37" s="300">
        <f>+D37-C37</f>
        <v>-35</v>
      </c>
      <c r="F37" s="309">
        <f>IF(C37=0,0,+E37/C37)</f>
        <v>-5.216095380029806E-2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554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555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354</v>
      </c>
      <c r="B42" s="291" t="s">
        <v>556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557</v>
      </c>
      <c r="C43" s="296">
        <v>322</v>
      </c>
      <c r="D43" s="296">
        <v>377</v>
      </c>
      <c r="E43" s="296">
        <f>+D43-C43</f>
        <v>55</v>
      </c>
      <c r="F43" s="316">
        <f>IF(C43=0,0,+E43/C43)</f>
        <v>0.17080745341614906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558</v>
      </c>
      <c r="C44" s="296">
        <v>11654</v>
      </c>
      <c r="D44" s="296">
        <v>9763</v>
      </c>
      <c r="E44" s="296">
        <f>+D44-C44</f>
        <v>-1891</v>
      </c>
      <c r="F44" s="316">
        <f>IF(C44=0,0,+E44/C44)</f>
        <v>-0.16226188433155997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559</v>
      </c>
      <c r="C45" s="300">
        <f>SUM(C43:C44)</f>
        <v>11976</v>
      </c>
      <c r="D45" s="300">
        <f>SUM(D43:D44)</f>
        <v>10140</v>
      </c>
      <c r="E45" s="300">
        <f>+D45-C45</f>
        <v>-1836</v>
      </c>
      <c r="F45" s="309">
        <f>IF(C45=0,0,+E45/C45)</f>
        <v>-0.15330661322645289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366</v>
      </c>
      <c r="B47" s="291" t="s">
        <v>560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557</v>
      </c>
      <c r="C48" s="296">
        <v>856</v>
      </c>
      <c r="D48" s="296">
        <v>864</v>
      </c>
      <c r="E48" s="296">
        <f>+D48-C48</f>
        <v>8</v>
      </c>
      <c r="F48" s="316">
        <f>IF(C48=0,0,+E48/C48)</f>
        <v>9.3457943925233638E-3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558</v>
      </c>
      <c r="C49" s="296">
        <v>856</v>
      </c>
      <c r="D49" s="296">
        <v>864</v>
      </c>
      <c r="E49" s="296">
        <f>+D49-C49</f>
        <v>8</v>
      </c>
      <c r="F49" s="316">
        <f>IF(C49=0,0,+E49/C49)</f>
        <v>9.3457943925233638E-3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561</v>
      </c>
      <c r="C50" s="300">
        <f>SUM(C48:C49)</f>
        <v>1712</v>
      </c>
      <c r="D50" s="300">
        <f>SUM(D48:D49)</f>
        <v>1728</v>
      </c>
      <c r="E50" s="300">
        <f>+D50-C50</f>
        <v>16</v>
      </c>
      <c r="F50" s="309">
        <f>IF(C50=0,0,+E50/C50)</f>
        <v>9.3457943925233638E-3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378</v>
      </c>
      <c r="B52" s="291" t="s">
        <v>562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563</v>
      </c>
      <c r="C53" s="296">
        <v>107</v>
      </c>
      <c r="D53" s="296">
        <v>132</v>
      </c>
      <c r="E53" s="296">
        <f>+D53-C53</f>
        <v>25</v>
      </c>
      <c r="F53" s="316">
        <f>IF(C53=0,0,+E53/C53)</f>
        <v>0.23364485981308411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564</v>
      </c>
      <c r="C54" s="296">
        <v>318</v>
      </c>
      <c r="D54" s="296">
        <v>299</v>
      </c>
      <c r="E54" s="296">
        <f>+D54-C54</f>
        <v>-19</v>
      </c>
      <c r="F54" s="316">
        <f>IF(C54=0,0,+E54/C54)</f>
        <v>-5.9748427672955975E-2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565</v>
      </c>
      <c r="C55" s="300">
        <f>SUM(C53:C54)</f>
        <v>425</v>
      </c>
      <c r="D55" s="300">
        <f>SUM(D53:D54)</f>
        <v>431</v>
      </c>
      <c r="E55" s="300">
        <f>+D55-C55</f>
        <v>6</v>
      </c>
      <c r="F55" s="309">
        <f>IF(C55=0,0,+E55/C55)</f>
        <v>1.411764705882353E-2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382</v>
      </c>
      <c r="B57" s="291" t="s">
        <v>566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567</v>
      </c>
      <c r="C58" s="296">
        <v>24</v>
      </c>
      <c r="D58" s="296">
        <v>24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568</v>
      </c>
      <c r="C59" s="296">
        <v>115</v>
      </c>
      <c r="D59" s="296">
        <v>95</v>
      </c>
      <c r="E59" s="296">
        <f>+D59-C59</f>
        <v>-20</v>
      </c>
      <c r="F59" s="316">
        <f>IF(C59=0,0,+E59/C59)</f>
        <v>-0.17391304347826086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569</v>
      </c>
      <c r="C60" s="300">
        <f>SUM(C58:C59)</f>
        <v>139</v>
      </c>
      <c r="D60" s="300">
        <f>SUM(D58:D59)</f>
        <v>119</v>
      </c>
      <c r="E60" s="300">
        <f>SUM(E58:E59)</f>
        <v>-20</v>
      </c>
      <c r="F60" s="309">
        <f>IF(C60=0,0,+E60/C60)</f>
        <v>-0.14388489208633093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570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571</v>
      </c>
      <c r="C63" s="296">
        <v>4442</v>
      </c>
      <c r="D63" s="296">
        <v>4322</v>
      </c>
      <c r="E63" s="296">
        <f>+D63-C63</f>
        <v>-120</v>
      </c>
      <c r="F63" s="316">
        <f>IF(C63=0,0,+E63/C63)</f>
        <v>-2.7014858171994598E-2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572</v>
      </c>
      <c r="C64" s="296">
        <v>7776</v>
      </c>
      <c r="D64" s="296">
        <v>10811</v>
      </c>
      <c r="E64" s="296">
        <f>+D64-C64</f>
        <v>3035</v>
      </c>
      <c r="F64" s="316">
        <f>IF(C64=0,0,+E64/C64)</f>
        <v>0.39030349794238683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573</v>
      </c>
      <c r="C65" s="300">
        <f>SUM(C63:C64)</f>
        <v>12218</v>
      </c>
      <c r="D65" s="300">
        <f>SUM(D63:D64)</f>
        <v>15133</v>
      </c>
      <c r="E65" s="300">
        <f>+D65-C65</f>
        <v>2915</v>
      </c>
      <c r="F65" s="309">
        <f>IF(C65=0,0,+E65/C65)</f>
        <v>0.23858241938124078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408</v>
      </c>
      <c r="B67" s="291" t="s">
        <v>574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575</v>
      </c>
      <c r="C68" s="296">
        <v>909</v>
      </c>
      <c r="D68" s="296">
        <v>795</v>
      </c>
      <c r="E68" s="296">
        <f>+D68-C68</f>
        <v>-114</v>
      </c>
      <c r="F68" s="316">
        <f>IF(C68=0,0,+E68/C68)</f>
        <v>-0.1254125412541254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576</v>
      </c>
      <c r="C69" s="296">
        <v>9777</v>
      </c>
      <c r="D69" s="296">
        <v>10519</v>
      </c>
      <c r="E69" s="296">
        <f>+D69-C69</f>
        <v>742</v>
      </c>
      <c r="F69" s="318">
        <f>IF(C69=0,0,+E69/C69)</f>
        <v>7.5892400531860485E-2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577</v>
      </c>
      <c r="C70" s="300">
        <f>SUM(C68:C69)</f>
        <v>10686</v>
      </c>
      <c r="D70" s="300">
        <f>SUM(D68:D69)</f>
        <v>11314</v>
      </c>
      <c r="E70" s="300">
        <f>+D70-C70</f>
        <v>628</v>
      </c>
      <c r="F70" s="309">
        <f>IF(C70=0,0,+E70/C70)</f>
        <v>5.8768482126146361E-2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424</v>
      </c>
      <c r="B72" s="291" t="s">
        <v>578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579</v>
      </c>
      <c r="C73" s="319">
        <v>14603</v>
      </c>
      <c r="D73" s="319">
        <v>14260</v>
      </c>
      <c r="E73" s="296">
        <f>+D73-C73</f>
        <v>-343</v>
      </c>
      <c r="F73" s="316">
        <f>IF(C73=0,0,+E73/C73)</f>
        <v>-2.3488324316921182E-2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580</v>
      </c>
      <c r="C74" s="319">
        <v>54992</v>
      </c>
      <c r="D74" s="319">
        <v>56362</v>
      </c>
      <c r="E74" s="296">
        <f>+D74-C74</f>
        <v>1370</v>
      </c>
      <c r="F74" s="316">
        <f>IF(C74=0,0,+E74/C74)</f>
        <v>2.4912714576665697E-2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440</v>
      </c>
      <c r="C75" s="300">
        <f>SUM(C73:C74)</f>
        <v>69595</v>
      </c>
      <c r="D75" s="300">
        <f>SUM(D73:D74)</f>
        <v>70622</v>
      </c>
      <c r="E75" s="300">
        <f>SUM(E73:E74)</f>
        <v>1027</v>
      </c>
      <c r="F75" s="309">
        <f>IF(C75=0,0,+E75/C75)</f>
        <v>1.4756807241899561E-2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433</v>
      </c>
      <c r="B78" s="291" t="s">
        <v>581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582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583</v>
      </c>
      <c r="C80" s="319">
        <v>12421</v>
      </c>
      <c r="D80" s="319">
        <v>12816</v>
      </c>
      <c r="E80" s="296">
        <f t="shared" si="0"/>
        <v>395</v>
      </c>
      <c r="F80" s="316">
        <f t="shared" si="1"/>
        <v>3.1800982207551724E-2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584</v>
      </c>
      <c r="C81" s="319">
        <v>20411</v>
      </c>
      <c r="D81" s="319">
        <v>22067</v>
      </c>
      <c r="E81" s="296">
        <f t="shared" si="0"/>
        <v>1656</v>
      </c>
      <c r="F81" s="316">
        <f t="shared" si="1"/>
        <v>8.1132722551565326E-2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585</v>
      </c>
      <c r="C82" s="319">
        <v>45970</v>
      </c>
      <c r="D82" s="319">
        <v>61238</v>
      </c>
      <c r="E82" s="296">
        <f t="shared" si="0"/>
        <v>15268</v>
      </c>
      <c r="F82" s="316">
        <f t="shared" si="1"/>
        <v>0.33212964977159015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586</v>
      </c>
      <c r="C83" s="319">
        <v>2569</v>
      </c>
      <c r="D83" s="319">
        <v>2319</v>
      </c>
      <c r="E83" s="296">
        <f t="shared" si="0"/>
        <v>-250</v>
      </c>
      <c r="F83" s="316">
        <f t="shared" si="1"/>
        <v>-9.7314130011677699E-2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587</v>
      </c>
      <c r="C84" s="320">
        <f>SUM(C79:C83)</f>
        <v>81371</v>
      </c>
      <c r="D84" s="320">
        <f>SUM(D79:D83)</f>
        <v>98440</v>
      </c>
      <c r="E84" s="300">
        <f t="shared" si="0"/>
        <v>17069</v>
      </c>
      <c r="F84" s="309">
        <f t="shared" si="1"/>
        <v>0.20976760762433791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436</v>
      </c>
      <c r="B86" s="291" t="s">
        <v>588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589</v>
      </c>
      <c r="C87" s="322">
        <v>42519</v>
      </c>
      <c r="D87" s="322">
        <v>46077</v>
      </c>
      <c r="E87" s="323">
        <f t="shared" ref="E87:E92" si="2">+D87-C87</f>
        <v>3558</v>
      </c>
      <c r="F87" s="318">
        <f t="shared" ref="F87:F92" si="3">IF(C87=0,0,+E87/C87)</f>
        <v>8.3680237070486135E-2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275</v>
      </c>
      <c r="C88" s="322">
        <v>6501</v>
      </c>
      <c r="D88" s="322">
        <v>6260</v>
      </c>
      <c r="E88" s="296">
        <f t="shared" si="2"/>
        <v>-241</v>
      </c>
      <c r="F88" s="316">
        <f t="shared" si="3"/>
        <v>-3.7071219812336562E-2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590</v>
      </c>
      <c r="C89" s="322">
        <v>2931</v>
      </c>
      <c r="D89" s="322">
        <v>6199</v>
      </c>
      <c r="E89" s="296">
        <f t="shared" si="2"/>
        <v>3268</v>
      </c>
      <c r="F89" s="316">
        <f t="shared" si="3"/>
        <v>1.114977823268509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591</v>
      </c>
      <c r="C90" s="322">
        <v>0</v>
      </c>
      <c r="D90" s="322">
        <v>0</v>
      </c>
      <c r="E90" s="296">
        <f t="shared" si="2"/>
        <v>0</v>
      </c>
      <c r="F90" s="316">
        <f t="shared" si="3"/>
        <v>0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592</v>
      </c>
      <c r="C91" s="322">
        <v>0</v>
      </c>
      <c r="D91" s="322">
        <v>0</v>
      </c>
      <c r="E91" s="296">
        <f t="shared" si="2"/>
        <v>0</v>
      </c>
      <c r="F91" s="316">
        <f t="shared" si="3"/>
        <v>0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593</v>
      </c>
      <c r="C92" s="320">
        <f>SUM(C87:C91)</f>
        <v>51951</v>
      </c>
      <c r="D92" s="320">
        <f>SUM(D87:D91)</f>
        <v>58536</v>
      </c>
      <c r="E92" s="300">
        <f t="shared" si="2"/>
        <v>6585</v>
      </c>
      <c r="F92" s="309">
        <f t="shared" si="3"/>
        <v>0.12675405670728185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594</v>
      </c>
      <c r="B95" s="291" t="s">
        <v>595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596</v>
      </c>
      <c r="C96" s="325">
        <v>572.29999999999995</v>
      </c>
      <c r="D96" s="325">
        <v>567.79999999999995</v>
      </c>
      <c r="E96" s="326">
        <f>+D96-C96</f>
        <v>-4.5</v>
      </c>
      <c r="F96" s="316">
        <f>IF(C96=0,0,+E96/C96)</f>
        <v>-7.8630089114100996E-3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597</v>
      </c>
      <c r="C97" s="325">
        <v>97.8</v>
      </c>
      <c r="D97" s="325">
        <v>101.5</v>
      </c>
      <c r="E97" s="326">
        <f>+D97-C97</f>
        <v>3.7000000000000028</v>
      </c>
      <c r="F97" s="316">
        <f>IF(C97=0,0,+E97/C97)</f>
        <v>3.7832310838445835E-2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598</v>
      </c>
      <c r="C98" s="325">
        <v>1871.2</v>
      </c>
      <c r="D98" s="325">
        <v>1734.6</v>
      </c>
      <c r="E98" s="326">
        <f>+D98-C98</f>
        <v>-136.60000000000014</v>
      </c>
      <c r="F98" s="316">
        <f>IF(C98=0,0,+E98/C98)</f>
        <v>-7.3001282599401529E-2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599</v>
      </c>
      <c r="C99" s="327">
        <f>SUM(C96:C98)</f>
        <v>2541.3000000000002</v>
      </c>
      <c r="D99" s="327">
        <f>SUM(D96:D98)</f>
        <v>2403.8999999999996</v>
      </c>
      <c r="E99" s="327">
        <f>+D99-C99</f>
        <v>-137.40000000000055</v>
      </c>
      <c r="F99" s="309">
        <f>IF(C99=0,0,+E99/C99)</f>
        <v>-5.4066816196435108E-2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/>
  <headerFooter>
    <oddHeader>&amp;LOFFICE OF HEALTH CARE ACCESS&amp;CTWELVE MONTHS ACTUAL FILING&amp;RDANBURY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600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572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601</v>
      </c>
      <c r="C12" s="296">
        <v>7776</v>
      </c>
      <c r="D12" s="296">
        <v>10811</v>
      </c>
      <c r="E12" s="296">
        <f>+D12-C12</f>
        <v>3035</v>
      </c>
      <c r="F12" s="316">
        <f>IF(C12=0,0,+E12/C12)</f>
        <v>0.39030349794238683</v>
      </c>
    </row>
    <row r="13" spans="1:16" ht="15.75" customHeight="1" x14ac:dyDescent="0.25">
      <c r="A13" s="294"/>
      <c r="B13" s="135" t="s">
        <v>602</v>
      </c>
      <c r="C13" s="300">
        <f>SUM(C11:C12)</f>
        <v>7776</v>
      </c>
      <c r="D13" s="300">
        <f>SUM(D11:D12)</f>
        <v>10811</v>
      </c>
      <c r="E13" s="300">
        <f>+D13-C13</f>
        <v>3035</v>
      </c>
      <c r="F13" s="309">
        <f>IF(C13=0,0,+E13/C13)</f>
        <v>0.39030349794238683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576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601</v>
      </c>
      <c r="C16" s="296">
        <v>9777</v>
      </c>
      <c r="D16" s="296">
        <v>10519</v>
      </c>
      <c r="E16" s="296">
        <f>+D16-C16</f>
        <v>742</v>
      </c>
      <c r="F16" s="316">
        <f>IF(C16=0,0,+E16/C16)</f>
        <v>7.5892400531860485E-2</v>
      </c>
    </row>
    <row r="17" spans="1:6" ht="15.75" customHeight="1" x14ac:dyDescent="0.25">
      <c r="A17" s="294"/>
      <c r="B17" s="135" t="s">
        <v>603</v>
      </c>
      <c r="C17" s="300">
        <f>SUM(C15:C16)</f>
        <v>9777</v>
      </c>
      <c r="D17" s="300">
        <f>SUM(D15:D16)</f>
        <v>10519</v>
      </c>
      <c r="E17" s="300">
        <f>+D17-C17</f>
        <v>742</v>
      </c>
      <c r="F17" s="309">
        <f>IF(C17=0,0,+E17/C17)</f>
        <v>7.5892400531860485E-2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604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601</v>
      </c>
      <c r="C20" s="296">
        <v>54992</v>
      </c>
      <c r="D20" s="296">
        <v>56362</v>
      </c>
      <c r="E20" s="296">
        <f>+D20-C20</f>
        <v>1370</v>
      </c>
      <c r="F20" s="316">
        <f>IF(C20=0,0,+E20/C20)</f>
        <v>2.4912714576665697E-2</v>
      </c>
    </row>
    <row r="21" spans="1:6" ht="15.75" customHeight="1" x14ac:dyDescent="0.25">
      <c r="A21" s="294"/>
      <c r="B21" s="135" t="s">
        <v>605</v>
      </c>
      <c r="C21" s="300">
        <f>SUM(C19:C20)</f>
        <v>54992</v>
      </c>
      <c r="D21" s="300">
        <f>SUM(D19:D20)</f>
        <v>56362</v>
      </c>
      <c r="E21" s="300">
        <f>+D21-C21</f>
        <v>1370</v>
      </c>
      <c r="F21" s="309">
        <f>IF(C21=0,0,+E21/C21)</f>
        <v>2.4912714576665697E-2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606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607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608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FILING&amp;RDANBURY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609</v>
      </c>
      <c r="B2" s="704"/>
      <c r="C2" s="704"/>
      <c r="D2" s="704"/>
      <c r="E2" s="704"/>
      <c r="F2" s="705"/>
    </row>
    <row r="3" spans="1:21" ht="15.75" customHeight="1" x14ac:dyDescent="0.25">
      <c r="A3" s="703" t="s">
        <v>610</v>
      </c>
      <c r="B3" s="704"/>
      <c r="C3" s="704"/>
      <c r="D3" s="704"/>
      <c r="E3" s="704"/>
      <c r="F3" s="705"/>
    </row>
    <row r="4" spans="1:21" ht="15.75" customHeight="1" x14ac:dyDescent="0.25">
      <c r="A4" s="706" t="s">
        <v>611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612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613</v>
      </c>
      <c r="D7" s="341" t="s">
        <v>613</v>
      </c>
      <c r="E7" s="341" t="s">
        <v>614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615</v>
      </c>
      <c r="D8" s="344" t="s">
        <v>616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617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618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619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620</v>
      </c>
      <c r="C15" s="361">
        <v>291864516</v>
      </c>
      <c r="D15" s="361">
        <v>286880905</v>
      </c>
      <c r="E15" s="361">
        <f t="shared" ref="E15:E24" si="0">D15-C15</f>
        <v>-4983611</v>
      </c>
      <c r="F15" s="362">
        <f t="shared" ref="F15:F24" si="1">IF(C15=0,0,E15/C15)</f>
        <v>-1.7075083563772447E-2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621</v>
      </c>
      <c r="C16" s="361">
        <v>98949663</v>
      </c>
      <c r="D16" s="361">
        <v>96248763</v>
      </c>
      <c r="E16" s="361">
        <f t="shared" si="0"/>
        <v>-2700900</v>
      </c>
      <c r="F16" s="362">
        <f t="shared" si="1"/>
        <v>-2.7295696802928981E-2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622</v>
      </c>
      <c r="C17" s="366">
        <f>IF(C15=0,0,C16/C15)</f>
        <v>0.33902601232963858</v>
      </c>
      <c r="D17" s="366">
        <f>IF(LN_IA1=0,0,LN_IA2/LN_IA1)</f>
        <v>0.33550076468142764</v>
      </c>
      <c r="E17" s="367">
        <f t="shared" si="0"/>
        <v>-3.5252476482109385E-3</v>
      </c>
      <c r="F17" s="362">
        <f t="shared" si="1"/>
        <v>-1.039816273679703E-2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9495</v>
      </c>
      <c r="D18" s="369">
        <v>8736</v>
      </c>
      <c r="E18" s="369">
        <f t="shared" si="0"/>
        <v>-759</v>
      </c>
      <c r="F18" s="362">
        <f t="shared" si="1"/>
        <v>-7.9936808846761451E-2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623</v>
      </c>
      <c r="C19" s="372">
        <v>1.3328</v>
      </c>
      <c r="D19" s="372">
        <v>1.3210999999999999</v>
      </c>
      <c r="E19" s="373">
        <f t="shared" si="0"/>
        <v>-1.1700000000000044E-2</v>
      </c>
      <c r="F19" s="362">
        <f t="shared" si="1"/>
        <v>-8.7785114045618572E-3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624</v>
      </c>
      <c r="C20" s="376">
        <f>C18*C19</f>
        <v>12654.936</v>
      </c>
      <c r="D20" s="376">
        <f>LN_IA4*LN_IA5</f>
        <v>11541.1296</v>
      </c>
      <c r="E20" s="376">
        <f t="shared" si="0"/>
        <v>-1113.8063999999995</v>
      </c>
      <c r="F20" s="362">
        <f t="shared" si="1"/>
        <v>-8.8013594063217668E-2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625</v>
      </c>
      <c r="C21" s="378">
        <f>IF(C20=0,0,C16/C20)</f>
        <v>7819.0567696272819</v>
      </c>
      <c r="D21" s="378">
        <f>IF(LN_IA6=0,0,LN_IA2/LN_IA6)</f>
        <v>8339.6310704283223</v>
      </c>
      <c r="E21" s="378">
        <f t="shared" si="0"/>
        <v>520.57430080104041</v>
      </c>
      <c r="F21" s="362">
        <f t="shared" si="1"/>
        <v>6.6577634123745483E-2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52749</v>
      </c>
      <c r="D22" s="369">
        <v>48594</v>
      </c>
      <c r="E22" s="369">
        <f t="shared" si="0"/>
        <v>-4155</v>
      </c>
      <c r="F22" s="362">
        <f t="shared" si="1"/>
        <v>-7.8769265768071431E-2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626</v>
      </c>
      <c r="C23" s="378">
        <f>IF(C22=0,0,C16/C22)</f>
        <v>1875.8585565603139</v>
      </c>
      <c r="D23" s="378">
        <f>IF(LN_IA8=0,0,LN_IA2/LN_IA8)</f>
        <v>1980.6717495987159</v>
      </c>
      <c r="E23" s="378">
        <f t="shared" si="0"/>
        <v>104.81319303840201</v>
      </c>
      <c r="F23" s="362">
        <f t="shared" si="1"/>
        <v>5.5874784733553541E-2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627</v>
      </c>
      <c r="C24" s="379">
        <f>IF(C18=0,0,C22/C18)</f>
        <v>5.5554502369668244</v>
      </c>
      <c r="D24" s="379">
        <f>IF(LN_IA4=0,0,LN_IA8/LN_IA4)</f>
        <v>5.5625</v>
      </c>
      <c r="E24" s="379">
        <f t="shared" si="0"/>
        <v>7.0497630331756156E-3</v>
      </c>
      <c r="F24" s="362">
        <f t="shared" si="1"/>
        <v>1.2689814024910895E-3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628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629</v>
      </c>
      <c r="C27" s="361">
        <v>198092097</v>
      </c>
      <c r="D27" s="361">
        <v>221855893</v>
      </c>
      <c r="E27" s="361">
        <f t="shared" ref="E27:E32" si="2">D27-C27</f>
        <v>23763796</v>
      </c>
      <c r="F27" s="362">
        <f t="shared" ref="F27:F32" si="3">IF(C27=0,0,E27/C27)</f>
        <v>0.1199633723903685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630</v>
      </c>
      <c r="C28" s="361">
        <v>67074143</v>
      </c>
      <c r="D28" s="361">
        <v>74385515</v>
      </c>
      <c r="E28" s="361">
        <f t="shared" si="2"/>
        <v>7311372</v>
      </c>
      <c r="F28" s="362">
        <f t="shared" si="3"/>
        <v>0.10900432973105598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631</v>
      </c>
      <c r="C29" s="366">
        <f>IF(C27=0,0,C28/C27)</f>
        <v>0.33860080243382956</v>
      </c>
      <c r="D29" s="366">
        <f>IF(LN_IA11=0,0,LN_IA12/LN_IA11)</f>
        <v>0.33528753279499318</v>
      </c>
      <c r="E29" s="367">
        <f t="shared" si="2"/>
        <v>-3.3132696388363803E-3</v>
      </c>
      <c r="F29" s="362">
        <f t="shared" si="3"/>
        <v>-9.7851795241503305E-3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632</v>
      </c>
      <c r="C30" s="366">
        <f>IF(C15=0,0,C27/C15)</f>
        <v>0.67871250577099962</v>
      </c>
      <c r="D30" s="366">
        <f>IF(LN_IA1=0,0,LN_IA11/LN_IA1)</f>
        <v>0.77333795708710551</v>
      </c>
      <c r="E30" s="367">
        <f t="shared" si="2"/>
        <v>9.4625451316105891E-2</v>
      </c>
      <c r="F30" s="362">
        <f t="shared" si="3"/>
        <v>0.13941904784650144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633</v>
      </c>
      <c r="C31" s="376">
        <f>C30*C18</f>
        <v>6444.3752422956413</v>
      </c>
      <c r="D31" s="376">
        <f>LN_IA14*LN_IA4</f>
        <v>6755.8803931129542</v>
      </c>
      <c r="E31" s="376">
        <f t="shared" si="2"/>
        <v>311.50515081731282</v>
      </c>
      <c r="F31" s="362">
        <f t="shared" si="3"/>
        <v>4.8337525222436797E-2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634</v>
      </c>
      <c r="C32" s="378">
        <f>IF(C31=0,0,C28/C31)</f>
        <v>10408.168438079123</v>
      </c>
      <c r="D32" s="378">
        <f>IF(LN_IA15=0,0,LN_IA12/LN_IA15)</f>
        <v>11010.484299844875</v>
      </c>
      <c r="E32" s="378">
        <f t="shared" si="2"/>
        <v>602.31586176575183</v>
      </c>
      <c r="F32" s="362">
        <f t="shared" si="3"/>
        <v>5.786953442856773E-2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635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636</v>
      </c>
      <c r="C35" s="361">
        <f>C15+C27</f>
        <v>489956613</v>
      </c>
      <c r="D35" s="361">
        <f>LN_IA1+LN_IA11</f>
        <v>508736798</v>
      </c>
      <c r="E35" s="361">
        <f>D35-C35</f>
        <v>18780185</v>
      </c>
      <c r="F35" s="362">
        <f>IF(C35=0,0,E35/C35)</f>
        <v>3.8330302115954909E-2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637</v>
      </c>
      <c r="C36" s="361">
        <f>C16+C28</f>
        <v>166023806</v>
      </c>
      <c r="D36" s="361">
        <f>LN_IA2+LN_IA12</f>
        <v>170634278</v>
      </c>
      <c r="E36" s="361">
        <f>D36-C36</f>
        <v>4610472</v>
      </c>
      <c r="F36" s="362">
        <f>IF(C36=0,0,E36/C36)</f>
        <v>2.7769945233034835E-2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638</v>
      </c>
      <c r="C37" s="361">
        <f>C35-C36</f>
        <v>323932807</v>
      </c>
      <c r="D37" s="361">
        <f>LN_IA17-LN_IA18</f>
        <v>338102520</v>
      </c>
      <c r="E37" s="361">
        <f>D37-C37</f>
        <v>14169713</v>
      </c>
      <c r="F37" s="362">
        <f>IF(C37=0,0,E37/C37)</f>
        <v>4.3742753724848871E-2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639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640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620</v>
      </c>
      <c r="C42" s="361">
        <v>190380782</v>
      </c>
      <c r="D42" s="361">
        <v>183085674</v>
      </c>
      <c r="E42" s="361">
        <f t="shared" ref="E42:E53" si="4">D42-C42</f>
        <v>-7295108</v>
      </c>
      <c r="F42" s="362">
        <f t="shared" ref="F42:F53" si="5">IF(C42=0,0,E42/C42)</f>
        <v>-3.8318510531173258E-2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621</v>
      </c>
      <c r="C43" s="361">
        <v>112612777</v>
      </c>
      <c r="D43" s="361">
        <v>108067227</v>
      </c>
      <c r="E43" s="361">
        <f t="shared" si="4"/>
        <v>-4545550</v>
      </c>
      <c r="F43" s="362">
        <f t="shared" si="5"/>
        <v>-4.0364425077626852E-2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622</v>
      </c>
      <c r="C44" s="366">
        <f>IF(C42=0,0,C43/C42)</f>
        <v>0.59151336504122565</v>
      </c>
      <c r="D44" s="366">
        <f>IF(LN_IB1=0,0,LN_IB2/LN_IB1)</f>
        <v>0.59025495899804814</v>
      </c>
      <c r="E44" s="367">
        <f t="shared" si="4"/>
        <v>-1.2584060431775068E-3</v>
      </c>
      <c r="F44" s="362">
        <f t="shared" si="5"/>
        <v>-2.1274346744300562E-3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8068</v>
      </c>
      <c r="D45" s="369">
        <v>7521</v>
      </c>
      <c r="E45" s="369">
        <f t="shared" si="4"/>
        <v>-547</v>
      </c>
      <c r="F45" s="362">
        <f t="shared" si="5"/>
        <v>-6.779871095686664E-2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623</v>
      </c>
      <c r="C46" s="372">
        <v>1.1952</v>
      </c>
      <c r="D46" s="372">
        <v>1.2112000000000001</v>
      </c>
      <c r="E46" s="373">
        <f t="shared" si="4"/>
        <v>1.6000000000000014E-2</v>
      </c>
      <c r="F46" s="362">
        <f t="shared" si="5"/>
        <v>1.3386880856760387E-2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624</v>
      </c>
      <c r="C47" s="376">
        <f>C45*C46</f>
        <v>9642.8736000000008</v>
      </c>
      <c r="D47" s="376">
        <f>LN_IB4*LN_IB5</f>
        <v>9109.4351999999999</v>
      </c>
      <c r="E47" s="376">
        <f t="shared" si="4"/>
        <v>-533.43840000000091</v>
      </c>
      <c r="F47" s="362">
        <f t="shared" si="5"/>
        <v>-5.5319443365927853E-2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625</v>
      </c>
      <c r="C48" s="378">
        <f>IF(C47=0,0,C43/C47)</f>
        <v>11678.342128222026</v>
      </c>
      <c r="D48" s="378">
        <f>IF(LN_IB6=0,0,LN_IB2/LN_IB6)</f>
        <v>11863.219247665322</v>
      </c>
      <c r="E48" s="378">
        <f t="shared" si="4"/>
        <v>184.87711944329567</v>
      </c>
      <c r="F48" s="362">
        <f t="shared" si="5"/>
        <v>1.5830767536474149E-2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641</v>
      </c>
      <c r="C49" s="378">
        <f>C21-C48</f>
        <v>-3859.2853585947441</v>
      </c>
      <c r="D49" s="378">
        <f>LN_IA7-LN_IB7</f>
        <v>-3523.5881772369994</v>
      </c>
      <c r="E49" s="378">
        <f t="shared" si="4"/>
        <v>335.69718135774474</v>
      </c>
      <c r="F49" s="362">
        <f t="shared" si="5"/>
        <v>-8.6984285992259436E-2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642</v>
      </c>
      <c r="C50" s="391">
        <f>C49*C47</f>
        <v>-37214600.899259791</v>
      </c>
      <c r="D50" s="391">
        <f>LN_IB8*LN_IB6</f>
        <v>-32097898.17202656</v>
      </c>
      <c r="E50" s="391">
        <f t="shared" si="4"/>
        <v>5116702.7272332311</v>
      </c>
      <c r="F50" s="362">
        <f t="shared" si="5"/>
        <v>-0.13749180707551276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30391</v>
      </c>
      <c r="D51" s="369">
        <v>27864</v>
      </c>
      <c r="E51" s="369">
        <f t="shared" si="4"/>
        <v>-2527</v>
      </c>
      <c r="F51" s="362">
        <f t="shared" si="5"/>
        <v>-8.3149616662827816E-2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626</v>
      </c>
      <c r="C52" s="378">
        <f>IF(C51=0,0,C43/C51)</f>
        <v>3705.4646770425456</v>
      </c>
      <c r="D52" s="378">
        <f>IF(LN_IB10=0,0,LN_IB2/LN_IB10)</f>
        <v>3878.3816752799312</v>
      </c>
      <c r="E52" s="378">
        <f t="shared" si="4"/>
        <v>172.91699823738554</v>
      </c>
      <c r="F52" s="362">
        <f t="shared" si="5"/>
        <v>4.666540186139255E-2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627</v>
      </c>
      <c r="C53" s="379">
        <f>IF(C45=0,0,C51/C45)</f>
        <v>3.766856717897868</v>
      </c>
      <c r="D53" s="379">
        <f>IF(LN_IB4=0,0,LN_IB10/LN_IB4)</f>
        <v>3.7048264858396491</v>
      </c>
      <c r="E53" s="379">
        <f t="shared" si="4"/>
        <v>-6.2030232058218893E-2</v>
      </c>
      <c r="F53" s="362">
        <f t="shared" si="5"/>
        <v>-1.646737232225692E-2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643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629</v>
      </c>
      <c r="C56" s="361">
        <v>302829736</v>
      </c>
      <c r="D56" s="361">
        <v>337975393</v>
      </c>
      <c r="E56" s="361">
        <f t="shared" ref="E56:E63" si="6">D56-C56</f>
        <v>35145657</v>
      </c>
      <c r="F56" s="362">
        <f t="shared" ref="F56:F63" si="7">IF(C56=0,0,E56/C56)</f>
        <v>0.11605748320567832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630</v>
      </c>
      <c r="C57" s="361">
        <v>171413135</v>
      </c>
      <c r="D57" s="361">
        <v>192273237</v>
      </c>
      <c r="E57" s="361">
        <f t="shared" si="6"/>
        <v>20860102</v>
      </c>
      <c r="F57" s="362">
        <f t="shared" si="7"/>
        <v>0.12169488645079619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631</v>
      </c>
      <c r="C58" s="366">
        <f>IF(C56=0,0,C57/C56)</f>
        <v>0.56603798974351716</v>
      </c>
      <c r="D58" s="366">
        <f>IF(LN_IB13=0,0,LN_IB14/LN_IB13)</f>
        <v>0.56889714749144471</v>
      </c>
      <c r="E58" s="367">
        <f t="shared" si="6"/>
        <v>2.8591577479275543E-3</v>
      </c>
      <c r="F58" s="362">
        <f t="shared" si="7"/>
        <v>5.0511764223159202E-3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632</v>
      </c>
      <c r="C59" s="366">
        <f>IF(C42=0,0,C56/C42)</f>
        <v>1.5906528632706216</v>
      </c>
      <c r="D59" s="366">
        <f>IF(LN_IB1=0,0,LN_IB13/LN_IB1)</f>
        <v>1.8459958423617568</v>
      </c>
      <c r="E59" s="367">
        <f t="shared" si="6"/>
        <v>0.25534297909113524</v>
      </c>
      <c r="F59" s="362">
        <f t="shared" si="7"/>
        <v>0.16052715522487518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633</v>
      </c>
      <c r="C60" s="376">
        <f>C59*C45</f>
        <v>12833.387300867375</v>
      </c>
      <c r="D60" s="376">
        <f>LN_IB16*LN_IB4</f>
        <v>13883.734730402773</v>
      </c>
      <c r="E60" s="376">
        <f t="shared" si="6"/>
        <v>1050.347429535399</v>
      </c>
      <c r="F60" s="362">
        <f t="shared" si="7"/>
        <v>8.184491007018925E-2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634</v>
      </c>
      <c r="C61" s="378">
        <f>IF(C60=0,0,C57/C60)</f>
        <v>13356.8114934406</v>
      </c>
      <c r="D61" s="378">
        <f>IF(LN_IB17=0,0,LN_IB14/LN_IB17)</f>
        <v>13848.812350106178</v>
      </c>
      <c r="E61" s="378">
        <f t="shared" si="6"/>
        <v>492.00085666557788</v>
      </c>
      <c r="F61" s="362">
        <f t="shared" si="7"/>
        <v>3.6835202541204891E-2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644</v>
      </c>
      <c r="C62" s="378">
        <f>C32-C61</f>
        <v>-2948.6430553614773</v>
      </c>
      <c r="D62" s="378">
        <f>LN_IA16-LN_IB18</f>
        <v>-2838.3280502613034</v>
      </c>
      <c r="E62" s="378">
        <f t="shared" si="6"/>
        <v>110.31500510017395</v>
      </c>
      <c r="F62" s="362">
        <f t="shared" si="7"/>
        <v>-3.7412125858906416E-2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645</v>
      </c>
      <c r="C63" s="361">
        <f>C62*C60</f>
        <v>-37841078.341466755</v>
      </c>
      <c r="D63" s="361">
        <f>LN_IB19*LN_IB17</f>
        <v>-39406593.727689244</v>
      </c>
      <c r="E63" s="361">
        <f t="shared" si="6"/>
        <v>-1565515.3862224892</v>
      </c>
      <c r="F63" s="362">
        <f t="shared" si="7"/>
        <v>4.137079213482605E-2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646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636</v>
      </c>
      <c r="C66" s="361">
        <f>C42+C56</f>
        <v>493210518</v>
      </c>
      <c r="D66" s="361">
        <f>LN_IB1+LN_IB13</f>
        <v>521061067</v>
      </c>
      <c r="E66" s="361">
        <f>D66-C66</f>
        <v>27850549</v>
      </c>
      <c r="F66" s="362">
        <f>IF(C66=0,0,E66/C66)</f>
        <v>5.6467873217578055E-2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637</v>
      </c>
      <c r="C67" s="361">
        <f>C43+C57</f>
        <v>284025912</v>
      </c>
      <c r="D67" s="361">
        <f>LN_IB2+LN_IB14</f>
        <v>300340464</v>
      </c>
      <c r="E67" s="361">
        <f>D67-C67</f>
        <v>16314552</v>
      </c>
      <c r="F67" s="362">
        <f>IF(C67=0,0,E67/C67)</f>
        <v>5.7440364807278571E-2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638</v>
      </c>
      <c r="C68" s="361">
        <f>C66-C67</f>
        <v>209184606</v>
      </c>
      <c r="D68" s="361">
        <f>LN_IB21-LN_IB22</f>
        <v>220720603</v>
      </c>
      <c r="E68" s="361">
        <f>D68-C68</f>
        <v>11535997</v>
      </c>
      <c r="F68" s="362">
        <f>IF(C68=0,0,E68/C68)</f>
        <v>5.5147447130980569E-2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647</v>
      </c>
      <c r="C70" s="353">
        <f>C50+C63</f>
        <v>-75055679.240726545</v>
      </c>
      <c r="D70" s="353">
        <f>LN_IB9+LN_IB20</f>
        <v>-71504491.899715811</v>
      </c>
      <c r="E70" s="361">
        <f>D70-C70</f>
        <v>3551187.3410107344</v>
      </c>
      <c r="F70" s="362">
        <f>IF(C70=0,0,E70/C70)</f>
        <v>-4.7314039083185024E-2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648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649</v>
      </c>
      <c r="C73" s="400">
        <v>440484262</v>
      </c>
      <c r="D73" s="400">
        <v>457174326</v>
      </c>
      <c r="E73" s="400">
        <f>D73-C73</f>
        <v>16690064</v>
      </c>
      <c r="F73" s="401">
        <f>IF(C73=0,0,E73/C73)</f>
        <v>3.7890261786469911E-2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650</v>
      </c>
      <c r="C74" s="400">
        <v>274413100</v>
      </c>
      <c r="D74" s="400">
        <v>285461328</v>
      </c>
      <c r="E74" s="400">
        <f>D74-C74</f>
        <v>11048228</v>
      </c>
      <c r="F74" s="401">
        <f>IF(C74=0,0,E74/C74)</f>
        <v>4.0261299478778531E-2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651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652</v>
      </c>
      <c r="C76" s="353">
        <f>C73-C74</f>
        <v>166071162</v>
      </c>
      <c r="D76" s="353">
        <f>LN_IB32-LN_IB33</f>
        <v>171712998</v>
      </c>
      <c r="E76" s="400">
        <f>D76-C76</f>
        <v>5641836</v>
      </c>
      <c r="F76" s="401">
        <f>IF(C76=0,0,E76/C76)</f>
        <v>3.3972400337633574E-2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653</v>
      </c>
      <c r="C77" s="366">
        <f>IF(C73=0,0,C76/C73)</f>
        <v>0.37701951312848492</v>
      </c>
      <c r="D77" s="366">
        <f>IF(LN_IB1=0,0,LN_IB34/LN_IB32)</f>
        <v>0.37559632777803886</v>
      </c>
      <c r="E77" s="405">
        <f>D77-C77</f>
        <v>-1.4231853504460545E-3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654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655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620</v>
      </c>
      <c r="C83" s="361">
        <v>5413243</v>
      </c>
      <c r="D83" s="361">
        <v>6349011</v>
      </c>
      <c r="E83" s="361">
        <f t="shared" ref="E83:E95" si="8">D83-C83</f>
        <v>935768</v>
      </c>
      <c r="F83" s="362">
        <f t="shared" ref="F83:F95" si="9">IF(C83=0,0,E83/C83)</f>
        <v>0.17286643145338201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621</v>
      </c>
      <c r="C84" s="361">
        <v>613179</v>
      </c>
      <c r="D84" s="361">
        <v>1343992</v>
      </c>
      <c r="E84" s="361">
        <f t="shared" si="8"/>
        <v>730813</v>
      </c>
      <c r="F84" s="362">
        <f t="shared" si="9"/>
        <v>1.191842838714307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622</v>
      </c>
      <c r="C85" s="366">
        <f>IF(C83=0,0,C84/C83)</f>
        <v>0.11327387298150111</v>
      </c>
      <c r="D85" s="366">
        <f>IF(LN_IC1=0,0,LN_IC2/LN_IC1)</f>
        <v>0.21168525302602248</v>
      </c>
      <c r="E85" s="367">
        <f t="shared" si="8"/>
        <v>9.8411380044521365E-2</v>
      </c>
      <c r="F85" s="362">
        <f t="shared" si="9"/>
        <v>0.86879151788685671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248</v>
      </c>
      <c r="D86" s="369">
        <v>197</v>
      </c>
      <c r="E86" s="369">
        <f t="shared" si="8"/>
        <v>-51</v>
      </c>
      <c r="F86" s="362">
        <f t="shared" si="9"/>
        <v>-0.20564516129032259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623</v>
      </c>
      <c r="C87" s="372">
        <v>1.2153</v>
      </c>
      <c r="D87" s="372">
        <v>1.2902</v>
      </c>
      <c r="E87" s="373">
        <f t="shared" si="8"/>
        <v>7.4899999999999967E-2</v>
      </c>
      <c r="F87" s="362">
        <f t="shared" si="9"/>
        <v>6.1630873035464467E-2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624</v>
      </c>
      <c r="C88" s="376">
        <f>C86*C87</f>
        <v>301.39440000000002</v>
      </c>
      <c r="D88" s="376">
        <f>LN_IC4*LN_IC5</f>
        <v>254.1694</v>
      </c>
      <c r="E88" s="376">
        <f t="shared" si="8"/>
        <v>-47.225000000000023</v>
      </c>
      <c r="F88" s="362">
        <f t="shared" si="9"/>
        <v>-0.15668837908069963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625</v>
      </c>
      <c r="C89" s="378">
        <f>IF(C88=0,0,C84/C88)</f>
        <v>2034.4737659359296</v>
      </c>
      <c r="D89" s="378">
        <f>IF(LN_IC6=0,0,LN_IC2/LN_IC6)</f>
        <v>5287.7805117374473</v>
      </c>
      <c r="E89" s="378">
        <f t="shared" si="8"/>
        <v>3253.3067458015175</v>
      </c>
      <c r="F89" s="362">
        <f t="shared" si="9"/>
        <v>1.5990900449408754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656</v>
      </c>
      <c r="C90" s="378">
        <f>C48-C89</f>
        <v>9643.8683622860972</v>
      </c>
      <c r="D90" s="378">
        <f>LN_IB7-LN_IC7</f>
        <v>6575.4387359278744</v>
      </c>
      <c r="E90" s="378">
        <f t="shared" si="8"/>
        <v>-3068.4296263582228</v>
      </c>
      <c r="F90" s="362">
        <f t="shared" si="9"/>
        <v>-0.31817415077520261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657</v>
      </c>
      <c r="C91" s="378">
        <f>C21-C89</f>
        <v>5784.5830036913521</v>
      </c>
      <c r="D91" s="378">
        <f>LN_IA7-LN_IC7</f>
        <v>3051.850558690875</v>
      </c>
      <c r="E91" s="378">
        <f t="shared" si="8"/>
        <v>-2732.7324450004771</v>
      </c>
      <c r="F91" s="362">
        <f t="shared" si="9"/>
        <v>-0.47241649800108693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642</v>
      </c>
      <c r="C92" s="353">
        <f>C91*C88</f>
        <v>1743440.923647753</v>
      </c>
      <c r="D92" s="353">
        <f>LN_IC9*LN_IC6</f>
        <v>775687.02539212443</v>
      </c>
      <c r="E92" s="353">
        <f t="shared" si="8"/>
        <v>-967753.89825562853</v>
      </c>
      <c r="F92" s="362">
        <f t="shared" si="9"/>
        <v>-0.55508270175901575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960</v>
      </c>
      <c r="D93" s="369">
        <v>751</v>
      </c>
      <c r="E93" s="369">
        <f t="shared" si="8"/>
        <v>-209</v>
      </c>
      <c r="F93" s="362">
        <f t="shared" si="9"/>
        <v>-0.21770833333333334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626</v>
      </c>
      <c r="C94" s="411">
        <f>IF(C93=0,0,C84/C93)</f>
        <v>638.72812499999998</v>
      </c>
      <c r="D94" s="411">
        <f>IF(LN_IC11=0,0,LN_IC2/LN_IC11)</f>
        <v>1789.6031957390146</v>
      </c>
      <c r="E94" s="411">
        <f t="shared" si="8"/>
        <v>1150.8750707390145</v>
      </c>
      <c r="F94" s="362">
        <f t="shared" si="9"/>
        <v>1.801823069461697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627</v>
      </c>
      <c r="C95" s="379">
        <f>IF(C86=0,0,C93/C86)</f>
        <v>3.870967741935484</v>
      </c>
      <c r="D95" s="379">
        <f>IF(LN_IC4=0,0,LN_IC11/LN_IC4)</f>
        <v>3.8121827411167515</v>
      </c>
      <c r="E95" s="379">
        <f t="shared" si="8"/>
        <v>-5.8785000818732502E-2</v>
      </c>
      <c r="F95" s="362">
        <f t="shared" si="9"/>
        <v>-1.5186125211505896E-2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658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629</v>
      </c>
      <c r="C98" s="361">
        <v>22935833</v>
      </c>
      <c r="D98" s="361">
        <v>30198901</v>
      </c>
      <c r="E98" s="361">
        <f t="shared" ref="E98:E106" si="10">D98-C98</f>
        <v>7263068</v>
      </c>
      <c r="F98" s="362">
        <f t="shared" ref="F98:F106" si="11">IF(C98=0,0,E98/C98)</f>
        <v>0.31666903050785206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630</v>
      </c>
      <c r="C99" s="361">
        <v>2598031</v>
      </c>
      <c r="D99" s="361">
        <v>6392663</v>
      </c>
      <c r="E99" s="361">
        <f t="shared" si="10"/>
        <v>3794632</v>
      </c>
      <c r="F99" s="362">
        <f t="shared" si="11"/>
        <v>1.4605799545886866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631</v>
      </c>
      <c r="C100" s="366">
        <f>IF(C98=0,0,C99/C98)</f>
        <v>0.11327388894050633</v>
      </c>
      <c r="D100" s="366">
        <f>IF(LN_IC14=0,0,LN_IC15/LN_IC14)</f>
        <v>0.21168528616322826</v>
      </c>
      <c r="E100" s="367">
        <f t="shared" si="10"/>
        <v>9.8411397222721936E-2</v>
      </c>
      <c r="F100" s="362">
        <f t="shared" si="11"/>
        <v>0.86879154713589413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632</v>
      </c>
      <c r="C101" s="366">
        <f>IF(C83=0,0,C98/C83)</f>
        <v>4.236985666448005</v>
      </c>
      <c r="D101" s="366">
        <f>IF(LN_IC1=0,0,LN_IC14/LN_IC1)</f>
        <v>4.7564732522907898</v>
      </c>
      <c r="E101" s="367">
        <f t="shared" si="10"/>
        <v>0.51948758584278476</v>
      </c>
      <c r="F101" s="362">
        <f t="shared" si="11"/>
        <v>0.122607822338537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633</v>
      </c>
      <c r="C102" s="376">
        <f>C101*C86</f>
        <v>1050.7724452791053</v>
      </c>
      <c r="D102" s="376">
        <f>LN_IC17*LN_IC4</f>
        <v>937.02523070128564</v>
      </c>
      <c r="E102" s="376">
        <f t="shared" si="10"/>
        <v>-113.7472145778197</v>
      </c>
      <c r="F102" s="362">
        <f t="shared" si="11"/>
        <v>-0.10825104435204928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634</v>
      </c>
      <c r="C103" s="378">
        <f>IF(C102=0,0,C99/C102)</f>
        <v>2472.4963160886018</v>
      </c>
      <c r="D103" s="378">
        <f>IF(LN_IC18=0,0,LN_IC15/LN_IC18)</f>
        <v>6822.2954842055024</v>
      </c>
      <c r="E103" s="378">
        <f t="shared" si="10"/>
        <v>4349.7991681169005</v>
      </c>
      <c r="F103" s="362">
        <f t="shared" si="11"/>
        <v>1.7592742766946252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659</v>
      </c>
      <c r="C104" s="378">
        <f>C61-C103</f>
        <v>10884.315177351998</v>
      </c>
      <c r="D104" s="378">
        <f>LN_IB18-LN_IC19</f>
        <v>7026.5168659006758</v>
      </c>
      <c r="E104" s="378">
        <f t="shared" si="10"/>
        <v>-3857.7983114513227</v>
      </c>
      <c r="F104" s="362">
        <f t="shared" si="11"/>
        <v>-0.35443647566165676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660</v>
      </c>
      <c r="C105" s="378">
        <f>C32-C103</f>
        <v>7935.6721219905212</v>
      </c>
      <c r="D105" s="378">
        <f>LN_IA16-LN_IC19</f>
        <v>4188.1888156393725</v>
      </c>
      <c r="E105" s="378">
        <f t="shared" si="10"/>
        <v>-3747.4833063511487</v>
      </c>
      <c r="F105" s="362">
        <f t="shared" si="11"/>
        <v>-0.47223262865996024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645</v>
      </c>
      <c r="C106" s="361">
        <f>C105*C102</f>
        <v>8338585.6005572071</v>
      </c>
      <c r="D106" s="361">
        <f>LN_IC21*LN_IC18</f>
        <v>3924438.5911950273</v>
      </c>
      <c r="E106" s="361">
        <f t="shared" si="10"/>
        <v>-4414147.0093621798</v>
      </c>
      <c r="F106" s="362">
        <f t="shared" si="11"/>
        <v>-0.52936399778245535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661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636</v>
      </c>
      <c r="C109" s="361">
        <f>C83+C98</f>
        <v>28349076</v>
      </c>
      <c r="D109" s="361">
        <f>LN_IC1+LN_IC14</f>
        <v>36547912</v>
      </c>
      <c r="E109" s="361">
        <f>D109-C109</f>
        <v>8198836</v>
      </c>
      <c r="F109" s="362">
        <f>IF(C109=0,0,E109/C109)</f>
        <v>0.28920999047729107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637</v>
      </c>
      <c r="C110" s="361">
        <f>C84+C99</f>
        <v>3211210</v>
      </c>
      <c r="D110" s="361">
        <f>LN_IC2+LN_IC15</f>
        <v>7736655</v>
      </c>
      <c r="E110" s="361">
        <f>D110-C110</f>
        <v>4525445</v>
      </c>
      <c r="F110" s="362">
        <f>IF(C110=0,0,E110/C110)</f>
        <v>1.4092647319857623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638</v>
      </c>
      <c r="C111" s="361">
        <f>C109-C110</f>
        <v>25137866</v>
      </c>
      <c r="D111" s="361">
        <f>LN_IC23-LN_IC24</f>
        <v>28811257</v>
      </c>
      <c r="E111" s="361">
        <f>D111-C111</f>
        <v>3673391</v>
      </c>
      <c r="F111" s="362">
        <f>IF(C111=0,0,E111/C111)</f>
        <v>0.1461297868323429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647</v>
      </c>
      <c r="C113" s="361">
        <f>C92+C106</f>
        <v>10082026.52420496</v>
      </c>
      <c r="D113" s="361">
        <f>LN_IC10+LN_IC22</f>
        <v>4700125.6165871518</v>
      </c>
      <c r="E113" s="361">
        <f>D113-C113</f>
        <v>-5381900.9076178083</v>
      </c>
      <c r="F113" s="362">
        <f>IF(C113=0,0,E113/C113)</f>
        <v>-0.53381142121545944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333</v>
      </c>
      <c r="B115" s="356" t="s">
        <v>662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663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620</v>
      </c>
      <c r="C118" s="361">
        <v>59876239</v>
      </c>
      <c r="D118" s="361">
        <v>72740335</v>
      </c>
      <c r="E118" s="361">
        <f t="shared" ref="E118:E130" si="12">D118-C118</f>
        <v>12864096</v>
      </c>
      <c r="F118" s="362">
        <f t="shared" ref="F118:F130" si="13">IF(C118=0,0,E118/C118)</f>
        <v>0.21484475669889688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621</v>
      </c>
      <c r="C119" s="361">
        <v>14451349</v>
      </c>
      <c r="D119" s="361">
        <v>18124266</v>
      </c>
      <c r="E119" s="361">
        <f t="shared" si="12"/>
        <v>3672917</v>
      </c>
      <c r="F119" s="362">
        <f t="shared" si="13"/>
        <v>0.2541573800480495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622</v>
      </c>
      <c r="C120" s="366">
        <f>IF(C118=0,0,C119/C118)</f>
        <v>0.2413536528237854</v>
      </c>
      <c r="D120" s="366">
        <f>IF(LN_ID1=0,0,LN_1D2/LN_ID1)</f>
        <v>0.2491639061051891</v>
      </c>
      <c r="E120" s="367">
        <f t="shared" si="12"/>
        <v>7.8102532814036951E-3</v>
      </c>
      <c r="F120" s="362">
        <f t="shared" si="13"/>
        <v>3.2360203336578609E-2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3069</v>
      </c>
      <c r="D121" s="369">
        <v>3326</v>
      </c>
      <c r="E121" s="369">
        <f t="shared" si="12"/>
        <v>257</v>
      </c>
      <c r="F121" s="362">
        <f t="shared" si="13"/>
        <v>8.3740632127728906E-2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623</v>
      </c>
      <c r="C122" s="372">
        <v>1.0314000000000001</v>
      </c>
      <c r="D122" s="372">
        <v>0.99129999999999996</v>
      </c>
      <c r="E122" s="373">
        <f t="shared" si="12"/>
        <v>-4.0100000000000136E-2</v>
      </c>
      <c r="F122" s="362">
        <f t="shared" si="13"/>
        <v>-3.887919332945524E-2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624</v>
      </c>
      <c r="C123" s="376">
        <f>C121*C122</f>
        <v>3165.3666000000003</v>
      </c>
      <c r="D123" s="376">
        <f>LN_ID4*LN_ID5</f>
        <v>3297.0637999999999</v>
      </c>
      <c r="E123" s="376">
        <f t="shared" si="12"/>
        <v>131.69719999999961</v>
      </c>
      <c r="F123" s="362">
        <f t="shared" si="13"/>
        <v>4.1605670572248912E-2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625</v>
      </c>
      <c r="C124" s="378">
        <f>IF(C123=0,0,C119/C123)</f>
        <v>4565.4582315994612</v>
      </c>
      <c r="D124" s="378">
        <f>IF(LN_ID6=0,0,LN_1D2/LN_ID6)</f>
        <v>5497.0928982326641</v>
      </c>
      <c r="E124" s="378">
        <f t="shared" si="12"/>
        <v>931.63466663320287</v>
      </c>
      <c r="F124" s="362">
        <f t="shared" si="13"/>
        <v>0.20406159017838923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664</v>
      </c>
      <c r="C125" s="378">
        <f>C48-C124</f>
        <v>7112.8838966225649</v>
      </c>
      <c r="D125" s="378">
        <f>LN_IB7-LN_ID7</f>
        <v>6366.1263494326577</v>
      </c>
      <c r="E125" s="378">
        <f t="shared" si="12"/>
        <v>-746.7575471899072</v>
      </c>
      <c r="F125" s="362">
        <f t="shared" si="13"/>
        <v>-0.10498660712632926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665</v>
      </c>
      <c r="C126" s="378">
        <f>C21-C124</f>
        <v>3253.5985380278207</v>
      </c>
      <c r="D126" s="378">
        <f>LN_IA7-LN_ID7</f>
        <v>2842.5381721956583</v>
      </c>
      <c r="E126" s="378">
        <f t="shared" si="12"/>
        <v>-411.06036583216246</v>
      </c>
      <c r="F126" s="362">
        <f t="shared" si="13"/>
        <v>-0.12634022330281966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642</v>
      </c>
      <c r="C127" s="391">
        <f>C126*C123</f>
        <v>10298832.142082095</v>
      </c>
      <c r="D127" s="391">
        <f>LN_ID9*LN_ID6</f>
        <v>9372029.7076644711</v>
      </c>
      <c r="E127" s="391">
        <f t="shared" si="12"/>
        <v>-926802.43441762403</v>
      </c>
      <c r="F127" s="362">
        <f t="shared" si="13"/>
        <v>-8.999102244133228E-2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12889</v>
      </c>
      <c r="D128" s="369">
        <v>15198</v>
      </c>
      <c r="E128" s="369">
        <f t="shared" si="12"/>
        <v>2309</v>
      </c>
      <c r="F128" s="362">
        <f t="shared" si="13"/>
        <v>0.17914500737062611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626</v>
      </c>
      <c r="C129" s="378">
        <f>IF(C128=0,0,C119/C128)</f>
        <v>1121.2156877957948</v>
      </c>
      <c r="D129" s="378">
        <f>IF(LN_ID11=0,0,LN_1D2/LN_ID11)</f>
        <v>1192.5428345834978</v>
      </c>
      <c r="E129" s="378">
        <f t="shared" si="12"/>
        <v>71.327146787702986</v>
      </c>
      <c r="F129" s="362">
        <f t="shared" si="13"/>
        <v>6.3615901529103194E-2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627</v>
      </c>
      <c r="C130" s="379">
        <f>IF(C121=0,0,C128/C121)</f>
        <v>4.199739328771587</v>
      </c>
      <c r="D130" s="379">
        <f>IF(LN_ID4=0,0,LN_ID11/LN_ID4)</f>
        <v>4.5694527961515332</v>
      </c>
      <c r="E130" s="379">
        <f t="shared" si="12"/>
        <v>0.36971346737994626</v>
      </c>
      <c r="F130" s="362">
        <f t="shared" si="13"/>
        <v>8.8032479741566846E-2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666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629</v>
      </c>
      <c r="C133" s="361">
        <v>66075838</v>
      </c>
      <c r="D133" s="361">
        <v>71133372</v>
      </c>
      <c r="E133" s="361">
        <f t="shared" ref="E133:E141" si="14">D133-C133</f>
        <v>5057534</v>
      </c>
      <c r="F133" s="362">
        <f t="shared" ref="F133:F141" si="15">IF(C133=0,0,E133/C133)</f>
        <v>7.6541352377551386E-2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630</v>
      </c>
      <c r="C134" s="361">
        <v>16175876</v>
      </c>
      <c r="D134" s="361">
        <v>17240567</v>
      </c>
      <c r="E134" s="361">
        <f t="shared" si="14"/>
        <v>1064691</v>
      </c>
      <c r="F134" s="362">
        <f t="shared" si="15"/>
        <v>6.5819681110315137E-2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631</v>
      </c>
      <c r="C135" s="366">
        <f>IF(C133=0,0,C134/C133)</f>
        <v>0.24480773138283921</v>
      </c>
      <c r="D135" s="366">
        <f>IF(LN_ID14=0,0,LN_ID15/LN_ID14)</f>
        <v>0.24236960114867043</v>
      </c>
      <c r="E135" s="367">
        <f t="shared" si="14"/>
        <v>-2.4381302341687783E-3</v>
      </c>
      <c r="F135" s="362">
        <f t="shared" si="15"/>
        <v>-9.9593677879230933E-3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632</v>
      </c>
      <c r="C136" s="366">
        <f>IF(C118=0,0,C133/C118)</f>
        <v>1.1035402206875418</v>
      </c>
      <c r="D136" s="366">
        <f>IF(LN_ID1=0,0,LN_ID14/LN_ID1)</f>
        <v>0.97790822657058152</v>
      </c>
      <c r="E136" s="367">
        <f t="shared" si="14"/>
        <v>-0.12563199411696024</v>
      </c>
      <c r="F136" s="362">
        <f t="shared" si="15"/>
        <v>-0.11384450857503625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633</v>
      </c>
      <c r="C137" s="376">
        <f>C136*C121</f>
        <v>3386.7649372900655</v>
      </c>
      <c r="D137" s="376">
        <f>LN_ID17*LN_ID4</f>
        <v>3252.522761573754</v>
      </c>
      <c r="E137" s="376">
        <f t="shared" si="14"/>
        <v>-134.24217571631152</v>
      </c>
      <c r="F137" s="362">
        <f t="shared" si="15"/>
        <v>-3.9637287559651534E-2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634</v>
      </c>
      <c r="C138" s="378">
        <f>IF(C137=0,0,C134/C137)</f>
        <v>4776.202747907033</v>
      </c>
      <c r="D138" s="378">
        <f>IF(LN_ID18=0,0,LN_ID15/LN_ID18)</f>
        <v>5300.6752800272616</v>
      </c>
      <c r="E138" s="378">
        <f t="shared" si="14"/>
        <v>524.47253212022861</v>
      </c>
      <c r="F138" s="362">
        <f t="shared" si="15"/>
        <v>0.10980952019887688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667</v>
      </c>
      <c r="C139" s="378">
        <f>C61-C138</f>
        <v>8580.6087455335673</v>
      </c>
      <c r="D139" s="378">
        <f>LN_IB18-LN_ID19</f>
        <v>8548.1370700789157</v>
      </c>
      <c r="E139" s="378">
        <f t="shared" si="14"/>
        <v>-32.471675454651631</v>
      </c>
      <c r="F139" s="362">
        <f t="shared" si="15"/>
        <v>-3.784309064500114E-3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668</v>
      </c>
      <c r="C140" s="378">
        <f>C32-C138</f>
        <v>5631.96569017209</v>
      </c>
      <c r="D140" s="378">
        <f>LN_IA16-LN_ID19</f>
        <v>5709.8090198176133</v>
      </c>
      <c r="E140" s="378">
        <f t="shared" si="14"/>
        <v>77.843329645523227</v>
      </c>
      <c r="F140" s="362">
        <f t="shared" si="15"/>
        <v>1.3821698129546782E-2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645</v>
      </c>
      <c r="C141" s="353">
        <f>C140*C137</f>
        <v>19074143.92749548</v>
      </c>
      <c r="D141" s="353">
        <f>LN_ID21*LN_ID18</f>
        <v>18571283.801195912</v>
      </c>
      <c r="E141" s="353">
        <f t="shared" si="14"/>
        <v>-502860.12629956752</v>
      </c>
      <c r="F141" s="362">
        <f t="shared" si="15"/>
        <v>-2.6363444053428369E-2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669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636</v>
      </c>
      <c r="C144" s="361">
        <f>C118+C133</f>
        <v>125952077</v>
      </c>
      <c r="D144" s="361">
        <f>LN_ID1+LN_ID14</f>
        <v>143873707</v>
      </c>
      <c r="E144" s="361">
        <f>D144-C144</f>
        <v>17921630</v>
      </c>
      <c r="F144" s="362">
        <f>IF(C144=0,0,E144/C144)</f>
        <v>0.14228927721453929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637</v>
      </c>
      <c r="C145" s="361">
        <f>C119+C134</f>
        <v>30627225</v>
      </c>
      <c r="D145" s="361">
        <f>LN_1D2+LN_ID15</f>
        <v>35364833</v>
      </c>
      <c r="E145" s="361">
        <f>D145-C145</f>
        <v>4737608</v>
      </c>
      <c r="F145" s="362">
        <f>IF(C145=0,0,E145/C145)</f>
        <v>0.15468616565816851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638</v>
      </c>
      <c r="C146" s="361">
        <f>C144-C145</f>
        <v>95324852</v>
      </c>
      <c r="D146" s="361">
        <f>LN_ID23-LN_ID24</f>
        <v>108508874</v>
      </c>
      <c r="E146" s="361">
        <f>D146-C146</f>
        <v>13184022</v>
      </c>
      <c r="F146" s="362">
        <f>IF(C146=0,0,E146/C146)</f>
        <v>0.13830624148254644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647</v>
      </c>
      <c r="C148" s="361">
        <f>C127+C141</f>
        <v>29372976.069577575</v>
      </c>
      <c r="D148" s="361">
        <f>LN_ID10+LN_ID22</f>
        <v>27943313.508860383</v>
      </c>
      <c r="E148" s="361">
        <f>D148-C148</f>
        <v>-1429662.5607171915</v>
      </c>
      <c r="F148" s="415">
        <f>IF(C148=0,0,E148/C148)</f>
        <v>-4.8672717307591234E-2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354</v>
      </c>
      <c r="B150" s="356" t="s">
        <v>670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671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620</v>
      </c>
      <c r="C153" s="361">
        <v>1572425</v>
      </c>
      <c r="D153" s="361">
        <v>799376</v>
      </c>
      <c r="E153" s="361">
        <f t="shared" ref="E153:E165" si="16">D153-C153</f>
        <v>-773049</v>
      </c>
      <c r="F153" s="362">
        <f t="shared" ref="F153:F165" si="17">IF(C153=0,0,E153/C153)</f>
        <v>-0.49162853554223573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621</v>
      </c>
      <c r="C154" s="361">
        <v>286024</v>
      </c>
      <c r="D154" s="361">
        <v>230040</v>
      </c>
      <c r="E154" s="361">
        <f t="shared" si="16"/>
        <v>-55984</v>
      </c>
      <c r="F154" s="362">
        <f t="shared" si="17"/>
        <v>-0.19573182669985736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622</v>
      </c>
      <c r="C155" s="366">
        <f>IF(C153=0,0,C154/C153)</f>
        <v>0.18189993163425919</v>
      </c>
      <c r="D155" s="366">
        <f>IF(LN_IE1=0,0,LN_IE2/LN_IE1)</f>
        <v>0.28777446408198393</v>
      </c>
      <c r="E155" s="367">
        <f t="shared" si="16"/>
        <v>0.10587453244772474</v>
      </c>
      <c r="F155" s="362">
        <f t="shared" si="17"/>
        <v>0.58204822561782776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97</v>
      </c>
      <c r="D156" s="419">
        <v>51</v>
      </c>
      <c r="E156" s="419">
        <f t="shared" si="16"/>
        <v>-46</v>
      </c>
      <c r="F156" s="362">
        <f t="shared" si="17"/>
        <v>-0.47422680412371132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623</v>
      </c>
      <c r="C157" s="372">
        <v>0.91510000000000002</v>
      </c>
      <c r="D157" s="372">
        <v>0.84919999999999995</v>
      </c>
      <c r="E157" s="373">
        <f t="shared" si="16"/>
        <v>-6.590000000000007E-2</v>
      </c>
      <c r="F157" s="362">
        <f t="shared" si="17"/>
        <v>-7.201398754234517E-2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624</v>
      </c>
      <c r="C158" s="376">
        <f>C156*C157</f>
        <v>88.764700000000005</v>
      </c>
      <c r="D158" s="376">
        <f>LN_IE4*LN_IE5</f>
        <v>43.309199999999997</v>
      </c>
      <c r="E158" s="376">
        <f t="shared" si="16"/>
        <v>-45.455500000000008</v>
      </c>
      <c r="F158" s="362">
        <f t="shared" si="17"/>
        <v>-0.51208982850164542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625</v>
      </c>
      <c r="C159" s="378">
        <f>IF(C158=0,0,C154/C158)</f>
        <v>3222.2719166515517</v>
      </c>
      <c r="D159" s="378">
        <f>IF(LN_IE6=0,0,LN_IE2/LN_IE6)</f>
        <v>5311.5735224848304</v>
      </c>
      <c r="E159" s="378">
        <f t="shared" si="16"/>
        <v>2089.3016058332787</v>
      </c>
      <c r="F159" s="362">
        <f t="shared" si="17"/>
        <v>0.64839394684120644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672</v>
      </c>
      <c r="C160" s="378">
        <f>C48-C159</f>
        <v>8456.0702115704735</v>
      </c>
      <c r="D160" s="378">
        <f>LN_IB7-LN_IE7</f>
        <v>6551.6457251804914</v>
      </c>
      <c r="E160" s="378">
        <f t="shared" si="16"/>
        <v>-1904.4244863899821</v>
      </c>
      <c r="F160" s="362">
        <f t="shared" si="17"/>
        <v>-0.22521389235677711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673</v>
      </c>
      <c r="C161" s="378">
        <f>C21-C159</f>
        <v>4596.7848529757302</v>
      </c>
      <c r="D161" s="378">
        <f>LN_IA7-LN_IE7</f>
        <v>3028.057547943492</v>
      </c>
      <c r="E161" s="378">
        <f t="shared" si="16"/>
        <v>-1568.7273050322383</v>
      </c>
      <c r="F161" s="362">
        <f t="shared" si="17"/>
        <v>-0.34126620131388619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642</v>
      </c>
      <c r="C162" s="391">
        <f>C161*C158</f>
        <v>408032.22843893484</v>
      </c>
      <c r="D162" s="391">
        <f>LN_IE9*LN_IE6</f>
        <v>131142.74995539428</v>
      </c>
      <c r="E162" s="391">
        <f t="shared" si="16"/>
        <v>-276889.47848354059</v>
      </c>
      <c r="F162" s="362">
        <f t="shared" si="17"/>
        <v>-0.67859707931129565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537</v>
      </c>
      <c r="D163" s="369">
        <v>252</v>
      </c>
      <c r="E163" s="419">
        <f t="shared" si="16"/>
        <v>-285</v>
      </c>
      <c r="F163" s="362">
        <f t="shared" si="17"/>
        <v>-0.53072625698324027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626</v>
      </c>
      <c r="C164" s="378">
        <f>IF(C163=0,0,C154/C163)</f>
        <v>532.63314711359408</v>
      </c>
      <c r="D164" s="378">
        <f>IF(LN_IE11=0,0,LN_IE2/LN_IE11)</f>
        <v>912.85714285714289</v>
      </c>
      <c r="E164" s="378">
        <f t="shared" si="16"/>
        <v>380.22399574354881</v>
      </c>
      <c r="F164" s="362">
        <f t="shared" si="17"/>
        <v>0.71385717881816102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627</v>
      </c>
      <c r="C165" s="379">
        <f>IF(C156=0,0,C163/C156)</f>
        <v>5.536082474226804</v>
      </c>
      <c r="D165" s="379">
        <f>IF(LN_IE4=0,0,LN_IE11/LN_IE4)</f>
        <v>4.9411764705882355</v>
      </c>
      <c r="E165" s="379">
        <f t="shared" si="16"/>
        <v>-0.59490600363856849</v>
      </c>
      <c r="F165" s="362">
        <f t="shared" si="17"/>
        <v>-0.10745974367400586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674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629</v>
      </c>
      <c r="C168" s="424">
        <v>1132327</v>
      </c>
      <c r="D168" s="424">
        <v>1124628</v>
      </c>
      <c r="E168" s="424">
        <f t="shared" ref="E168:E176" si="18">D168-C168</f>
        <v>-7699</v>
      </c>
      <c r="F168" s="362">
        <f t="shared" ref="F168:F176" si="19">IF(C168=0,0,E168/C168)</f>
        <v>-6.7992726482720978E-3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630</v>
      </c>
      <c r="C169" s="424">
        <v>284556</v>
      </c>
      <c r="D169" s="424">
        <v>295665</v>
      </c>
      <c r="E169" s="424">
        <f t="shared" si="18"/>
        <v>11109</v>
      </c>
      <c r="F169" s="362">
        <f t="shared" si="19"/>
        <v>3.903976721629486E-2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631</v>
      </c>
      <c r="C170" s="366">
        <f>IF(C168=0,0,C169/C168)</f>
        <v>0.25130196489176715</v>
      </c>
      <c r="D170" s="366">
        <f>IF(LN_IE14=0,0,LN_IE15/LN_IE14)</f>
        <v>0.26290026568785413</v>
      </c>
      <c r="E170" s="367">
        <f t="shared" si="18"/>
        <v>1.159830079608698E-2</v>
      </c>
      <c r="F170" s="362">
        <f t="shared" si="19"/>
        <v>4.6152845645605019E-2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632</v>
      </c>
      <c r="C171" s="366">
        <f>IF(C153=0,0,C168/C153)</f>
        <v>0.72011510882871999</v>
      </c>
      <c r="D171" s="366">
        <f>IF(LN_IE1=0,0,LN_IE14/LN_IE1)</f>
        <v>1.4068823682472329</v>
      </c>
      <c r="E171" s="367">
        <f t="shared" si="18"/>
        <v>0.68676725941851291</v>
      </c>
      <c r="F171" s="362">
        <f t="shared" si="19"/>
        <v>0.95369094607048599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633</v>
      </c>
      <c r="C172" s="376">
        <f>C171*C156</f>
        <v>69.851165556385837</v>
      </c>
      <c r="D172" s="376">
        <f>LN_IE17*LN_IE4</f>
        <v>71.751000780608877</v>
      </c>
      <c r="E172" s="376">
        <f t="shared" si="18"/>
        <v>1.8998352242230396</v>
      </c>
      <c r="F172" s="362">
        <f t="shared" si="19"/>
        <v>2.7198332470049321E-2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634</v>
      </c>
      <c r="C173" s="378">
        <f>IF(C172=0,0,C169/C172)</f>
        <v>4073.7473417003807</v>
      </c>
      <c r="D173" s="378">
        <f>IF(LN_IE18=0,0,LN_IE15/LN_IE18)</f>
        <v>4120.7090742057662</v>
      </c>
      <c r="E173" s="378">
        <f t="shared" si="18"/>
        <v>46.961732505385498</v>
      </c>
      <c r="F173" s="362">
        <f t="shared" si="19"/>
        <v>1.1527895219388762E-2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675</v>
      </c>
      <c r="C174" s="378">
        <f>C61-C173</f>
        <v>9283.06415174022</v>
      </c>
      <c r="D174" s="378">
        <f>LN_IB18-LN_IE19</f>
        <v>9728.103275900412</v>
      </c>
      <c r="E174" s="378">
        <f t="shared" si="18"/>
        <v>445.03912416019193</v>
      </c>
      <c r="F174" s="362">
        <f t="shared" si="19"/>
        <v>4.7940972601892888E-2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676</v>
      </c>
      <c r="C175" s="378">
        <f>C32-C173</f>
        <v>6334.4210963787427</v>
      </c>
      <c r="D175" s="378">
        <f>LN_IA16-LN_IE19</f>
        <v>6889.7752256391086</v>
      </c>
      <c r="E175" s="378">
        <f t="shared" si="18"/>
        <v>555.35412926036588</v>
      </c>
      <c r="F175" s="362">
        <f t="shared" si="19"/>
        <v>8.7672436172241588E-2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645</v>
      </c>
      <c r="C176" s="353">
        <f>C175*C172</f>
        <v>442466.69670701463</v>
      </c>
      <c r="D176" s="353">
        <f>LN_IE21*LN_IE18</f>
        <v>494348.26759305137</v>
      </c>
      <c r="E176" s="353">
        <f t="shared" si="18"/>
        <v>51881.57088603673</v>
      </c>
      <c r="F176" s="362">
        <f t="shared" si="19"/>
        <v>0.11725531270976269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677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636</v>
      </c>
      <c r="C179" s="361">
        <f>C153+C168</f>
        <v>2704752</v>
      </c>
      <c r="D179" s="361">
        <f>LN_IE1+LN_IE14</f>
        <v>1924004</v>
      </c>
      <c r="E179" s="361">
        <f>D179-C179</f>
        <v>-780748</v>
      </c>
      <c r="F179" s="362">
        <f>IF(C179=0,0,E179/C179)</f>
        <v>-0.28865788804297032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637</v>
      </c>
      <c r="C180" s="361">
        <f>C154+C169</f>
        <v>570580</v>
      </c>
      <c r="D180" s="361">
        <f>LN_IE15+LN_IE2</f>
        <v>525705</v>
      </c>
      <c r="E180" s="361">
        <f>D180-C180</f>
        <v>-44875</v>
      </c>
      <c r="F180" s="362">
        <f>IF(C180=0,0,E180/C180)</f>
        <v>-7.8648042342879171E-2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638</v>
      </c>
      <c r="C181" s="361">
        <f>C179-C180</f>
        <v>2134172</v>
      </c>
      <c r="D181" s="361">
        <f>LN_IE23-LN_IE24</f>
        <v>1398299</v>
      </c>
      <c r="E181" s="361">
        <f>D181-C181</f>
        <v>-735873</v>
      </c>
      <c r="F181" s="362">
        <f>IF(C181=0,0,E181/C181)</f>
        <v>-0.34480491731687979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678</v>
      </c>
      <c r="C183" s="361">
        <f>C162+C176</f>
        <v>850498.92514594947</v>
      </c>
      <c r="D183" s="361">
        <f>LN_IE10+LN_IE22</f>
        <v>625491.01754844561</v>
      </c>
      <c r="E183" s="353">
        <f>D183-C183</f>
        <v>-225007.90759750386</v>
      </c>
      <c r="F183" s="362">
        <f>IF(C183=0,0,E183/C183)</f>
        <v>-0.26455989648533829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366</v>
      </c>
      <c r="B185" s="356" t="s">
        <v>679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680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620</v>
      </c>
      <c r="C188" s="361">
        <f>C118+C153</f>
        <v>61448664</v>
      </c>
      <c r="D188" s="361">
        <f>LN_ID1+LN_IE1</f>
        <v>73539711</v>
      </c>
      <c r="E188" s="361">
        <f t="shared" ref="E188:E200" si="20">D188-C188</f>
        <v>12091047</v>
      </c>
      <c r="F188" s="362">
        <f t="shared" ref="F188:F200" si="21">IF(C188=0,0,E188/C188)</f>
        <v>0.19676663759524535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621</v>
      </c>
      <c r="C189" s="361">
        <f>C119+C154</f>
        <v>14737373</v>
      </c>
      <c r="D189" s="361">
        <f>LN_1D2+LN_IE2</f>
        <v>18354306</v>
      </c>
      <c r="E189" s="361">
        <f t="shared" si="20"/>
        <v>3616933</v>
      </c>
      <c r="F189" s="362">
        <f t="shared" si="21"/>
        <v>0.2454258978177454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622</v>
      </c>
      <c r="C190" s="366">
        <f>IF(C188=0,0,C189/C188)</f>
        <v>0.23983227690678516</v>
      </c>
      <c r="D190" s="366">
        <f>IF(LN_IF1=0,0,LN_IF2/LN_IF1)</f>
        <v>0.24958360252462783</v>
      </c>
      <c r="E190" s="367">
        <f t="shared" si="20"/>
        <v>9.751325617842671E-3</v>
      </c>
      <c r="F190" s="362">
        <f t="shared" si="21"/>
        <v>4.0658937752705772E-2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3166</v>
      </c>
      <c r="D191" s="369">
        <f>LN_ID4+LN_IE4</f>
        <v>3377</v>
      </c>
      <c r="E191" s="369">
        <f t="shared" si="20"/>
        <v>211</v>
      </c>
      <c r="F191" s="362">
        <f t="shared" si="21"/>
        <v>6.6645609602021483E-2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623</v>
      </c>
      <c r="C192" s="372">
        <f>IF((C121+C156)=0,0,(C123+C158)/(C121+C156))</f>
        <v>1.0278367972204676</v>
      </c>
      <c r="D192" s="372">
        <f>IF((LN_ID4+LN_IE4)=0,0,(LN_ID6+LN_IE6)/(LN_ID4+LN_IE4))</f>
        <v>0.98915398282499256</v>
      </c>
      <c r="E192" s="373">
        <f t="shared" si="20"/>
        <v>-3.8682814395475051E-2</v>
      </c>
      <c r="F192" s="362">
        <f t="shared" si="21"/>
        <v>-3.7635171751082691E-2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624</v>
      </c>
      <c r="C193" s="376">
        <f>C123+C158</f>
        <v>3254.1313000000005</v>
      </c>
      <c r="D193" s="376">
        <f>LN_IF4*LN_IF5</f>
        <v>3340.373</v>
      </c>
      <c r="E193" s="376">
        <f t="shared" si="20"/>
        <v>86.241699999999582</v>
      </c>
      <c r="F193" s="362">
        <f t="shared" si="21"/>
        <v>2.6502218887111153E-2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625</v>
      </c>
      <c r="C194" s="378">
        <f>IF(C193=0,0,C189/C193)</f>
        <v>4528.8194118043111</v>
      </c>
      <c r="D194" s="378">
        <f>IF(LN_IF6=0,0,LN_IF2/LN_IF6)</f>
        <v>5494.6875693223483</v>
      </c>
      <c r="E194" s="378">
        <f t="shared" si="20"/>
        <v>965.86815751803715</v>
      </c>
      <c r="F194" s="362">
        <f t="shared" si="21"/>
        <v>0.21327151067240921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681</v>
      </c>
      <c r="C195" s="378">
        <f>C48-C194</f>
        <v>7149.5227164177149</v>
      </c>
      <c r="D195" s="378">
        <f>LN_IB7-LN_IF7</f>
        <v>6368.5316783429735</v>
      </c>
      <c r="E195" s="378">
        <f t="shared" si="20"/>
        <v>-780.99103807474148</v>
      </c>
      <c r="F195" s="362">
        <f t="shared" si="21"/>
        <v>-0.10923680769365524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682</v>
      </c>
      <c r="C196" s="378">
        <f>C21-C194</f>
        <v>3290.2373578229708</v>
      </c>
      <c r="D196" s="378">
        <f>LN_IA7-LN_IF7</f>
        <v>2844.9435011059741</v>
      </c>
      <c r="E196" s="378">
        <f t="shared" si="20"/>
        <v>-445.29385671699674</v>
      </c>
      <c r="F196" s="362">
        <f t="shared" si="21"/>
        <v>-0.1353379128281588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642</v>
      </c>
      <c r="C197" s="391">
        <f>C127+C162</f>
        <v>10706864.370521029</v>
      </c>
      <c r="D197" s="391">
        <f>LN_IF9*LN_IF6</f>
        <v>9503172.4576198664</v>
      </c>
      <c r="E197" s="391">
        <f t="shared" si="20"/>
        <v>-1203691.9129011631</v>
      </c>
      <c r="F197" s="362">
        <f t="shared" si="21"/>
        <v>-0.11242244893054415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13426</v>
      </c>
      <c r="D198" s="369">
        <f>LN_ID11+LN_IE11</f>
        <v>15450</v>
      </c>
      <c r="E198" s="369">
        <f t="shared" si="20"/>
        <v>2024</v>
      </c>
      <c r="F198" s="362">
        <f t="shared" si="21"/>
        <v>0.15075227171160435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626</v>
      </c>
      <c r="C199" s="432">
        <f>IF(C198=0,0,C189/C198)</f>
        <v>1097.6741397288843</v>
      </c>
      <c r="D199" s="432">
        <f>IF(LN_IF11=0,0,LN_IF2/LN_IF11)</f>
        <v>1187.9809708737864</v>
      </c>
      <c r="E199" s="432">
        <f t="shared" si="20"/>
        <v>90.306831144902162</v>
      </c>
      <c r="F199" s="362">
        <f t="shared" si="21"/>
        <v>8.2271074699097085E-2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627</v>
      </c>
      <c r="C200" s="379">
        <f>IF(C191=0,0,C198/C191)</f>
        <v>4.2406822488945037</v>
      </c>
      <c r="D200" s="379">
        <f>IF(LN_IF4=0,0,LN_IF11/LN_IF4)</f>
        <v>4.5750666271838911</v>
      </c>
      <c r="E200" s="379">
        <f t="shared" si="20"/>
        <v>0.33438437828938739</v>
      </c>
      <c r="F200" s="362">
        <f t="shared" si="21"/>
        <v>7.8851552336079295E-2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683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629</v>
      </c>
      <c r="C203" s="361">
        <f>C133+C168</f>
        <v>67208165</v>
      </c>
      <c r="D203" s="361">
        <f>LN_ID14+LN_IE14</f>
        <v>72258000</v>
      </c>
      <c r="E203" s="361">
        <f t="shared" ref="E203:E211" si="22">D203-C203</f>
        <v>5049835</v>
      </c>
      <c r="F203" s="362">
        <f t="shared" ref="F203:F211" si="23">IF(C203=0,0,E203/C203)</f>
        <v>7.5137224770234393E-2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630</v>
      </c>
      <c r="C204" s="361">
        <f>C134+C169</f>
        <v>16460432</v>
      </c>
      <c r="D204" s="361">
        <f>LN_ID15+LN_IE15</f>
        <v>17536232</v>
      </c>
      <c r="E204" s="361">
        <f t="shared" si="22"/>
        <v>1075800</v>
      </c>
      <c r="F204" s="362">
        <f t="shared" si="23"/>
        <v>6.5356729398110575E-2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631</v>
      </c>
      <c r="C205" s="366">
        <f>IF(C203=0,0,C204/C203)</f>
        <v>0.24491714659967281</v>
      </c>
      <c r="D205" s="366">
        <f>IF(LN_IF14=0,0,LN_IF15/LN_IF14)</f>
        <v>0.24268914168673364</v>
      </c>
      <c r="E205" s="367">
        <f t="shared" si="22"/>
        <v>-2.2280049129391744E-3</v>
      </c>
      <c r="F205" s="362">
        <f t="shared" si="23"/>
        <v>-9.0969739925189485E-3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632</v>
      </c>
      <c r="C206" s="366">
        <f>IF(C188=0,0,C203/C188)</f>
        <v>1.0937286610494901</v>
      </c>
      <c r="D206" s="366">
        <f>IF(LN_IF1=0,0,LN_IF14/LN_IF1)</f>
        <v>0.98257117164901564</v>
      </c>
      <c r="E206" s="367">
        <f t="shared" si="22"/>
        <v>-0.11115748940047443</v>
      </c>
      <c r="F206" s="362">
        <f t="shared" si="23"/>
        <v>-0.10163168741853486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633</v>
      </c>
      <c r="C207" s="376">
        <f>C137+C172</f>
        <v>3456.6161028464512</v>
      </c>
      <c r="D207" s="376">
        <f>LN_ID18+LN_IE18</f>
        <v>3324.273762354363</v>
      </c>
      <c r="E207" s="376">
        <f t="shared" si="22"/>
        <v>-132.34234049208817</v>
      </c>
      <c r="F207" s="362">
        <f t="shared" si="23"/>
        <v>-3.8286675914952495E-2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634</v>
      </c>
      <c r="C208" s="378">
        <f>IF(C207=0,0,C204/C207)</f>
        <v>4762.007556015601</v>
      </c>
      <c r="D208" s="378">
        <f>IF(LN_IF18=0,0,LN_IF15/LN_IF18)</f>
        <v>5275.2069334928201</v>
      </c>
      <c r="E208" s="378">
        <f t="shared" si="22"/>
        <v>513.19937747721906</v>
      </c>
      <c r="F208" s="362">
        <f t="shared" si="23"/>
        <v>0.10776954287460558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684</v>
      </c>
      <c r="C209" s="378">
        <f>C61-C208</f>
        <v>8594.8039374250002</v>
      </c>
      <c r="D209" s="378">
        <f>LN_IB18-LN_IF19</f>
        <v>8573.6054166133581</v>
      </c>
      <c r="E209" s="378">
        <f t="shared" si="22"/>
        <v>-21.198520811642084</v>
      </c>
      <c r="F209" s="362">
        <f t="shared" si="23"/>
        <v>-2.466434483669345E-3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685</v>
      </c>
      <c r="C210" s="378">
        <f>C32-C208</f>
        <v>5646.160882063522</v>
      </c>
      <c r="D210" s="378">
        <f>LN_IA16-LN_IF19</f>
        <v>5735.2773663520547</v>
      </c>
      <c r="E210" s="378">
        <f t="shared" si="22"/>
        <v>89.116484288532774</v>
      </c>
      <c r="F210" s="362">
        <f t="shared" si="23"/>
        <v>1.5783553843043002E-2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645</v>
      </c>
      <c r="C211" s="391">
        <f>C141+C176</f>
        <v>19516610.624202494</v>
      </c>
      <c r="D211" s="353">
        <f>LN_IF21*LN_IF18</f>
        <v>19065632.068788968</v>
      </c>
      <c r="E211" s="353">
        <f t="shared" si="22"/>
        <v>-450978.55541352555</v>
      </c>
      <c r="F211" s="362">
        <f t="shared" si="23"/>
        <v>-2.3107421882684297E-2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686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636</v>
      </c>
      <c r="C214" s="361">
        <f>C188+C203</f>
        <v>128656829</v>
      </c>
      <c r="D214" s="361">
        <f>LN_IF1+LN_IF14</f>
        <v>145797711</v>
      </c>
      <c r="E214" s="361">
        <f>D214-C214</f>
        <v>17140882</v>
      </c>
      <c r="F214" s="362">
        <f>IF(C214=0,0,E214/C214)</f>
        <v>0.13322947668794169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637</v>
      </c>
      <c r="C215" s="361">
        <f>C189+C204</f>
        <v>31197805</v>
      </c>
      <c r="D215" s="361">
        <f>LN_IF2+LN_IF15</f>
        <v>35890538</v>
      </c>
      <c r="E215" s="361">
        <f>D215-C215</f>
        <v>4692733</v>
      </c>
      <c r="F215" s="362">
        <f>IF(C215=0,0,E215/C215)</f>
        <v>0.15041869131498192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638</v>
      </c>
      <c r="C216" s="361">
        <f>C214-C215</f>
        <v>97459024</v>
      </c>
      <c r="D216" s="361">
        <f>LN_IF23-LN_IF24</f>
        <v>109907173</v>
      </c>
      <c r="E216" s="361">
        <f>D216-C216</f>
        <v>12448149</v>
      </c>
      <c r="F216" s="362">
        <f>IF(C216=0,0,E216/C216)</f>
        <v>0.12772700247849805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378</v>
      </c>
      <c r="B218" s="356" t="s">
        <v>687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688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620</v>
      </c>
      <c r="C221" s="361">
        <v>632468</v>
      </c>
      <c r="D221" s="361">
        <v>494495</v>
      </c>
      <c r="E221" s="361">
        <f t="shared" ref="E221:E230" si="24">D221-C221</f>
        <v>-137973</v>
      </c>
      <c r="F221" s="362">
        <f t="shared" ref="F221:F230" si="25">IF(C221=0,0,E221/C221)</f>
        <v>-0.21815016728119052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621</v>
      </c>
      <c r="C222" s="361">
        <v>199476</v>
      </c>
      <c r="D222" s="361">
        <v>158895</v>
      </c>
      <c r="E222" s="361">
        <f t="shared" si="24"/>
        <v>-40581</v>
      </c>
      <c r="F222" s="362">
        <f t="shared" si="25"/>
        <v>-0.20343800757985922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622</v>
      </c>
      <c r="C223" s="366">
        <f>IF(C221=0,0,C222/C221)</f>
        <v>0.31539303174231742</v>
      </c>
      <c r="D223" s="366">
        <f>IF(LN_IG1=0,0,LN_IG2/LN_IG1)</f>
        <v>0.32132781929038717</v>
      </c>
      <c r="E223" s="367">
        <f t="shared" si="24"/>
        <v>5.9347875480697532E-3</v>
      </c>
      <c r="F223" s="362">
        <f t="shared" si="25"/>
        <v>1.8817116901043637E-2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34</v>
      </c>
      <c r="D224" s="369">
        <v>34</v>
      </c>
      <c r="E224" s="369">
        <f t="shared" si="24"/>
        <v>0</v>
      </c>
      <c r="F224" s="362">
        <f t="shared" si="25"/>
        <v>0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623</v>
      </c>
      <c r="C225" s="372">
        <v>0.90149999999999997</v>
      </c>
      <c r="D225" s="372">
        <v>0.96240000000000003</v>
      </c>
      <c r="E225" s="373">
        <f t="shared" si="24"/>
        <v>6.0900000000000065E-2</v>
      </c>
      <c r="F225" s="362">
        <f t="shared" si="25"/>
        <v>6.7554076539101574E-2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624</v>
      </c>
      <c r="C226" s="376">
        <f>C224*C225</f>
        <v>30.651</v>
      </c>
      <c r="D226" s="376">
        <f>LN_IG3*LN_IG4</f>
        <v>32.721600000000002</v>
      </c>
      <c r="E226" s="376">
        <f t="shared" si="24"/>
        <v>2.0706000000000024</v>
      </c>
      <c r="F226" s="362">
        <f t="shared" si="25"/>
        <v>6.7554076539101574E-2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625</v>
      </c>
      <c r="C227" s="378">
        <f>IF(C226=0,0,C222/C226)</f>
        <v>6507.9769012430261</v>
      </c>
      <c r="D227" s="378">
        <f>IF(LN_IG5=0,0,LN_IG2/LN_IG5)</f>
        <v>4855.9667008948218</v>
      </c>
      <c r="E227" s="378">
        <f t="shared" si="24"/>
        <v>-1652.0102003482043</v>
      </c>
      <c r="F227" s="362">
        <f t="shared" si="25"/>
        <v>-0.25384389425731824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97</v>
      </c>
      <c r="D228" s="369">
        <v>102</v>
      </c>
      <c r="E228" s="369">
        <f t="shared" si="24"/>
        <v>5</v>
      </c>
      <c r="F228" s="362">
        <f t="shared" si="25"/>
        <v>5.1546391752577317E-2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626</v>
      </c>
      <c r="C229" s="378">
        <f>IF(C228=0,0,C222/C228)</f>
        <v>2056.4536082474228</v>
      </c>
      <c r="D229" s="378">
        <f>IF(LN_IG6=0,0,LN_IG2/LN_IG6)</f>
        <v>1557.7941176470588</v>
      </c>
      <c r="E229" s="378">
        <f t="shared" si="24"/>
        <v>-498.65949060036405</v>
      </c>
      <c r="F229" s="362">
        <f t="shared" si="25"/>
        <v>-0.24248516407104267</v>
      </c>
      <c r="Q229" s="330"/>
      <c r="U229" s="375"/>
    </row>
    <row r="230" spans="1:21" ht="11.25" customHeight="1" x14ac:dyDescent="0.2">
      <c r="A230" s="364">
        <v>10</v>
      </c>
      <c r="B230" s="360" t="s">
        <v>627</v>
      </c>
      <c r="C230" s="379">
        <f>IF(C224=0,0,C228/C224)</f>
        <v>2.8529411764705883</v>
      </c>
      <c r="D230" s="379">
        <f>IF(LN_IG3=0,0,LN_IG6/LN_IG3)</f>
        <v>3</v>
      </c>
      <c r="E230" s="379">
        <f t="shared" si="24"/>
        <v>0.14705882352941169</v>
      </c>
      <c r="F230" s="362">
        <f t="shared" si="25"/>
        <v>5.1546391752577289E-2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689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629</v>
      </c>
      <c r="C233" s="361">
        <v>696661</v>
      </c>
      <c r="D233" s="361">
        <v>987989</v>
      </c>
      <c r="E233" s="361">
        <f>D233-C233</f>
        <v>291328</v>
      </c>
      <c r="F233" s="362">
        <f>IF(C233=0,0,E233/C233)</f>
        <v>0.41817756412372731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630</v>
      </c>
      <c r="C234" s="361">
        <v>162850</v>
      </c>
      <c r="D234" s="361">
        <v>207161</v>
      </c>
      <c r="E234" s="361">
        <f>D234-C234</f>
        <v>44311</v>
      </c>
      <c r="F234" s="362">
        <f>IF(C234=0,0,E234/C234)</f>
        <v>0.2720970217992017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690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636</v>
      </c>
      <c r="C237" s="361">
        <f>C221+C233</f>
        <v>1329129</v>
      </c>
      <c r="D237" s="361">
        <f>LN_IG1+LN_IG9</f>
        <v>1482484</v>
      </c>
      <c r="E237" s="361">
        <f>D237-C237</f>
        <v>153355</v>
      </c>
      <c r="F237" s="362">
        <f>IF(C237=0,0,E237/C237)</f>
        <v>0.11538007221270472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637</v>
      </c>
      <c r="C238" s="361">
        <f>C222+C234</f>
        <v>362326</v>
      </c>
      <c r="D238" s="361">
        <f>LN_IG2+LN_IG10</f>
        <v>366056</v>
      </c>
      <c r="E238" s="361">
        <f>D238-C238</f>
        <v>3730</v>
      </c>
      <c r="F238" s="362">
        <f>IF(C238=0,0,E238/C238)</f>
        <v>1.0294596578771603E-2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638</v>
      </c>
      <c r="C239" s="361">
        <f>C237-C238</f>
        <v>966803</v>
      </c>
      <c r="D239" s="361">
        <f>LN_IG13-LN_IG14</f>
        <v>1116428</v>
      </c>
      <c r="E239" s="361">
        <f>D239-C239</f>
        <v>149625</v>
      </c>
      <c r="F239" s="362">
        <f>IF(C239=0,0,E239/C239)</f>
        <v>0.15476265588749724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382</v>
      </c>
      <c r="B241" s="356" t="s">
        <v>691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692</v>
      </c>
      <c r="C243" s="361">
        <v>11802461</v>
      </c>
      <c r="D243" s="361">
        <v>19598257</v>
      </c>
      <c r="E243" s="353">
        <f>D243-C243</f>
        <v>7795796</v>
      </c>
      <c r="F243" s="415">
        <f>IF(C243=0,0,E243/C243)</f>
        <v>0.66052291975376998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693</v>
      </c>
      <c r="C244" s="361">
        <v>495471968</v>
      </c>
      <c r="D244" s="361">
        <v>514797196</v>
      </c>
      <c r="E244" s="353">
        <f>D244-C244</f>
        <v>19325228</v>
      </c>
      <c r="F244" s="415">
        <f>IF(C244=0,0,E244/C244)</f>
        <v>3.9003675784136389E-2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694</v>
      </c>
      <c r="C245" s="400">
        <v>0</v>
      </c>
      <c r="D245" s="400">
        <v>0</v>
      </c>
      <c r="E245" s="400">
        <f>D245-C245</f>
        <v>0</v>
      </c>
      <c r="F245" s="401">
        <f>IF(C245=0,0,E245/C245)</f>
        <v>0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695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696</v>
      </c>
      <c r="C248" s="353">
        <v>11359623</v>
      </c>
      <c r="D248" s="353">
        <v>13969782</v>
      </c>
      <c r="E248" s="353">
        <f>D248-C248</f>
        <v>2610159</v>
      </c>
      <c r="F248" s="362">
        <f>IF(C248=0,0,E248/C248)</f>
        <v>0.22977514306592745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697</v>
      </c>
      <c r="C249" s="353">
        <v>18183085</v>
      </c>
      <c r="D249" s="353">
        <v>19413218</v>
      </c>
      <c r="E249" s="353">
        <f>D249-C249</f>
        <v>1230133</v>
      </c>
      <c r="F249" s="362">
        <f>IF(C249=0,0,E249/C249)</f>
        <v>6.765260130500407E-2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698</v>
      </c>
      <c r="C250" s="353">
        <f>C248+C249</f>
        <v>29542708</v>
      </c>
      <c r="D250" s="353">
        <f>LN_IH4+LN_IH5</f>
        <v>33383000</v>
      </c>
      <c r="E250" s="353">
        <f>D250-C250</f>
        <v>3840292</v>
      </c>
      <c r="F250" s="362">
        <f>IF(C250=0,0,E250/C250)</f>
        <v>0.12999119782790391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699</v>
      </c>
      <c r="C251" s="353">
        <f>C250*C313</f>
        <v>12756104.555670219</v>
      </c>
      <c r="D251" s="353">
        <f>LN_IH6*LN_III10</f>
        <v>14353877.23883325</v>
      </c>
      <c r="E251" s="353">
        <f>D251-C251</f>
        <v>1597772.6831630319</v>
      </c>
      <c r="F251" s="362">
        <f>IF(C251=0,0,E251/C251)</f>
        <v>0.12525553363019479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700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636</v>
      </c>
      <c r="C254" s="353">
        <f>C188+C203</f>
        <v>128656829</v>
      </c>
      <c r="D254" s="353">
        <f>LN_IF23</f>
        <v>145797711</v>
      </c>
      <c r="E254" s="353">
        <f>D254-C254</f>
        <v>17140882</v>
      </c>
      <c r="F254" s="362">
        <f>IF(C254=0,0,E254/C254)</f>
        <v>0.13322947668794169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637</v>
      </c>
      <c r="C255" s="353">
        <f>C189+C204</f>
        <v>31197805</v>
      </c>
      <c r="D255" s="353">
        <f>LN_IF24</f>
        <v>35890538</v>
      </c>
      <c r="E255" s="353">
        <f>D255-C255</f>
        <v>4692733</v>
      </c>
      <c r="F255" s="362">
        <f>IF(C255=0,0,E255/C255)</f>
        <v>0.15041869131498192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701</v>
      </c>
      <c r="C256" s="353">
        <f>C254*C313</f>
        <v>55552116.702537365</v>
      </c>
      <c r="D256" s="353">
        <f>LN_IH8*LN_III10</f>
        <v>62689466.057481006</v>
      </c>
      <c r="E256" s="353">
        <f>D256-C256</f>
        <v>7137349.3549436405</v>
      </c>
      <c r="F256" s="362">
        <f>IF(C256=0,0,E256/C256)</f>
        <v>0.12848024123296167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702</v>
      </c>
      <c r="C257" s="353">
        <f>C256-C255</f>
        <v>24354311.702537365</v>
      </c>
      <c r="D257" s="353">
        <f>LN_IH10-LN_IH9</f>
        <v>26798928.057481006</v>
      </c>
      <c r="E257" s="353">
        <f>D257-C257</f>
        <v>2444616.3549436405</v>
      </c>
      <c r="F257" s="362">
        <f>IF(C257=0,0,E257/C257)</f>
        <v>0.10037714819462326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703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704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705</v>
      </c>
      <c r="C261" s="361">
        <f>C15+C42+C188+C221</f>
        <v>544326430</v>
      </c>
      <c r="D261" s="361">
        <f>LN_IA1+LN_IB1+LN_IF1+LN_IG1</f>
        <v>544000785</v>
      </c>
      <c r="E261" s="361">
        <f t="shared" ref="E261:E274" si="26">D261-C261</f>
        <v>-325645</v>
      </c>
      <c r="F261" s="415">
        <f t="shared" ref="F261:F274" si="27">IF(C261=0,0,E261/C261)</f>
        <v>-5.9825314747255617E-4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706</v>
      </c>
      <c r="C262" s="361">
        <f>C16+C43+C189+C222</f>
        <v>226499289</v>
      </c>
      <c r="D262" s="361">
        <f>+LN_IA2+LN_IB2+LN_IF2+LN_IG2</f>
        <v>222829191</v>
      </c>
      <c r="E262" s="361">
        <f t="shared" si="26"/>
        <v>-3670098</v>
      </c>
      <c r="F262" s="415">
        <f t="shared" si="27"/>
        <v>-1.6203574043007259E-2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707</v>
      </c>
      <c r="C263" s="366">
        <f>IF(C261=0,0,C262/C261)</f>
        <v>0.41610929860598539</v>
      </c>
      <c r="D263" s="366">
        <f>IF(LN_IIA1=0,0,LN_IIA2/LN_IIA1)</f>
        <v>0.40961189237989792</v>
      </c>
      <c r="E263" s="367">
        <f t="shared" si="26"/>
        <v>-6.4974062260874654E-3</v>
      </c>
      <c r="F263" s="371">
        <f t="shared" si="27"/>
        <v>-1.5614662416472146E-2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708</v>
      </c>
      <c r="C264" s="369">
        <f>C18+C45+C191+C224</f>
        <v>20763</v>
      </c>
      <c r="D264" s="369">
        <f>LN_IA4+LN_IB4+LN_IF4+LN_IG3</f>
        <v>19668</v>
      </c>
      <c r="E264" s="369">
        <f t="shared" si="26"/>
        <v>-1095</v>
      </c>
      <c r="F264" s="415">
        <f t="shared" si="27"/>
        <v>-5.2738043635312815E-2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709</v>
      </c>
      <c r="C265" s="439">
        <f>IF(C264=0,0,C266/C264)</f>
        <v>1.2321240620334251</v>
      </c>
      <c r="D265" s="439">
        <f>IF(LN_IIA4=0,0,LN_IIA6/LN_IIA4)</f>
        <v>1.2214591925971121</v>
      </c>
      <c r="E265" s="439">
        <f t="shared" si="26"/>
        <v>-1.0664869436312951E-2</v>
      </c>
      <c r="F265" s="415">
        <f t="shared" si="27"/>
        <v>-8.6556782429135243E-3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710</v>
      </c>
      <c r="C266" s="376">
        <f>C20+C47+C193+C226</f>
        <v>25582.591900000003</v>
      </c>
      <c r="D266" s="376">
        <f>LN_IA6+LN_IB6+LN_IF6+LN_IG5</f>
        <v>24023.6594</v>
      </c>
      <c r="E266" s="376">
        <f t="shared" si="26"/>
        <v>-1558.9325000000026</v>
      </c>
      <c r="F266" s="415">
        <f t="shared" si="27"/>
        <v>-6.0937238341358307E-2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711</v>
      </c>
      <c r="C267" s="361">
        <f>C27+C56+C203+C233</f>
        <v>568826659</v>
      </c>
      <c r="D267" s="361">
        <f>LN_IA11+LN_IB13+LN_IF14+LN_IG9</f>
        <v>633077275</v>
      </c>
      <c r="E267" s="361">
        <f t="shared" si="26"/>
        <v>64250616</v>
      </c>
      <c r="F267" s="415">
        <f t="shared" si="27"/>
        <v>0.11295289168224446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632</v>
      </c>
      <c r="C268" s="366">
        <f>IF(C261=0,0,C267/C261)</f>
        <v>1.0450101770733418</v>
      </c>
      <c r="D268" s="366">
        <f>IF(LN_IIA1=0,0,LN_IIA7/LN_IIA1)</f>
        <v>1.1637433115101112</v>
      </c>
      <c r="E268" s="367">
        <f t="shared" si="26"/>
        <v>0.11873313443676947</v>
      </c>
      <c r="F268" s="371">
        <f t="shared" si="27"/>
        <v>0.11361911782456875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712</v>
      </c>
      <c r="C269" s="361">
        <f>C28+C57+C204+C234</f>
        <v>255110560</v>
      </c>
      <c r="D269" s="361">
        <f>LN_IA12+LN_IB14+LN_IF15+LN_IG10</f>
        <v>284402145</v>
      </c>
      <c r="E269" s="361">
        <f t="shared" si="26"/>
        <v>29291585</v>
      </c>
      <c r="F269" s="415">
        <f t="shared" si="27"/>
        <v>0.11481917879056046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631</v>
      </c>
      <c r="C270" s="366">
        <f>IF(C267=0,0,C269/C267)</f>
        <v>0.44848559040549468</v>
      </c>
      <c r="D270" s="366">
        <f>IF(LN_IIA7=0,0,LN_IIA9/LN_IIA7)</f>
        <v>0.4492376463836899</v>
      </c>
      <c r="E270" s="367">
        <f t="shared" si="26"/>
        <v>7.5205597819522074E-4</v>
      </c>
      <c r="F270" s="371">
        <f t="shared" si="27"/>
        <v>1.6768787989715685E-3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713</v>
      </c>
      <c r="C271" s="353">
        <f>C261+C267</f>
        <v>1113153089</v>
      </c>
      <c r="D271" s="353">
        <f>LN_IIA1+LN_IIA7</f>
        <v>1177078060</v>
      </c>
      <c r="E271" s="353">
        <f t="shared" si="26"/>
        <v>63924971</v>
      </c>
      <c r="F271" s="415">
        <f t="shared" si="27"/>
        <v>5.7426935820145762E-2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714</v>
      </c>
      <c r="C272" s="353">
        <f>C262+C269</f>
        <v>481609849</v>
      </c>
      <c r="D272" s="353">
        <f>LN_IIA2+LN_IIA9</f>
        <v>507231336</v>
      </c>
      <c r="E272" s="353">
        <f t="shared" si="26"/>
        <v>25621487</v>
      </c>
      <c r="F272" s="415">
        <f t="shared" si="27"/>
        <v>5.3199674078924411E-2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715</v>
      </c>
      <c r="C273" s="366">
        <f>IF(C271=0,0,C272/C271)</f>
        <v>0.4326537416633805</v>
      </c>
      <c r="D273" s="366">
        <f>IF(LN_IIA11=0,0,LN_IIA12/LN_IIA11)</f>
        <v>0.43092412749584341</v>
      </c>
      <c r="E273" s="367">
        <f t="shared" si="26"/>
        <v>-1.7296141675370857E-3</v>
      </c>
      <c r="F273" s="371">
        <f t="shared" si="27"/>
        <v>-3.9976868358688206E-3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96663</v>
      </c>
      <c r="D274" s="421">
        <f>LN_IA8+LN_IB10+LN_IF11+LN_IG6</f>
        <v>92010</v>
      </c>
      <c r="E274" s="442">
        <f t="shared" si="26"/>
        <v>-4653</v>
      </c>
      <c r="F274" s="371">
        <f t="shared" si="27"/>
        <v>-4.8136308618602776E-2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716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717</v>
      </c>
      <c r="C277" s="361">
        <f>C15+C188+C221</f>
        <v>353945648</v>
      </c>
      <c r="D277" s="361">
        <f>LN_IA1+LN_IF1+LN_IG1</f>
        <v>360915111</v>
      </c>
      <c r="E277" s="361">
        <f t="shared" ref="E277:E291" si="28">D277-C277</f>
        <v>6969463</v>
      </c>
      <c r="F277" s="415">
        <f t="shared" ref="F277:F291" si="29">IF(C277=0,0,E277/C277)</f>
        <v>1.969077184415614E-2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718</v>
      </c>
      <c r="C278" s="361">
        <f>C16+C189+C222</f>
        <v>113886512</v>
      </c>
      <c r="D278" s="361">
        <f>LN_IA2+LN_IF2+LN_IG2</f>
        <v>114761964</v>
      </c>
      <c r="E278" s="361">
        <f t="shared" si="28"/>
        <v>875452</v>
      </c>
      <c r="F278" s="415">
        <f t="shared" si="29"/>
        <v>7.6870560404905539E-3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719</v>
      </c>
      <c r="C279" s="366">
        <f>IF(C277=0,0,C278/C277)</f>
        <v>0.32176271312707311</v>
      </c>
      <c r="D279" s="366">
        <f>IF(D277=0,0,LN_IIB2/D277)</f>
        <v>0.31797494896244455</v>
      </c>
      <c r="E279" s="367">
        <f t="shared" si="28"/>
        <v>-3.7877641646285598E-3</v>
      </c>
      <c r="F279" s="371">
        <f t="shared" si="29"/>
        <v>-1.1771917658876358E-2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720</v>
      </c>
      <c r="C280" s="369">
        <f>C18+C191+C224</f>
        <v>12695</v>
      </c>
      <c r="D280" s="369">
        <f>LN_IA4+LN_IF4+LN_IG3</f>
        <v>12147</v>
      </c>
      <c r="E280" s="369">
        <f t="shared" si="28"/>
        <v>-548</v>
      </c>
      <c r="F280" s="415">
        <f t="shared" si="29"/>
        <v>-4.3166601024025204E-2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721</v>
      </c>
      <c r="C281" s="439">
        <f>IF(C280=0,0,C282/C280)</f>
        <v>1.2555902560063017</v>
      </c>
      <c r="D281" s="439">
        <f>IF(LN_IIB4=0,0,LN_IIB6/LN_IIB4)</f>
        <v>1.227811327899893</v>
      </c>
      <c r="E281" s="439">
        <f t="shared" si="28"/>
        <v>-2.7778928106408696E-2</v>
      </c>
      <c r="F281" s="415">
        <f t="shared" si="29"/>
        <v>-2.2124198538117101E-2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722</v>
      </c>
      <c r="C282" s="376">
        <f>C20+C193+C226</f>
        <v>15939.7183</v>
      </c>
      <c r="D282" s="376">
        <f>LN_IA6+LN_IF6+LN_IG5</f>
        <v>14914.224200000001</v>
      </c>
      <c r="E282" s="376">
        <f t="shared" si="28"/>
        <v>-1025.4940999999999</v>
      </c>
      <c r="F282" s="415">
        <f t="shared" si="29"/>
        <v>-6.4335773110871089E-2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723</v>
      </c>
      <c r="C283" s="361">
        <f>C27+C203+C233</f>
        <v>265996923</v>
      </c>
      <c r="D283" s="361">
        <f>LN_IA11+LN_IF14+LN_IG9</f>
        <v>295101882</v>
      </c>
      <c r="E283" s="361">
        <f t="shared" si="28"/>
        <v>29104959</v>
      </c>
      <c r="F283" s="415">
        <f t="shared" si="29"/>
        <v>0.10941840481365267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724</v>
      </c>
      <c r="C284" s="366">
        <f>IF(C277=0,0,C283/C277)</f>
        <v>0.751519123071687</v>
      </c>
      <c r="D284" s="366">
        <f>IF(D277=0,0,LN_IIB7/D277)</f>
        <v>0.81764900666627949</v>
      </c>
      <c r="E284" s="367">
        <f t="shared" si="28"/>
        <v>6.6129883594592487E-2</v>
      </c>
      <c r="F284" s="371">
        <f t="shared" si="29"/>
        <v>8.7994944592094421E-2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725</v>
      </c>
      <c r="C285" s="361">
        <f>C28+C204+C234</f>
        <v>83697425</v>
      </c>
      <c r="D285" s="361">
        <f>LN_IA12+LN_IF15+LN_IG10</f>
        <v>92128908</v>
      </c>
      <c r="E285" s="361">
        <f t="shared" si="28"/>
        <v>8431483</v>
      </c>
      <c r="F285" s="415">
        <f t="shared" si="29"/>
        <v>0.10073766307625354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726</v>
      </c>
      <c r="C286" s="366">
        <f>IF(C283=0,0,C285/C283)</f>
        <v>0.3146556135162511</v>
      </c>
      <c r="D286" s="366">
        <f>IF(LN_IIB7=0,0,LN_IIB9/LN_IIB7)</f>
        <v>0.312193563035291</v>
      </c>
      <c r="E286" s="367">
        <f t="shared" si="28"/>
        <v>-2.4620504809600985E-3</v>
      </c>
      <c r="F286" s="371">
        <f t="shared" si="29"/>
        <v>-7.8245878198290597E-3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727</v>
      </c>
      <c r="C287" s="353">
        <f>C277+C283</f>
        <v>619942571</v>
      </c>
      <c r="D287" s="353">
        <f>D277+LN_IIB7</f>
        <v>656016993</v>
      </c>
      <c r="E287" s="353">
        <f t="shared" si="28"/>
        <v>36074422</v>
      </c>
      <c r="F287" s="415">
        <f t="shared" si="29"/>
        <v>5.8189941597025764E-2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728</v>
      </c>
      <c r="C288" s="353">
        <f>C278+C285</f>
        <v>197583937</v>
      </c>
      <c r="D288" s="353">
        <f>LN_IIB2+LN_IIB9</f>
        <v>206890872</v>
      </c>
      <c r="E288" s="353">
        <f t="shared" si="28"/>
        <v>9306935</v>
      </c>
      <c r="F288" s="415">
        <f t="shared" si="29"/>
        <v>4.710370256464725E-2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729</v>
      </c>
      <c r="C289" s="366">
        <f>IF(C287=0,0,C288/C287)</f>
        <v>0.31871329094449297</v>
      </c>
      <c r="D289" s="366">
        <f>IF(LN_IIB11=0,0,LN_IIB12/LN_IIB11)</f>
        <v>0.31537425738604302</v>
      </c>
      <c r="E289" s="367">
        <f t="shared" si="28"/>
        <v>-3.3390335584499442E-3</v>
      </c>
      <c r="F289" s="371">
        <f t="shared" si="29"/>
        <v>-1.0476605944342214E-2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66272</v>
      </c>
      <c r="D290" s="421">
        <f>LN_IA8+LN_IF11+LN_IG6</f>
        <v>64146</v>
      </c>
      <c r="E290" s="442">
        <f t="shared" si="28"/>
        <v>-2126</v>
      </c>
      <c r="F290" s="371">
        <f t="shared" si="29"/>
        <v>-3.2079913085465955E-2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730</v>
      </c>
      <c r="C291" s="361">
        <f>C287-C288</f>
        <v>422358634</v>
      </c>
      <c r="D291" s="429">
        <f>LN_IIB11-LN_IIB12</f>
        <v>449126121</v>
      </c>
      <c r="E291" s="353">
        <f t="shared" si="28"/>
        <v>26767487</v>
      </c>
      <c r="F291" s="415">
        <f t="shared" si="29"/>
        <v>6.3376204119459295E-2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627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618</v>
      </c>
      <c r="C294" s="379">
        <f>IF(C18=0,0,C22/C18)</f>
        <v>5.5554502369668244</v>
      </c>
      <c r="D294" s="379">
        <f>IF(LN_IA4=0,0,LN_IA8/LN_IA4)</f>
        <v>5.5625</v>
      </c>
      <c r="E294" s="379">
        <f t="shared" ref="E294:E300" si="30">D294-C294</f>
        <v>7.0497630331756156E-3</v>
      </c>
      <c r="F294" s="415">
        <f t="shared" ref="F294:F300" si="31">IF(C294=0,0,E294/C294)</f>
        <v>1.2689814024910895E-3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639</v>
      </c>
      <c r="C295" s="379">
        <f>IF(C45=0,0,C51/C45)</f>
        <v>3.766856717897868</v>
      </c>
      <c r="D295" s="379">
        <f>IF(LN_IB4=0,0,(LN_IB10)/(LN_IB4))</f>
        <v>3.7048264858396491</v>
      </c>
      <c r="E295" s="379">
        <f t="shared" si="30"/>
        <v>-6.2030232058218893E-2</v>
      </c>
      <c r="F295" s="415">
        <f t="shared" si="31"/>
        <v>-1.646737232225692E-2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654</v>
      </c>
      <c r="C296" s="379">
        <f>IF(C86=0,0,C93/C86)</f>
        <v>3.870967741935484</v>
      </c>
      <c r="D296" s="379">
        <f>IF(LN_IC4=0,0,LN_IC11/LN_IC4)</f>
        <v>3.8121827411167515</v>
      </c>
      <c r="E296" s="379">
        <f t="shared" si="30"/>
        <v>-5.8785000818732502E-2</v>
      </c>
      <c r="F296" s="415">
        <f t="shared" si="31"/>
        <v>-1.5186125211505896E-2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4.199739328771587</v>
      </c>
      <c r="D297" s="379">
        <f>IF(LN_ID4=0,0,LN_ID11/LN_ID4)</f>
        <v>4.5694527961515332</v>
      </c>
      <c r="E297" s="379">
        <f t="shared" si="30"/>
        <v>0.36971346737994626</v>
      </c>
      <c r="F297" s="415">
        <f t="shared" si="31"/>
        <v>8.8032479741566846E-2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731</v>
      </c>
      <c r="C298" s="379">
        <f>IF(C156=0,0,C163/C156)</f>
        <v>5.536082474226804</v>
      </c>
      <c r="D298" s="379">
        <f>IF(LN_IE4=0,0,LN_IE11/LN_IE4)</f>
        <v>4.9411764705882355</v>
      </c>
      <c r="E298" s="379">
        <f t="shared" si="30"/>
        <v>-0.59490600363856849</v>
      </c>
      <c r="F298" s="415">
        <f t="shared" si="31"/>
        <v>-0.10745974367400586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430</v>
      </c>
      <c r="C299" s="379">
        <f>IF(C224=0,0,C228/C224)</f>
        <v>2.8529411764705883</v>
      </c>
      <c r="D299" s="379">
        <f>IF(LN_IG3=0,0,LN_IG6/LN_IG3)</f>
        <v>3</v>
      </c>
      <c r="E299" s="379">
        <f t="shared" si="30"/>
        <v>0.14705882352941169</v>
      </c>
      <c r="F299" s="415">
        <f t="shared" si="31"/>
        <v>5.1546391752577289E-2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732</v>
      </c>
      <c r="C300" s="379">
        <f>IF(C264=0,0,C274/C264)</f>
        <v>4.6555411067764778</v>
      </c>
      <c r="D300" s="379">
        <f>IF(LN_IIA4=0,0,LN_IIA14/LN_IIA4)</f>
        <v>4.6781574130567423</v>
      </c>
      <c r="E300" s="379">
        <f t="shared" si="30"/>
        <v>2.2616306280264453E-2</v>
      </c>
      <c r="F300" s="415">
        <f t="shared" si="31"/>
        <v>4.8579328936318011E-3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733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727</v>
      </c>
      <c r="C304" s="353">
        <f>C35+C66+C214+C221+C233</f>
        <v>1113153089</v>
      </c>
      <c r="D304" s="353">
        <f>LN_IIA11</f>
        <v>1177078060</v>
      </c>
      <c r="E304" s="353">
        <f t="shared" ref="E304:E316" si="32">D304-C304</f>
        <v>63924971</v>
      </c>
      <c r="F304" s="362">
        <f>IF(C304=0,0,E304/C304)</f>
        <v>5.7426935820145762E-2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730</v>
      </c>
      <c r="C305" s="353">
        <f>C291</f>
        <v>422358634</v>
      </c>
      <c r="D305" s="353">
        <f>LN_IIB14</f>
        <v>449126121</v>
      </c>
      <c r="E305" s="353">
        <f t="shared" si="32"/>
        <v>26767487</v>
      </c>
      <c r="F305" s="362">
        <f>IF(C305=0,0,E305/C305)</f>
        <v>6.3376204119459295E-2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734</v>
      </c>
      <c r="C306" s="353">
        <f>C250</f>
        <v>29542708</v>
      </c>
      <c r="D306" s="353">
        <f>LN_IH6</f>
        <v>33383000</v>
      </c>
      <c r="E306" s="353">
        <f t="shared" si="32"/>
        <v>3840292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735</v>
      </c>
      <c r="C307" s="353">
        <f>C73-C74</f>
        <v>166071162</v>
      </c>
      <c r="D307" s="353">
        <f>LN_IB32-LN_IB33</f>
        <v>171712998</v>
      </c>
      <c r="E307" s="353">
        <f t="shared" si="32"/>
        <v>5641836</v>
      </c>
      <c r="F307" s="362">
        <f t="shared" ref="F307:F316" si="33">IF(C307=0,0,E307/C307)</f>
        <v>3.3972400337633574E-2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736</v>
      </c>
      <c r="C308" s="353">
        <v>14537538</v>
      </c>
      <c r="D308" s="353">
        <v>16741033</v>
      </c>
      <c r="E308" s="353">
        <f t="shared" si="32"/>
        <v>2203495</v>
      </c>
      <c r="F308" s="362">
        <f t="shared" si="33"/>
        <v>0.15157277662833968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737</v>
      </c>
      <c r="C309" s="353">
        <f>C305+C307+C308+C306</f>
        <v>632510042</v>
      </c>
      <c r="D309" s="353">
        <f>LN_III2+LN_III3+LN_III4+LN_III5</f>
        <v>670963152</v>
      </c>
      <c r="E309" s="353">
        <f t="shared" si="32"/>
        <v>38453110</v>
      </c>
      <c r="F309" s="362">
        <f t="shared" si="33"/>
        <v>6.0794465615772786E-2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738</v>
      </c>
      <c r="C310" s="353">
        <f>C304-C309</f>
        <v>480643047</v>
      </c>
      <c r="D310" s="353">
        <f>LN_III1-LN_III6</f>
        <v>506114908</v>
      </c>
      <c r="E310" s="353">
        <f t="shared" si="32"/>
        <v>25471861</v>
      </c>
      <c r="F310" s="362">
        <f t="shared" si="33"/>
        <v>5.2995380166188072E-2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739</v>
      </c>
      <c r="C311" s="353">
        <f>C245</f>
        <v>0</v>
      </c>
      <c r="D311" s="353">
        <f>LN_IH3</f>
        <v>0</v>
      </c>
      <c r="E311" s="353">
        <f t="shared" si="32"/>
        <v>0</v>
      </c>
      <c r="F311" s="362">
        <f t="shared" si="33"/>
        <v>0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740</v>
      </c>
      <c r="C312" s="353">
        <f>C310+C311</f>
        <v>480643047</v>
      </c>
      <c r="D312" s="353">
        <f>LN_III7+LN_III8</f>
        <v>506114908</v>
      </c>
      <c r="E312" s="353">
        <f t="shared" si="32"/>
        <v>25471861</v>
      </c>
      <c r="F312" s="362">
        <f t="shared" si="33"/>
        <v>5.2995380166188072E-2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741</v>
      </c>
      <c r="C313" s="448">
        <f>IF(C304=0,0,C312/C304)</f>
        <v>0.43178521602251962</v>
      </c>
      <c r="D313" s="448">
        <f>IF(LN_III1=0,0,LN_III9/LN_III1)</f>
        <v>0.4299756534413699</v>
      </c>
      <c r="E313" s="448">
        <f t="shared" si="32"/>
        <v>-1.8095625811497262E-3</v>
      </c>
      <c r="F313" s="362">
        <f t="shared" si="33"/>
        <v>-4.1908859173523652E-3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699</v>
      </c>
      <c r="C314" s="353">
        <f>C306*C313</f>
        <v>12756104.555670219</v>
      </c>
      <c r="D314" s="353">
        <f>D313*LN_III5</f>
        <v>14353877.23883325</v>
      </c>
      <c r="E314" s="353">
        <f t="shared" si="32"/>
        <v>1597772.6831630319</v>
      </c>
      <c r="F314" s="362">
        <f t="shared" si="33"/>
        <v>0.12525553363019479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702</v>
      </c>
      <c r="C315" s="353">
        <f>(C214*C313)-C215</f>
        <v>24354311.702537365</v>
      </c>
      <c r="D315" s="353">
        <f>D313*LN_IH8-LN_IH9</f>
        <v>26798928.057481006</v>
      </c>
      <c r="E315" s="353">
        <f t="shared" si="32"/>
        <v>2444616.3549436405</v>
      </c>
      <c r="F315" s="362">
        <f t="shared" si="33"/>
        <v>0.10037714819462326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742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743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744</v>
      </c>
      <c r="C318" s="353">
        <f>C314+C315+C316</f>
        <v>37110416.258207582</v>
      </c>
      <c r="D318" s="353">
        <f>D314+D315+D316</f>
        <v>41152805.296314254</v>
      </c>
      <c r="E318" s="353">
        <f>D318-C318</f>
        <v>4042389.0381066725</v>
      </c>
      <c r="F318" s="362">
        <f>IF(C318=0,0,E318/C318)</f>
        <v>0.10892869026260603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745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19074143.92749548</v>
      </c>
      <c r="D322" s="353">
        <f>LN_ID22</f>
        <v>18571283.801195912</v>
      </c>
      <c r="E322" s="353">
        <f>LN_IV2-C322</f>
        <v>-502860.12629956752</v>
      </c>
      <c r="F322" s="362">
        <f>IF(C322=0,0,E322/C322)</f>
        <v>-2.6363444053428369E-2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731</v>
      </c>
      <c r="C323" s="353">
        <f>C162+C176</f>
        <v>850498.92514594947</v>
      </c>
      <c r="D323" s="353">
        <f>LN_IE10+LN_IE22</f>
        <v>625491.01754844561</v>
      </c>
      <c r="E323" s="353">
        <f>LN_IV3-C323</f>
        <v>-225007.90759750386</v>
      </c>
      <c r="F323" s="362">
        <f>IF(C323=0,0,E323/C323)</f>
        <v>-0.26455989648533829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746</v>
      </c>
      <c r="C324" s="353">
        <f>C92+C106</f>
        <v>10082026.52420496</v>
      </c>
      <c r="D324" s="353">
        <f>LN_IC10+LN_IC22</f>
        <v>4700125.6165871518</v>
      </c>
      <c r="E324" s="353">
        <f>LN_IV1-C324</f>
        <v>-5381900.9076178083</v>
      </c>
      <c r="F324" s="362">
        <f>IF(C324=0,0,E324/C324)</f>
        <v>-0.53381142121545944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747</v>
      </c>
      <c r="C325" s="429">
        <f>C324+C322+C323</f>
        <v>30006669.376846392</v>
      </c>
      <c r="D325" s="429">
        <f>LN_IV1+LN_IV2+LN_IV3</f>
        <v>23896900.435331509</v>
      </c>
      <c r="E325" s="353">
        <f>LN_IV4-C325</f>
        <v>-6109768.9415148832</v>
      </c>
      <c r="F325" s="362">
        <f>IF(C325=0,0,E325/C325)</f>
        <v>-0.20361369883420902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748</v>
      </c>
      <c r="B327" s="446" t="s">
        <v>749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750</v>
      </c>
      <c r="C329" s="431">
        <v>24904012</v>
      </c>
      <c r="D329" s="431">
        <v>27997903</v>
      </c>
      <c r="E329" s="431">
        <f t="shared" ref="E329:E335" si="34">D329-C329</f>
        <v>3093891</v>
      </c>
      <c r="F329" s="462">
        <f t="shared" ref="F329:F335" si="35">IF(C329=0,0,E329/C329)</f>
        <v>0.12423263368167346</v>
      </c>
    </row>
    <row r="330" spans="1:22" s="333" customFormat="1" ht="11.25" customHeight="1" x14ac:dyDescent="0.2">
      <c r="A330" s="364">
        <v>2</v>
      </c>
      <c r="B330" s="360" t="s">
        <v>751</v>
      </c>
      <c r="C330" s="429">
        <v>16110641</v>
      </c>
      <c r="D330" s="429">
        <v>14604664</v>
      </c>
      <c r="E330" s="431">
        <f t="shared" si="34"/>
        <v>-1505977</v>
      </c>
      <c r="F330" s="463">
        <f t="shared" si="35"/>
        <v>-9.3477162081881157E-2</v>
      </c>
    </row>
    <row r="331" spans="1:22" s="333" customFormat="1" ht="11.25" customHeight="1" x14ac:dyDescent="0.2">
      <c r="A331" s="339">
        <v>3</v>
      </c>
      <c r="B331" s="360" t="s">
        <v>752</v>
      </c>
      <c r="C331" s="429">
        <v>497720490</v>
      </c>
      <c r="D331" s="429">
        <v>521836000</v>
      </c>
      <c r="E331" s="431">
        <f t="shared" si="34"/>
        <v>24115510</v>
      </c>
      <c r="F331" s="462">
        <f t="shared" si="35"/>
        <v>4.8451913241506293E-2</v>
      </c>
    </row>
    <row r="332" spans="1:22" s="333" customFormat="1" ht="11.25" customHeight="1" x14ac:dyDescent="0.2">
      <c r="A332" s="364">
        <v>4</v>
      </c>
      <c r="B332" s="360" t="s">
        <v>753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754</v>
      </c>
      <c r="C333" s="429">
        <v>1113153089</v>
      </c>
      <c r="D333" s="429">
        <v>1177078060</v>
      </c>
      <c r="E333" s="431">
        <f t="shared" si="34"/>
        <v>63924971</v>
      </c>
      <c r="F333" s="462">
        <f t="shared" si="35"/>
        <v>5.7426935820145762E-2</v>
      </c>
    </row>
    <row r="334" spans="1:22" s="333" customFormat="1" ht="11.25" customHeight="1" x14ac:dyDescent="0.2">
      <c r="A334" s="339">
        <v>6</v>
      </c>
      <c r="B334" s="360" t="s">
        <v>755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756</v>
      </c>
      <c r="C335" s="429">
        <v>29542708</v>
      </c>
      <c r="D335" s="429">
        <v>33383000</v>
      </c>
      <c r="E335" s="429">
        <f t="shared" si="34"/>
        <v>3840292</v>
      </c>
      <c r="F335" s="462">
        <f t="shared" si="35"/>
        <v>0.12999119782790391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FILING&amp;RDANBURY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609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757</v>
      </c>
      <c r="B5" s="710"/>
      <c r="C5" s="710"/>
      <c r="D5" s="710"/>
      <c r="E5" s="710"/>
    </row>
    <row r="6" spans="1:5" s="338" customFormat="1" ht="15.75" customHeight="1" x14ac:dyDescent="0.25">
      <c r="A6" s="710" t="s">
        <v>758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759</v>
      </c>
      <c r="D9" s="494" t="s">
        <v>760</v>
      </c>
      <c r="E9" s="495" t="s">
        <v>761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762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763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639</v>
      </c>
      <c r="C14" s="513">
        <v>190380782</v>
      </c>
      <c r="D14" s="513">
        <v>183085674</v>
      </c>
      <c r="E14" s="514">
        <f t="shared" ref="E14:E22" si="0">D14-C14</f>
        <v>-7295108</v>
      </c>
    </row>
    <row r="15" spans="1:5" s="506" customFormat="1" x14ac:dyDescent="0.2">
      <c r="A15" s="512">
        <v>2</v>
      </c>
      <c r="B15" s="511" t="s">
        <v>618</v>
      </c>
      <c r="C15" s="513">
        <v>291864516</v>
      </c>
      <c r="D15" s="515">
        <v>286880905</v>
      </c>
      <c r="E15" s="514">
        <f t="shared" si="0"/>
        <v>-4983611</v>
      </c>
    </row>
    <row r="16" spans="1:5" s="506" customFormat="1" x14ac:dyDescent="0.2">
      <c r="A16" s="512">
        <v>3</v>
      </c>
      <c r="B16" s="511" t="s">
        <v>764</v>
      </c>
      <c r="C16" s="513">
        <v>61448664</v>
      </c>
      <c r="D16" s="515">
        <v>73539711</v>
      </c>
      <c r="E16" s="514">
        <f t="shared" si="0"/>
        <v>12091047</v>
      </c>
    </row>
    <row r="17" spans="1:5" s="506" customFormat="1" x14ac:dyDescent="0.2">
      <c r="A17" s="512">
        <v>4</v>
      </c>
      <c r="B17" s="511" t="s">
        <v>114</v>
      </c>
      <c r="C17" s="513">
        <v>59876239</v>
      </c>
      <c r="D17" s="515">
        <v>72740335</v>
      </c>
      <c r="E17" s="514">
        <f t="shared" si="0"/>
        <v>12864096</v>
      </c>
    </row>
    <row r="18" spans="1:5" s="506" customFormat="1" x14ac:dyDescent="0.2">
      <c r="A18" s="512">
        <v>5</v>
      </c>
      <c r="B18" s="511" t="s">
        <v>731</v>
      </c>
      <c r="C18" s="513">
        <v>1572425</v>
      </c>
      <c r="D18" s="515">
        <v>799376</v>
      </c>
      <c r="E18" s="514">
        <f t="shared" si="0"/>
        <v>-773049</v>
      </c>
    </row>
    <row r="19" spans="1:5" s="506" customFormat="1" x14ac:dyDescent="0.2">
      <c r="A19" s="512">
        <v>6</v>
      </c>
      <c r="B19" s="511" t="s">
        <v>430</v>
      </c>
      <c r="C19" s="513">
        <v>632468</v>
      </c>
      <c r="D19" s="515">
        <v>494495</v>
      </c>
      <c r="E19" s="514">
        <f t="shared" si="0"/>
        <v>-137973</v>
      </c>
    </row>
    <row r="20" spans="1:5" s="506" customFormat="1" x14ac:dyDescent="0.2">
      <c r="A20" s="512">
        <v>7</v>
      </c>
      <c r="B20" s="511" t="s">
        <v>746</v>
      </c>
      <c r="C20" s="513">
        <v>5413243</v>
      </c>
      <c r="D20" s="515">
        <v>6349011</v>
      </c>
      <c r="E20" s="514">
        <f t="shared" si="0"/>
        <v>935768</v>
      </c>
    </row>
    <row r="21" spans="1:5" s="506" customFormat="1" x14ac:dyDescent="0.2">
      <c r="A21" s="512"/>
      <c r="B21" s="516" t="s">
        <v>765</v>
      </c>
      <c r="C21" s="517">
        <f>SUM(C15+C16+C19)</f>
        <v>353945648</v>
      </c>
      <c r="D21" s="517">
        <f>SUM(D15+D16+D19)</f>
        <v>360915111</v>
      </c>
      <c r="E21" s="517">
        <f t="shared" si="0"/>
        <v>6969463</v>
      </c>
    </row>
    <row r="22" spans="1:5" s="506" customFormat="1" x14ac:dyDescent="0.2">
      <c r="A22" s="512"/>
      <c r="B22" s="516" t="s">
        <v>705</v>
      </c>
      <c r="C22" s="517">
        <f>SUM(C14+C21)</f>
        <v>544326430</v>
      </c>
      <c r="D22" s="517">
        <f>SUM(D14+D21)</f>
        <v>544000785</v>
      </c>
      <c r="E22" s="517">
        <f t="shared" si="0"/>
        <v>-325645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766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639</v>
      </c>
      <c r="C25" s="513">
        <v>302829736</v>
      </c>
      <c r="D25" s="513">
        <v>337975393</v>
      </c>
      <c r="E25" s="514">
        <f t="shared" ref="E25:E33" si="1">D25-C25</f>
        <v>35145657</v>
      </c>
    </row>
    <row r="26" spans="1:5" s="506" customFormat="1" x14ac:dyDescent="0.2">
      <c r="A26" s="512">
        <v>2</v>
      </c>
      <c r="B26" s="511" t="s">
        <v>618</v>
      </c>
      <c r="C26" s="513">
        <v>198092097</v>
      </c>
      <c r="D26" s="515">
        <v>221855893</v>
      </c>
      <c r="E26" s="514">
        <f t="shared" si="1"/>
        <v>23763796</v>
      </c>
    </row>
    <row r="27" spans="1:5" s="506" customFormat="1" x14ac:dyDescent="0.2">
      <c r="A27" s="512">
        <v>3</v>
      </c>
      <c r="B27" s="511" t="s">
        <v>764</v>
      </c>
      <c r="C27" s="513">
        <v>67208165</v>
      </c>
      <c r="D27" s="515">
        <v>72258000</v>
      </c>
      <c r="E27" s="514">
        <f t="shared" si="1"/>
        <v>5049835</v>
      </c>
    </row>
    <row r="28" spans="1:5" s="506" customFormat="1" x14ac:dyDescent="0.2">
      <c r="A28" s="512">
        <v>4</v>
      </c>
      <c r="B28" s="511" t="s">
        <v>114</v>
      </c>
      <c r="C28" s="513">
        <v>66075838</v>
      </c>
      <c r="D28" s="515">
        <v>71133372</v>
      </c>
      <c r="E28" s="514">
        <f t="shared" si="1"/>
        <v>5057534</v>
      </c>
    </row>
    <row r="29" spans="1:5" s="506" customFormat="1" x14ac:dyDescent="0.2">
      <c r="A29" s="512">
        <v>5</v>
      </c>
      <c r="B29" s="511" t="s">
        <v>731</v>
      </c>
      <c r="C29" s="513">
        <v>1132327</v>
      </c>
      <c r="D29" s="515">
        <v>1124628</v>
      </c>
      <c r="E29" s="514">
        <f t="shared" si="1"/>
        <v>-7699</v>
      </c>
    </row>
    <row r="30" spans="1:5" s="506" customFormat="1" x14ac:dyDescent="0.2">
      <c r="A30" s="512">
        <v>6</v>
      </c>
      <c r="B30" s="511" t="s">
        <v>430</v>
      </c>
      <c r="C30" s="513">
        <v>696661</v>
      </c>
      <c r="D30" s="515">
        <v>987989</v>
      </c>
      <c r="E30" s="514">
        <f t="shared" si="1"/>
        <v>291328</v>
      </c>
    </row>
    <row r="31" spans="1:5" s="506" customFormat="1" x14ac:dyDescent="0.2">
      <c r="A31" s="512">
        <v>7</v>
      </c>
      <c r="B31" s="511" t="s">
        <v>746</v>
      </c>
      <c r="C31" s="514">
        <v>22935833</v>
      </c>
      <c r="D31" s="518">
        <v>30198901</v>
      </c>
      <c r="E31" s="514">
        <f t="shared" si="1"/>
        <v>7263068</v>
      </c>
    </row>
    <row r="32" spans="1:5" s="506" customFormat="1" x14ac:dyDescent="0.2">
      <c r="A32" s="512"/>
      <c r="B32" s="516" t="s">
        <v>767</v>
      </c>
      <c r="C32" s="517">
        <f>SUM(C26+C27+C30)</f>
        <v>265996923</v>
      </c>
      <c r="D32" s="517">
        <f>SUM(D26+D27+D30)</f>
        <v>295101882</v>
      </c>
      <c r="E32" s="517">
        <f t="shared" si="1"/>
        <v>29104959</v>
      </c>
    </row>
    <row r="33" spans="1:5" s="506" customFormat="1" x14ac:dyDescent="0.2">
      <c r="A33" s="512"/>
      <c r="B33" s="516" t="s">
        <v>711</v>
      </c>
      <c r="C33" s="517">
        <f>SUM(C25+C32)</f>
        <v>568826659</v>
      </c>
      <c r="D33" s="517">
        <f>SUM(D25+D32)</f>
        <v>633077275</v>
      </c>
      <c r="E33" s="517">
        <f t="shared" si="1"/>
        <v>64250616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636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768</v>
      </c>
      <c r="C36" s="514">
        <f t="shared" ref="C36:D42" si="2">C14+C25</f>
        <v>493210518</v>
      </c>
      <c r="D36" s="514">
        <f t="shared" si="2"/>
        <v>521061067</v>
      </c>
      <c r="E36" s="514">
        <f t="shared" ref="E36:E44" si="3">D36-C36</f>
        <v>27850549</v>
      </c>
    </row>
    <row r="37" spans="1:5" s="506" customFormat="1" x14ac:dyDescent="0.2">
      <c r="A37" s="512">
        <v>2</v>
      </c>
      <c r="B37" s="511" t="s">
        <v>769</v>
      </c>
      <c r="C37" s="514">
        <f t="shared" si="2"/>
        <v>489956613</v>
      </c>
      <c r="D37" s="514">
        <f t="shared" si="2"/>
        <v>508736798</v>
      </c>
      <c r="E37" s="514">
        <f t="shared" si="3"/>
        <v>18780185</v>
      </c>
    </row>
    <row r="38" spans="1:5" s="506" customFormat="1" x14ac:dyDescent="0.2">
      <c r="A38" s="512">
        <v>3</v>
      </c>
      <c r="B38" s="511" t="s">
        <v>770</v>
      </c>
      <c r="C38" s="514">
        <f t="shared" si="2"/>
        <v>128656829</v>
      </c>
      <c r="D38" s="514">
        <f t="shared" si="2"/>
        <v>145797711</v>
      </c>
      <c r="E38" s="514">
        <f t="shared" si="3"/>
        <v>17140882</v>
      </c>
    </row>
    <row r="39" spans="1:5" s="506" customFormat="1" x14ac:dyDescent="0.2">
      <c r="A39" s="512">
        <v>4</v>
      </c>
      <c r="B39" s="511" t="s">
        <v>771</v>
      </c>
      <c r="C39" s="514">
        <f t="shared" si="2"/>
        <v>125952077</v>
      </c>
      <c r="D39" s="514">
        <f t="shared" si="2"/>
        <v>143873707</v>
      </c>
      <c r="E39" s="514">
        <f t="shared" si="3"/>
        <v>17921630</v>
      </c>
    </row>
    <row r="40" spans="1:5" s="506" customFormat="1" x14ac:dyDescent="0.2">
      <c r="A40" s="512">
        <v>5</v>
      </c>
      <c r="B40" s="511" t="s">
        <v>772</v>
      </c>
      <c r="C40" s="514">
        <f t="shared" si="2"/>
        <v>2704752</v>
      </c>
      <c r="D40" s="514">
        <f t="shared" si="2"/>
        <v>1924004</v>
      </c>
      <c r="E40" s="514">
        <f t="shared" si="3"/>
        <v>-780748</v>
      </c>
    </row>
    <row r="41" spans="1:5" s="506" customFormat="1" x14ac:dyDescent="0.2">
      <c r="A41" s="512">
        <v>6</v>
      </c>
      <c r="B41" s="511" t="s">
        <v>773</v>
      </c>
      <c r="C41" s="514">
        <f t="shared" si="2"/>
        <v>1329129</v>
      </c>
      <c r="D41" s="514">
        <f t="shared" si="2"/>
        <v>1482484</v>
      </c>
      <c r="E41" s="514">
        <f t="shared" si="3"/>
        <v>153355</v>
      </c>
    </row>
    <row r="42" spans="1:5" s="506" customFormat="1" x14ac:dyDescent="0.2">
      <c r="A42" s="512">
        <v>7</v>
      </c>
      <c r="B42" s="511" t="s">
        <v>774</v>
      </c>
      <c r="C42" s="514">
        <f t="shared" si="2"/>
        <v>28349076</v>
      </c>
      <c r="D42" s="514">
        <f t="shared" si="2"/>
        <v>36547912</v>
      </c>
      <c r="E42" s="514">
        <f t="shared" si="3"/>
        <v>8198836</v>
      </c>
    </row>
    <row r="43" spans="1:5" s="506" customFormat="1" x14ac:dyDescent="0.2">
      <c r="A43" s="512"/>
      <c r="B43" s="516" t="s">
        <v>775</v>
      </c>
      <c r="C43" s="517">
        <f>SUM(C37+C38+C41)</f>
        <v>619942571</v>
      </c>
      <c r="D43" s="517">
        <f>SUM(D37+D38+D41)</f>
        <v>656016993</v>
      </c>
      <c r="E43" s="517">
        <f t="shared" si="3"/>
        <v>36074422</v>
      </c>
    </row>
    <row r="44" spans="1:5" s="506" customFormat="1" x14ac:dyDescent="0.2">
      <c r="A44" s="512"/>
      <c r="B44" s="516" t="s">
        <v>713</v>
      </c>
      <c r="C44" s="517">
        <f>SUM(C36+C43)</f>
        <v>1113153089</v>
      </c>
      <c r="D44" s="517">
        <f>SUM(D36+D43)</f>
        <v>1177078060</v>
      </c>
      <c r="E44" s="517">
        <f t="shared" si="3"/>
        <v>63924971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333</v>
      </c>
      <c r="B46" s="509" t="s">
        <v>776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639</v>
      </c>
      <c r="C47" s="513">
        <v>112612777</v>
      </c>
      <c r="D47" s="513">
        <v>108067227</v>
      </c>
      <c r="E47" s="514">
        <f t="shared" ref="E47:E55" si="4">D47-C47</f>
        <v>-4545550</v>
      </c>
    </row>
    <row r="48" spans="1:5" s="506" customFormat="1" x14ac:dyDescent="0.2">
      <c r="A48" s="512">
        <v>2</v>
      </c>
      <c r="B48" s="511" t="s">
        <v>618</v>
      </c>
      <c r="C48" s="513">
        <v>98949663</v>
      </c>
      <c r="D48" s="515">
        <v>96248763</v>
      </c>
      <c r="E48" s="514">
        <f t="shared" si="4"/>
        <v>-2700900</v>
      </c>
    </row>
    <row r="49" spans="1:5" s="506" customFormat="1" x14ac:dyDescent="0.2">
      <c r="A49" s="512">
        <v>3</v>
      </c>
      <c r="B49" s="511" t="s">
        <v>764</v>
      </c>
      <c r="C49" s="513">
        <v>14737373</v>
      </c>
      <c r="D49" s="515">
        <v>18354306</v>
      </c>
      <c r="E49" s="514">
        <f t="shared" si="4"/>
        <v>3616933</v>
      </c>
    </row>
    <row r="50" spans="1:5" s="506" customFormat="1" x14ac:dyDescent="0.2">
      <c r="A50" s="512">
        <v>4</v>
      </c>
      <c r="B50" s="511" t="s">
        <v>114</v>
      </c>
      <c r="C50" s="513">
        <v>14451349</v>
      </c>
      <c r="D50" s="515">
        <v>18124266</v>
      </c>
      <c r="E50" s="514">
        <f t="shared" si="4"/>
        <v>3672917</v>
      </c>
    </row>
    <row r="51" spans="1:5" s="506" customFormat="1" x14ac:dyDescent="0.2">
      <c r="A51" s="512">
        <v>5</v>
      </c>
      <c r="B51" s="511" t="s">
        <v>731</v>
      </c>
      <c r="C51" s="513">
        <v>286024</v>
      </c>
      <c r="D51" s="515">
        <v>230040</v>
      </c>
      <c r="E51" s="514">
        <f t="shared" si="4"/>
        <v>-55984</v>
      </c>
    </row>
    <row r="52" spans="1:5" s="506" customFormat="1" x14ac:dyDescent="0.2">
      <c r="A52" s="512">
        <v>6</v>
      </c>
      <c r="B52" s="511" t="s">
        <v>430</v>
      </c>
      <c r="C52" s="513">
        <v>199476</v>
      </c>
      <c r="D52" s="515">
        <v>158895</v>
      </c>
      <c r="E52" s="514">
        <f t="shared" si="4"/>
        <v>-40581</v>
      </c>
    </row>
    <row r="53" spans="1:5" s="506" customFormat="1" x14ac:dyDescent="0.2">
      <c r="A53" s="512">
        <v>7</v>
      </c>
      <c r="B53" s="511" t="s">
        <v>746</v>
      </c>
      <c r="C53" s="513">
        <v>613179</v>
      </c>
      <c r="D53" s="515">
        <v>1343992</v>
      </c>
      <c r="E53" s="514">
        <f t="shared" si="4"/>
        <v>730813</v>
      </c>
    </row>
    <row r="54" spans="1:5" s="506" customFormat="1" x14ac:dyDescent="0.2">
      <c r="A54" s="512"/>
      <c r="B54" s="516" t="s">
        <v>777</v>
      </c>
      <c r="C54" s="517">
        <f>SUM(C48+C49+C52)</f>
        <v>113886512</v>
      </c>
      <c r="D54" s="517">
        <f>SUM(D48+D49+D52)</f>
        <v>114761964</v>
      </c>
      <c r="E54" s="517">
        <f t="shared" si="4"/>
        <v>875452</v>
      </c>
    </row>
    <row r="55" spans="1:5" s="506" customFormat="1" x14ac:dyDescent="0.2">
      <c r="A55" s="512"/>
      <c r="B55" s="516" t="s">
        <v>706</v>
      </c>
      <c r="C55" s="517">
        <f>SUM(C47+C54)</f>
        <v>226499289</v>
      </c>
      <c r="D55" s="517">
        <f>SUM(D47+D54)</f>
        <v>222829191</v>
      </c>
      <c r="E55" s="517">
        <f t="shared" si="4"/>
        <v>-3670098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354</v>
      </c>
      <c r="B57" s="509" t="s">
        <v>778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639</v>
      </c>
      <c r="C58" s="513">
        <v>171413135</v>
      </c>
      <c r="D58" s="513">
        <v>192273237</v>
      </c>
      <c r="E58" s="514">
        <f t="shared" ref="E58:E66" si="5">D58-C58</f>
        <v>20860102</v>
      </c>
    </row>
    <row r="59" spans="1:5" s="506" customFormat="1" x14ac:dyDescent="0.2">
      <c r="A59" s="512">
        <v>2</v>
      </c>
      <c r="B59" s="511" t="s">
        <v>618</v>
      </c>
      <c r="C59" s="513">
        <v>67074143</v>
      </c>
      <c r="D59" s="515">
        <v>74385515</v>
      </c>
      <c r="E59" s="514">
        <f t="shared" si="5"/>
        <v>7311372</v>
      </c>
    </row>
    <row r="60" spans="1:5" s="506" customFormat="1" x14ac:dyDescent="0.2">
      <c r="A60" s="512">
        <v>3</v>
      </c>
      <c r="B60" s="511" t="s">
        <v>764</v>
      </c>
      <c r="C60" s="513">
        <f>C61+C62</f>
        <v>16460432</v>
      </c>
      <c r="D60" s="515">
        <f>D61+D62</f>
        <v>17536232</v>
      </c>
      <c r="E60" s="514">
        <f t="shared" si="5"/>
        <v>1075800</v>
      </c>
    </row>
    <row r="61" spans="1:5" s="506" customFormat="1" x14ac:dyDescent="0.2">
      <c r="A61" s="512">
        <v>4</v>
      </c>
      <c r="B61" s="511" t="s">
        <v>114</v>
      </c>
      <c r="C61" s="513">
        <v>16175876</v>
      </c>
      <c r="D61" s="515">
        <v>17240567</v>
      </c>
      <c r="E61" s="514">
        <f t="shared" si="5"/>
        <v>1064691</v>
      </c>
    </row>
    <row r="62" spans="1:5" s="506" customFormat="1" x14ac:dyDescent="0.2">
      <c r="A62" s="512">
        <v>5</v>
      </c>
      <c r="B62" s="511" t="s">
        <v>731</v>
      </c>
      <c r="C62" s="513">
        <v>284556</v>
      </c>
      <c r="D62" s="515">
        <v>295665</v>
      </c>
      <c r="E62" s="514">
        <f t="shared" si="5"/>
        <v>11109</v>
      </c>
    </row>
    <row r="63" spans="1:5" s="506" customFormat="1" x14ac:dyDescent="0.2">
      <c r="A63" s="512">
        <v>6</v>
      </c>
      <c r="B63" s="511" t="s">
        <v>430</v>
      </c>
      <c r="C63" s="513">
        <v>162850</v>
      </c>
      <c r="D63" s="515">
        <v>207161</v>
      </c>
      <c r="E63" s="514">
        <f t="shared" si="5"/>
        <v>44311</v>
      </c>
    </row>
    <row r="64" spans="1:5" s="506" customFormat="1" x14ac:dyDescent="0.2">
      <c r="A64" s="512">
        <v>7</v>
      </c>
      <c r="B64" s="511" t="s">
        <v>746</v>
      </c>
      <c r="C64" s="513">
        <v>2598031</v>
      </c>
      <c r="D64" s="515">
        <v>6392663</v>
      </c>
      <c r="E64" s="514">
        <f t="shared" si="5"/>
        <v>3794632</v>
      </c>
    </row>
    <row r="65" spans="1:5" s="506" customFormat="1" x14ac:dyDescent="0.2">
      <c r="A65" s="512"/>
      <c r="B65" s="516" t="s">
        <v>779</v>
      </c>
      <c r="C65" s="517">
        <f>SUM(C59+C60+C63)</f>
        <v>83697425</v>
      </c>
      <c r="D65" s="517">
        <f>SUM(D59+D60+D63)</f>
        <v>92128908</v>
      </c>
      <c r="E65" s="517">
        <f t="shared" si="5"/>
        <v>8431483</v>
      </c>
    </row>
    <row r="66" spans="1:5" s="506" customFormat="1" x14ac:dyDescent="0.2">
      <c r="A66" s="512"/>
      <c r="B66" s="516" t="s">
        <v>712</v>
      </c>
      <c r="C66" s="517">
        <f>SUM(C58+C65)</f>
        <v>255110560</v>
      </c>
      <c r="D66" s="517">
        <f>SUM(D58+D65)</f>
        <v>284402145</v>
      </c>
      <c r="E66" s="517">
        <f t="shared" si="5"/>
        <v>29291585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366</v>
      </c>
      <c r="B68" s="521" t="s">
        <v>637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768</v>
      </c>
      <c r="C69" s="514">
        <f t="shared" ref="C69:D75" si="6">C47+C58</f>
        <v>284025912</v>
      </c>
      <c r="D69" s="514">
        <f t="shared" si="6"/>
        <v>300340464</v>
      </c>
      <c r="E69" s="514">
        <f t="shared" ref="E69:E77" si="7">D69-C69</f>
        <v>16314552</v>
      </c>
    </row>
    <row r="70" spans="1:5" s="506" customFormat="1" x14ac:dyDescent="0.2">
      <c r="A70" s="512">
        <v>2</v>
      </c>
      <c r="B70" s="511" t="s">
        <v>769</v>
      </c>
      <c r="C70" s="514">
        <f t="shared" si="6"/>
        <v>166023806</v>
      </c>
      <c r="D70" s="514">
        <f t="shared" si="6"/>
        <v>170634278</v>
      </c>
      <c r="E70" s="514">
        <f t="shared" si="7"/>
        <v>4610472</v>
      </c>
    </row>
    <row r="71" spans="1:5" s="506" customFormat="1" x14ac:dyDescent="0.2">
      <c r="A71" s="512">
        <v>3</v>
      </c>
      <c r="B71" s="511" t="s">
        <v>770</v>
      </c>
      <c r="C71" s="514">
        <f t="shared" si="6"/>
        <v>31197805</v>
      </c>
      <c r="D71" s="514">
        <f t="shared" si="6"/>
        <v>35890538</v>
      </c>
      <c r="E71" s="514">
        <f t="shared" si="7"/>
        <v>4692733</v>
      </c>
    </row>
    <row r="72" spans="1:5" s="506" customFormat="1" x14ac:dyDescent="0.2">
      <c r="A72" s="512">
        <v>4</v>
      </c>
      <c r="B72" s="511" t="s">
        <v>771</v>
      </c>
      <c r="C72" s="514">
        <f t="shared" si="6"/>
        <v>30627225</v>
      </c>
      <c r="D72" s="514">
        <f t="shared" si="6"/>
        <v>35364833</v>
      </c>
      <c r="E72" s="514">
        <f t="shared" si="7"/>
        <v>4737608</v>
      </c>
    </row>
    <row r="73" spans="1:5" s="506" customFormat="1" x14ac:dyDescent="0.2">
      <c r="A73" s="512">
        <v>5</v>
      </c>
      <c r="B73" s="511" t="s">
        <v>772</v>
      </c>
      <c r="C73" s="514">
        <f t="shared" si="6"/>
        <v>570580</v>
      </c>
      <c r="D73" s="514">
        <f t="shared" si="6"/>
        <v>525705</v>
      </c>
      <c r="E73" s="514">
        <f t="shared" si="7"/>
        <v>-44875</v>
      </c>
    </row>
    <row r="74" spans="1:5" s="506" customFormat="1" x14ac:dyDescent="0.2">
      <c r="A74" s="512">
        <v>6</v>
      </c>
      <c r="B74" s="511" t="s">
        <v>773</v>
      </c>
      <c r="C74" s="514">
        <f t="shared" si="6"/>
        <v>362326</v>
      </c>
      <c r="D74" s="514">
        <f t="shared" si="6"/>
        <v>366056</v>
      </c>
      <c r="E74" s="514">
        <f t="shared" si="7"/>
        <v>3730</v>
      </c>
    </row>
    <row r="75" spans="1:5" s="506" customFormat="1" x14ac:dyDescent="0.2">
      <c r="A75" s="512">
        <v>7</v>
      </c>
      <c r="B75" s="511" t="s">
        <v>774</v>
      </c>
      <c r="C75" s="514">
        <f t="shared" si="6"/>
        <v>3211210</v>
      </c>
      <c r="D75" s="514">
        <f t="shared" si="6"/>
        <v>7736655</v>
      </c>
      <c r="E75" s="514">
        <f t="shared" si="7"/>
        <v>4525445</v>
      </c>
    </row>
    <row r="76" spans="1:5" s="506" customFormat="1" x14ac:dyDescent="0.2">
      <c r="A76" s="512"/>
      <c r="B76" s="516" t="s">
        <v>780</v>
      </c>
      <c r="C76" s="517">
        <f>SUM(C70+C71+C74)</f>
        <v>197583937</v>
      </c>
      <c r="D76" s="517">
        <f>SUM(D70+D71+D74)</f>
        <v>206890872</v>
      </c>
      <c r="E76" s="517">
        <f t="shared" si="7"/>
        <v>9306935</v>
      </c>
    </row>
    <row r="77" spans="1:5" s="506" customFormat="1" x14ac:dyDescent="0.2">
      <c r="A77" s="512"/>
      <c r="B77" s="516" t="s">
        <v>714</v>
      </c>
      <c r="C77" s="517">
        <f>SUM(C69+C76)</f>
        <v>481609849</v>
      </c>
      <c r="D77" s="517">
        <f>SUM(D69+D76)</f>
        <v>507231336</v>
      </c>
      <c r="E77" s="517">
        <f t="shared" si="7"/>
        <v>25621487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781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782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639</v>
      </c>
      <c r="C83" s="523">
        <f t="shared" ref="C83:D89" si="8">IF(C$44=0,0,C14/C$44)</f>
        <v>0.17102839122606972</v>
      </c>
      <c r="D83" s="523">
        <f t="shared" si="8"/>
        <v>0.15554250837026051</v>
      </c>
      <c r="E83" s="523">
        <f t="shared" ref="E83:E91" si="9">D83-C83</f>
        <v>-1.5485882855809208E-2</v>
      </c>
    </row>
    <row r="84" spans="1:5" s="506" customFormat="1" x14ac:dyDescent="0.2">
      <c r="A84" s="512">
        <v>2</v>
      </c>
      <c r="B84" s="511" t="s">
        <v>618</v>
      </c>
      <c r="C84" s="523">
        <f t="shared" si="8"/>
        <v>0.26219620543136274</v>
      </c>
      <c r="D84" s="523">
        <f t="shared" si="8"/>
        <v>0.24372292267515377</v>
      </c>
      <c r="E84" s="523">
        <f t="shared" si="9"/>
        <v>-1.8473282756208964E-2</v>
      </c>
    </row>
    <row r="85" spans="1:5" s="506" customFormat="1" x14ac:dyDescent="0.2">
      <c r="A85" s="512">
        <v>3</v>
      </c>
      <c r="B85" s="511" t="s">
        <v>764</v>
      </c>
      <c r="C85" s="523">
        <f t="shared" si="8"/>
        <v>5.5202347823696332E-2</v>
      </c>
      <c r="D85" s="523">
        <f t="shared" si="8"/>
        <v>6.247649454956284E-2</v>
      </c>
      <c r="E85" s="523">
        <f t="shared" si="9"/>
        <v>7.274146725866508E-3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5.3789761347012709E-2</v>
      </c>
      <c r="D86" s="523">
        <f t="shared" si="8"/>
        <v>6.1797375613304693E-2</v>
      </c>
      <c r="E86" s="523">
        <f t="shared" si="9"/>
        <v>8.0076142662919847E-3</v>
      </c>
    </row>
    <row r="87" spans="1:5" s="506" customFormat="1" x14ac:dyDescent="0.2">
      <c r="A87" s="512">
        <v>5</v>
      </c>
      <c r="B87" s="511" t="s">
        <v>731</v>
      </c>
      <c r="C87" s="523">
        <f t="shared" si="8"/>
        <v>1.4125864766836218E-3</v>
      </c>
      <c r="D87" s="523">
        <f t="shared" si="8"/>
        <v>6.7911893625814419E-4</v>
      </c>
      <c r="E87" s="523">
        <f t="shared" si="9"/>
        <v>-7.3346754042547761E-4</v>
      </c>
    </row>
    <row r="88" spans="1:5" s="506" customFormat="1" x14ac:dyDescent="0.2">
      <c r="A88" s="512">
        <v>6</v>
      </c>
      <c r="B88" s="511" t="s">
        <v>430</v>
      </c>
      <c r="C88" s="523">
        <f t="shared" si="8"/>
        <v>5.6817701558747598E-4</v>
      </c>
      <c r="D88" s="523">
        <f t="shared" si="8"/>
        <v>4.2010382896780864E-4</v>
      </c>
      <c r="E88" s="523">
        <f t="shared" si="9"/>
        <v>-1.4807318661966734E-4</v>
      </c>
    </row>
    <row r="89" spans="1:5" s="506" customFormat="1" x14ac:dyDescent="0.2">
      <c r="A89" s="512">
        <v>7</v>
      </c>
      <c r="B89" s="511" t="s">
        <v>746</v>
      </c>
      <c r="C89" s="523">
        <f t="shared" si="8"/>
        <v>4.8629816091719973E-3</v>
      </c>
      <c r="D89" s="523">
        <f t="shared" si="8"/>
        <v>5.3938742176538402E-3</v>
      </c>
      <c r="E89" s="523">
        <f t="shared" si="9"/>
        <v>5.3089260848184286E-4</v>
      </c>
    </row>
    <row r="90" spans="1:5" s="506" customFormat="1" x14ac:dyDescent="0.2">
      <c r="A90" s="512"/>
      <c r="B90" s="516" t="s">
        <v>783</v>
      </c>
      <c r="C90" s="524">
        <f>SUM(C84+C85+C88)</f>
        <v>0.31796673027064654</v>
      </c>
      <c r="D90" s="524">
        <f>SUM(D84+D85+D88)</f>
        <v>0.3066195210536844</v>
      </c>
      <c r="E90" s="525">
        <f t="shared" si="9"/>
        <v>-1.134720921696214E-2</v>
      </c>
    </row>
    <row r="91" spans="1:5" s="506" customFormat="1" x14ac:dyDescent="0.2">
      <c r="A91" s="512"/>
      <c r="B91" s="516" t="s">
        <v>784</v>
      </c>
      <c r="C91" s="524">
        <f>SUM(C83+C90)</f>
        <v>0.48899512149671626</v>
      </c>
      <c r="D91" s="524">
        <f>SUM(D83+D90)</f>
        <v>0.46216202942394491</v>
      </c>
      <c r="E91" s="525">
        <f t="shared" si="9"/>
        <v>-2.6833092072771347E-2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785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639</v>
      </c>
      <c r="C95" s="523">
        <f t="shared" ref="C95:D101" si="10">IF(C$44=0,0,C25/C$44)</f>
        <v>0.27204680020431582</v>
      </c>
      <c r="D95" s="523">
        <f t="shared" si="10"/>
        <v>0.28713082376201965</v>
      </c>
      <c r="E95" s="523">
        <f t="shared" ref="E95:E103" si="11">D95-C95</f>
        <v>1.508402355770383E-2</v>
      </c>
    </row>
    <row r="96" spans="1:5" s="506" customFormat="1" x14ac:dyDescent="0.2">
      <c r="A96" s="512">
        <v>2</v>
      </c>
      <c r="B96" s="511" t="s">
        <v>618</v>
      </c>
      <c r="C96" s="523">
        <f t="shared" si="10"/>
        <v>0.17795584359196798</v>
      </c>
      <c r="D96" s="523">
        <f t="shared" si="10"/>
        <v>0.18848018711690201</v>
      </c>
      <c r="E96" s="523">
        <f t="shared" si="11"/>
        <v>1.0524343524934032E-2</v>
      </c>
    </row>
    <row r="97" spans="1:5" s="506" customFormat="1" x14ac:dyDescent="0.2">
      <c r="A97" s="512">
        <v>3</v>
      </c>
      <c r="B97" s="511" t="s">
        <v>764</v>
      </c>
      <c r="C97" s="523">
        <f t="shared" si="10"/>
        <v>6.0376389971999622E-2</v>
      </c>
      <c r="D97" s="523">
        <f t="shared" si="10"/>
        <v>6.1387602450087293E-2</v>
      </c>
      <c r="E97" s="523">
        <f t="shared" si="11"/>
        <v>1.0112124780876711E-3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5.9359165107612612E-2</v>
      </c>
      <c r="D98" s="523">
        <f t="shared" si="10"/>
        <v>6.0432161992722895E-2</v>
      </c>
      <c r="E98" s="523">
        <f t="shared" si="11"/>
        <v>1.0729968851102833E-3</v>
      </c>
    </row>
    <row r="99" spans="1:5" s="506" customFormat="1" x14ac:dyDescent="0.2">
      <c r="A99" s="512">
        <v>5</v>
      </c>
      <c r="B99" s="511" t="s">
        <v>731</v>
      </c>
      <c r="C99" s="523">
        <f t="shared" si="10"/>
        <v>1.0172248643870044E-3</v>
      </c>
      <c r="D99" s="523">
        <f t="shared" si="10"/>
        <v>9.5544045736439939E-4</v>
      </c>
      <c r="E99" s="523">
        <f t="shared" si="11"/>
        <v>-6.1784407022605022E-5</v>
      </c>
    </row>
    <row r="100" spans="1:5" s="506" customFormat="1" x14ac:dyDescent="0.2">
      <c r="A100" s="512">
        <v>6</v>
      </c>
      <c r="B100" s="511" t="s">
        <v>430</v>
      </c>
      <c r="C100" s="523">
        <f t="shared" si="10"/>
        <v>6.2584473500032663E-4</v>
      </c>
      <c r="D100" s="523">
        <f t="shared" si="10"/>
        <v>8.3935724704613051E-4</v>
      </c>
      <c r="E100" s="523">
        <f t="shared" si="11"/>
        <v>2.1351251204580388E-4</v>
      </c>
    </row>
    <row r="101" spans="1:5" s="506" customFormat="1" x14ac:dyDescent="0.2">
      <c r="A101" s="512">
        <v>7</v>
      </c>
      <c r="B101" s="511" t="s">
        <v>746</v>
      </c>
      <c r="C101" s="523">
        <f t="shared" si="10"/>
        <v>2.0604383374262011E-2</v>
      </c>
      <c r="D101" s="523">
        <f t="shared" si="10"/>
        <v>2.5655818442491402E-2</v>
      </c>
      <c r="E101" s="523">
        <f t="shared" si="11"/>
        <v>5.0514350682293908E-3</v>
      </c>
    </row>
    <row r="102" spans="1:5" s="506" customFormat="1" x14ac:dyDescent="0.2">
      <c r="A102" s="512"/>
      <c r="B102" s="516" t="s">
        <v>786</v>
      </c>
      <c r="C102" s="524">
        <f>SUM(C96+C97+C100)</f>
        <v>0.23895807829896792</v>
      </c>
      <c r="D102" s="524">
        <f>SUM(D96+D97+D100)</f>
        <v>0.25070714681403544</v>
      </c>
      <c r="E102" s="525">
        <f t="shared" si="11"/>
        <v>1.1749068515067518E-2</v>
      </c>
    </row>
    <row r="103" spans="1:5" s="506" customFormat="1" x14ac:dyDescent="0.2">
      <c r="A103" s="512"/>
      <c r="B103" s="516" t="s">
        <v>787</v>
      </c>
      <c r="C103" s="524">
        <f>SUM(C95+C102)</f>
        <v>0.51100487850328369</v>
      </c>
      <c r="D103" s="524">
        <f>SUM(D95+D102)</f>
        <v>0.53783797057605509</v>
      </c>
      <c r="E103" s="525">
        <f t="shared" si="11"/>
        <v>2.6833092072771403E-2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788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789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639</v>
      </c>
      <c r="C109" s="523">
        <f t="shared" ref="C109:D115" si="12">IF(C$77=0,0,C47/C$77)</f>
        <v>0.23382573515434898</v>
      </c>
      <c r="D109" s="523">
        <f t="shared" si="12"/>
        <v>0.21305313637010787</v>
      </c>
      <c r="E109" s="523">
        <f t="shared" ref="E109:E117" si="13">D109-C109</f>
        <v>-2.077259878424112E-2</v>
      </c>
    </row>
    <row r="110" spans="1:5" s="506" customFormat="1" x14ac:dyDescent="0.2">
      <c r="A110" s="512">
        <v>2</v>
      </c>
      <c r="B110" s="511" t="s">
        <v>618</v>
      </c>
      <c r="C110" s="523">
        <f t="shared" si="12"/>
        <v>0.20545606200839966</v>
      </c>
      <c r="D110" s="523">
        <f t="shared" si="12"/>
        <v>0.18975318788269815</v>
      </c>
      <c r="E110" s="523">
        <f t="shared" si="13"/>
        <v>-1.570287412570151E-2</v>
      </c>
    </row>
    <row r="111" spans="1:5" s="506" customFormat="1" x14ac:dyDescent="0.2">
      <c r="A111" s="512">
        <v>3</v>
      </c>
      <c r="B111" s="511" t="s">
        <v>764</v>
      </c>
      <c r="C111" s="523">
        <f t="shared" si="12"/>
        <v>3.0600231765609096E-2</v>
      </c>
      <c r="D111" s="523">
        <f t="shared" si="12"/>
        <v>3.6185276218817834E-2</v>
      </c>
      <c r="E111" s="523">
        <f t="shared" si="13"/>
        <v>5.5850444532087387E-3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3.0006340256550693E-2</v>
      </c>
      <c r="D112" s="523">
        <f t="shared" si="12"/>
        <v>3.5731755342497215E-2</v>
      </c>
      <c r="E112" s="523">
        <f t="shared" si="13"/>
        <v>5.7254150859465218E-3</v>
      </c>
    </row>
    <row r="113" spans="1:5" s="506" customFormat="1" x14ac:dyDescent="0.2">
      <c r="A113" s="512">
        <v>5</v>
      </c>
      <c r="B113" s="511" t="s">
        <v>731</v>
      </c>
      <c r="C113" s="523">
        <f t="shared" si="12"/>
        <v>5.9389150905840387E-4</v>
      </c>
      <c r="D113" s="523">
        <f t="shared" si="12"/>
        <v>4.5352087632062225E-4</v>
      </c>
      <c r="E113" s="523">
        <f t="shared" si="13"/>
        <v>-1.4037063273778162E-4</v>
      </c>
    </row>
    <row r="114" spans="1:5" s="506" customFormat="1" x14ac:dyDescent="0.2">
      <c r="A114" s="512">
        <v>6</v>
      </c>
      <c r="B114" s="511" t="s">
        <v>430</v>
      </c>
      <c r="C114" s="523">
        <f t="shared" si="12"/>
        <v>4.1418588181737955E-4</v>
      </c>
      <c r="D114" s="523">
        <f t="shared" si="12"/>
        <v>3.1325943159000731E-4</v>
      </c>
      <c r="E114" s="523">
        <f t="shared" si="13"/>
        <v>-1.0092645022737225E-4</v>
      </c>
    </row>
    <row r="115" spans="1:5" s="506" customFormat="1" x14ac:dyDescent="0.2">
      <c r="A115" s="512">
        <v>7</v>
      </c>
      <c r="B115" s="511" t="s">
        <v>746</v>
      </c>
      <c r="C115" s="523">
        <f t="shared" si="12"/>
        <v>1.2731861719048857E-3</v>
      </c>
      <c r="D115" s="523">
        <f t="shared" si="12"/>
        <v>2.6496627960698391E-3</v>
      </c>
      <c r="E115" s="523">
        <f t="shared" si="13"/>
        <v>1.3764766241649534E-3</v>
      </c>
    </row>
    <row r="116" spans="1:5" s="506" customFormat="1" x14ac:dyDescent="0.2">
      <c r="A116" s="512"/>
      <c r="B116" s="516" t="s">
        <v>783</v>
      </c>
      <c r="C116" s="524">
        <f>SUM(C110+C111+C114)</f>
        <v>0.23647047965582615</v>
      </c>
      <c r="D116" s="524">
        <f>SUM(D110+D111+D114)</f>
        <v>0.22625172353310599</v>
      </c>
      <c r="E116" s="525">
        <f t="shared" si="13"/>
        <v>-1.0218756122720163E-2</v>
      </c>
    </row>
    <row r="117" spans="1:5" s="506" customFormat="1" x14ac:dyDescent="0.2">
      <c r="A117" s="512"/>
      <c r="B117" s="516" t="s">
        <v>784</v>
      </c>
      <c r="C117" s="524">
        <f>SUM(C109+C116)</f>
        <v>0.47029621481017514</v>
      </c>
      <c r="D117" s="524">
        <f>SUM(D109+D116)</f>
        <v>0.43930485990321388</v>
      </c>
      <c r="E117" s="525">
        <f t="shared" si="13"/>
        <v>-3.0991354906961255E-2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333</v>
      </c>
      <c r="B119" s="522" t="s">
        <v>790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639</v>
      </c>
      <c r="C121" s="523">
        <f t="shared" ref="C121:D127" si="14">IF(C$77=0,0,C58/C$77)</f>
        <v>0.3559170049281945</v>
      </c>
      <c r="D121" s="523">
        <f t="shared" si="14"/>
        <v>0.3790641929109837</v>
      </c>
      <c r="E121" s="523">
        <f t="shared" ref="E121:E129" si="15">D121-C121</f>
        <v>2.3147187982789197E-2</v>
      </c>
    </row>
    <row r="122" spans="1:5" s="506" customFormat="1" x14ac:dyDescent="0.2">
      <c r="A122" s="512">
        <v>2</v>
      </c>
      <c r="B122" s="511" t="s">
        <v>618</v>
      </c>
      <c r="C122" s="523">
        <f t="shared" si="14"/>
        <v>0.13927070457398391</v>
      </c>
      <c r="D122" s="523">
        <f t="shared" si="14"/>
        <v>0.1466500780227821</v>
      </c>
      <c r="E122" s="523">
        <f t="shared" si="15"/>
        <v>7.3793734487981877E-3</v>
      </c>
    </row>
    <row r="123" spans="1:5" s="506" customFormat="1" x14ac:dyDescent="0.2">
      <c r="A123" s="512">
        <v>3</v>
      </c>
      <c r="B123" s="511" t="s">
        <v>764</v>
      </c>
      <c r="C123" s="523">
        <f t="shared" si="14"/>
        <v>3.4177938915032444E-2</v>
      </c>
      <c r="D123" s="523">
        <f t="shared" si="14"/>
        <v>3.4572453938453047E-2</v>
      </c>
      <c r="E123" s="523">
        <f t="shared" si="15"/>
        <v>3.9451502342060379E-4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3.3587095516395889E-2</v>
      </c>
      <c r="D124" s="523">
        <f t="shared" si="14"/>
        <v>3.3989554225805955E-2</v>
      </c>
      <c r="E124" s="523">
        <f t="shared" si="15"/>
        <v>4.0245870941006678E-4</v>
      </c>
    </row>
    <row r="125" spans="1:5" s="506" customFormat="1" x14ac:dyDescent="0.2">
      <c r="A125" s="512">
        <v>5</v>
      </c>
      <c r="B125" s="511" t="s">
        <v>731</v>
      </c>
      <c r="C125" s="523">
        <f t="shared" si="14"/>
        <v>5.9084339863655906E-4</v>
      </c>
      <c r="D125" s="523">
        <f t="shared" si="14"/>
        <v>5.8289971264709087E-4</v>
      </c>
      <c r="E125" s="523">
        <f t="shared" si="15"/>
        <v>-7.9436859894681938E-6</v>
      </c>
    </row>
    <row r="126" spans="1:5" s="506" customFormat="1" x14ac:dyDescent="0.2">
      <c r="A126" s="512">
        <v>6</v>
      </c>
      <c r="B126" s="511" t="s">
        <v>430</v>
      </c>
      <c r="C126" s="523">
        <f t="shared" si="14"/>
        <v>3.3813677261405011E-4</v>
      </c>
      <c r="D126" s="523">
        <f t="shared" si="14"/>
        <v>4.0841522456727713E-4</v>
      </c>
      <c r="E126" s="523">
        <f t="shared" si="15"/>
        <v>7.027845195322702E-5</v>
      </c>
    </row>
    <row r="127" spans="1:5" s="506" customFormat="1" x14ac:dyDescent="0.2">
      <c r="A127" s="512">
        <v>7</v>
      </c>
      <c r="B127" s="511" t="s">
        <v>746</v>
      </c>
      <c r="C127" s="523">
        <f t="shared" si="14"/>
        <v>5.3944723211007259E-3</v>
      </c>
      <c r="D127" s="523">
        <f t="shared" si="14"/>
        <v>1.2603052189977475E-2</v>
      </c>
      <c r="E127" s="523">
        <f t="shared" si="15"/>
        <v>7.2085798688767489E-3</v>
      </c>
    </row>
    <row r="128" spans="1:5" s="506" customFormat="1" x14ac:dyDescent="0.2">
      <c r="A128" s="512"/>
      <c r="B128" s="516" t="s">
        <v>786</v>
      </c>
      <c r="C128" s="524">
        <f>SUM(C122+C123+C126)</f>
        <v>0.17378678026163039</v>
      </c>
      <c r="D128" s="524">
        <f>SUM(D122+D123+D126)</f>
        <v>0.18163094718580242</v>
      </c>
      <c r="E128" s="525">
        <f t="shared" si="15"/>
        <v>7.8441669241720302E-3</v>
      </c>
    </row>
    <row r="129" spans="1:5" s="506" customFormat="1" x14ac:dyDescent="0.2">
      <c r="A129" s="512"/>
      <c r="B129" s="516" t="s">
        <v>787</v>
      </c>
      <c r="C129" s="524">
        <f>SUM(C121+C128)</f>
        <v>0.52970378518982486</v>
      </c>
      <c r="D129" s="524">
        <f>SUM(D121+D128)</f>
        <v>0.56069514009678612</v>
      </c>
      <c r="E129" s="525">
        <f t="shared" si="15"/>
        <v>3.0991354906961255E-2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791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792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793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639</v>
      </c>
      <c r="C137" s="530">
        <v>8068</v>
      </c>
      <c r="D137" s="530">
        <v>7521</v>
      </c>
      <c r="E137" s="531">
        <f t="shared" ref="E137:E145" si="16">D137-C137</f>
        <v>-547</v>
      </c>
    </row>
    <row r="138" spans="1:5" s="506" customFormat="1" x14ac:dyDescent="0.2">
      <c r="A138" s="512">
        <v>2</v>
      </c>
      <c r="B138" s="511" t="s">
        <v>618</v>
      </c>
      <c r="C138" s="530">
        <v>9495</v>
      </c>
      <c r="D138" s="530">
        <v>8736</v>
      </c>
      <c r="E138" s="531">
        <f t="shared" si="16"/>
        <v>-759</v>
      </c>
    </row>
    <row r="139" spans="1:5" s="506" customFormat="1" x14ac:dyDescent="0.2">
      <c r="A139" s="512">
        <v>3</v>
      </c>
      <c r="B139" s="511" t="s">
        <v>764</v>
      </c>
      <c r="C139" s="530">
        <f>C140+C141</f>
        <v>3166</v>
      </c>
      <c r="D139" s="530">
        <f>D140+D141</f>
        <v>3377</v>
      </c>
      <c r="E139" s="531">
        <f t="shared" si="16"/>
        <v>211</v>
      </c>
    </row>
    <row r="140" spans="1:5" s="506" customFormat="1" x14ac:dyDescent="0.2">
      <c r="A140" s="512">
        <v>4</v>
      </c>
      <c r="B140" s="511" t="s">
        <v>114</v>
      </c>
      <c r="C140" s="530">
        <v>3069</v>
      </c>
      <c r="D140" s="530">
        <v>3326</v>
      </c>
      <c r="E140" s="531">
        <f t="shared" si="16"/>
        <v>257</v>
      </c>
    </row>
    <row r="141" spans="1:5" s="506" customFormat="1" x14ac:dyDescent="0.2">
      <c r="A141" s="512">
        <v>5</v>
      </c>
      <c r="B141" s="511" t="s">
        <v>731</v>
      </c>
      <c r="C141" s="530">
        <v>97</v>
      </c>
      <c r="D141" s="530">
        <v>51</v>
      </c>
      <c r="E141" s="531">
        <f t="shared" si="16"/>
        <v>-46</v>
      </c>
    </row>
    <row r="142" spans="1:5" s="506" customFormat="1" x14ac:dyDescent="0.2">
      <c r="A142" s="512">
        <v>6</v>
      </c>
      <c r="B142" s="511" t="s">
        <v>430</v>
      </c>
      <c r="C142" s="530">
        <v>34</v>
      </c>
      <c r="D142" s="530">
        <v>34</v>
      </c>
      <c r="E142" s="531">
        <f t="shared" si="16"/>
        <v>0</v>
      </c>
    </row>
    <row r="143" spans="1:5" s="506" customFormat="1" x14ac:dyDescent="0.2">
      <c r="A143" s="512">
        <v>7</v>
      </c>
      <c r="B143" s="511" t="s">
        <v>746</v>
      </c>
      <c r="C143" s="530">
        <v>248</v>
      </c>
      <c r="D143" s="530">
        <v>197</v>
      </c>
      <c r="E143" s="531">
        <f t="shared" si="16"/>
        <v>-51</v>
      </c>
    </row>
    <row r="144" spans="1:5" s="506" customFormat="1" x14ac:dyDescent="0.2">
      <c r="A144" s="512"/>
      <c r="B144" s="516" t="s">
        <v>794</v>
      </c>
      <c r="C144" s="532">
        <f>SUM(C138+C139+C142)</f>
        <v>12695</v>
      </c>
      <c r="D144" s="532">
        <f>SUM(D138+D139+D142)</f>
        <v>12147</v>
      </c>
      <c r="E144" s="533">
        <f t="shared" si="16"/>
        <v>-548</v>
      </c>
    </row>
    <row r="145" spans="1:5" s="506" customFormat="1" x14ac:dyDescent="0.2">
      <c r="A145" s="512"/>
      <c r="B145" s="516" t="s">
        <v>708</v>
      </c>
      <c r="C145" s="532">
        <f>SUM(C137+C144)</f>
        <v>20763</v>
      </c>
      <c r="D145" s="532">
        <f>SUM(D137+D144)</f>
        <v>19668</v>
      </c>
      <c r="E145" s="533">
        <f t="shared" si="16"/>
        <v>-1095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639</v>
      </c>
      <c r="C149" s="534">
        <v>30391</v>
      </c>
      <c r="D149" s="534">
        <v>27864</v>
      </c>
      <c r="E149" s="531">
        <f t="shared" ref="E149:E157" si="17">D149-C149</f>
        <v>-2527</v>
      </c>
    </row>
    <row r="150" spans="1:5" s="506" customFormat="1" x14ac:dyDescent="0.2">
      <c r="A150" s="512">
        <v>2</v>
      </c>
      <c r="B150" s="511" t="s">
        <v>618</v>
      </c>
      <c r="C150" s="534">
        <v>52749</v>
      </c>
      <c r="D150" s="534">
        <v>48594</v>
      </c>
      <c r="E150" s="531">
        <f t="shared" si="17"/>
        <v>-4155</v>
      </c>
    </row>
    <row r="151" spans="1:5" s="506" customFormat="1" x14ac:dyDescent="0.2">
      <c r="A151" s="512">
        <v>3</v>
      </c>
      <c r="B151" s="511" t="s">
        <v>764</v>
      </c>
      <c r="C151" s="534">
        <f>C152+C153</f>
        <v>13426</v>
      </c>
      <c r="D151" s="534">
        <f>D152+D153</f>
        <v>15450</v>
      </c>
      <c r="E151" s="531">
        <f t="shared" si="17"/>
        <v>2024</v>
      </c>
    </row>
    <row r="152" spans="1:5" s="506" customFormat="1" x14ac:dyDescent="0.2">
      <c r="A152" s="512">
        <v>4</v>
      </c>
      <c r="B152" s="511" t="s">
        <v>114</v>
      </c>
      <c r="C152" s="534">
        <v>12889</v>
      </c>
      <c r="D152" s="534">
        <v>15198</v>
      </c>
      <c r="E152" s="531">
        <f t="shared" si="17"/>
        <v>2309</v>
      </c>
    </row>
    <row r="153" spans="1:5" s="506" customFormat="1" x14ac:dyDescent="0.2">
      <c r="A153" s="512">
        <v>5</v>
      </c>
      <c r="B153" s="511" t="s">
        <v>731</v>
      </c>
      <c r="C153" s="535">
        <v>537</v>
      </c>
      <c r="D153" s="534">
        <v>252</v>
      </c>
      <c r="E153" s="531">
        <f t="shared" si="17"/>
        <v>-285</v>
      </c>
    </row>
    <row r="154" spans="1:5" s="506" customFormat="1" x14ac:dyDescent="0.2">
      <c r="A154" s="512">
        <v>6</v>
      </c>
      <c r="B154" s="511" t="s">
        <v>430</v>
      </c>
      <c r="C154" s="534">
        <v>97</v>
      </c>
      <c r="D154" s="534">
        <v>102</v>
      </c>
      <c r="E154" s="531">
        <f t="shared" si="17"/>
        <v>5</v>
      </c>
    </row>
    <row r="155" spans="1:5" s="506" customFormat="1" x14ac:dyDescent="0.2">
      <c r="A155" s="512">
        <v>7</v>
      </c>
      <c r="B155" s="511" t="s">
        <v>746</v>
      </c>
      <c r="C155" s="534">
        <v>960</v>
      </c>
      <c r="D155" s="534">
        <v>751</v>
      </c>
      <c r="E155" s="531">
        <f t="shared" si="17"/>
        <v>-209</v>
      </c>
    </row>
    <row r="156" spans="1:5" s="506" customFormat="1" x14ac:dyDescent="0.2">
      <c r="A156" s="512"/>
      <c r="B156" s="516" t="s">
        <v>795</v>
      </c>
      <c r="C156" s="532">
        <f>SUM(C150+C151+C154)</f>
        <v>66272</v>
      </c>
      <c r="D156" s="532">
        <f>SUM(D150+D151+D154)</f>
        <v>64146</v>
      </c>
      <c r="E156" s="533">
        <f t="shared" si="17"/>
        <v>-2126</v>
      </c>
    </row>
    <row r="157" spans="1:5" s="506" customFormat="1" x14ac:dyDescent="0.2">
      <c r="A157" s="512"/>
      <c r="B157" s="516" t="s">
        <v>796</v>
      </c>
      <c r="C157" s="532">
        <f>SUM(C149+C156)</f>
        <v>96663</v>
      </c>
      <c r="D157" s="532">
        <f>SUM(D149+D156)</f>
        <v>92010</v>
      </c>
      <c r="E157" s="533">
        <f t="shared" si="17"/>
        <v>-4653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797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639</v>
      </c>
      <c r="C161" s="536">
        <f t="shared" ref="C161:D169" si="18">IF(C137=0,0,C149/C137)</f>
        <v>3.766856717897868</v>
      </c>
      <c r="D161" s="536">
        <f t="shared" si="18"/>
        <v>3.7048264858396491</v>
      </c>
      <c r="E161" s="537">
        <f t="shared" ref="E161:E169" si="19">D161-C161</f>
        <v>-6.2030232058218893E-2</v>
      </c>
    </row>
    <row r="162" spans="1:5" s="506" customFormat="1" x14ac:dyDescent="0.2">
      <c r="A162" s="512">
        <v>2</v>
      </c>
      <c r="B162" s="511" t="s">
        <v>618</v>
      </c>
      <c r="C162" s="536">
        <f t="shared" si="18"/>
        <v>5.5554502369668244</v>
      </c>
      <c r="D162" s="536">
        <f t="shared" si="18"/>
        <v>5.5625</v>
      </c>
      <c r="E162" s="537">
        <f t="shared" si="19"/>
        <v>7.0497630331756156E-3</v>
      </c>
    </row>
    <row r="163" spans="1:5" s="506" customFormat="1" x14ac:dyDescent="0.2">
      <c r="A163" s="512">
        <v>3</v>
      </c>
      <c r="B163" s="511" t="s">
        <v>764</v>
      </c>
      <c r="C163" s="536">
        <f t="shared" si="18"/>
        <v>4.2406822488945037</v>
      </c>
      <c r="D163" s="536">
        <f t="shared" si="18"/>
        <v>4.5750666271838911</v>
      </c>
      <c r="E163" s="537">
        <f t="shared" si="19"/>
        <v>0.33438437828938739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4.199739328771587</v>
      </c>
      <c r="D164" s="536">
        <f t="shared" si="18"/>
        <v>4.5694527961515332</v>
      </c>
      <c r="E164" s="537">
        <f t="shared" si="19"/>
        <v>0.36971346737994626</v>
      </c>
    </row>
    <row r="165" spans="1:5" s="506" customFormat="1" x14ac:dyDescent="0.2">
      <c r="A165" s="512">
        <v>5</v>
      </c>
      <c r="B165" s="511" t="s">
        <v>731</v>
      </c>
      <c r="C165" s="536">
        <f t="shared" si="18"/>
        <v>5.536082474226804</v>
      </c>
      <c r="D165" s="536">
        <f t="shared" si="18"/>
        <v>4.9411764705882355</v>
      </c>
      <c r="E165" s="537">
        <f t="shared" si="19"/>
        <v>-0.59490600363856849</v>
      </c>
    </row>
    <row r="166" spans="1:5" s="506" customFormat="1" x14ac:dyDescent="0.2">
      <c r="A166" s="512">
        <v>6</v>
      </c>
      <c r="B166" s="511" t="s">
        <v>430</v>
      </c>
      <c r="C166" s="536">
        <f t="shared" si="18"/>
        <v>2.8529411764705883</v>
      </c>
      <c r="D166" s="536">
        <f t="shared" si="18"/>
        <v>3</v>
      </c>
      <c r="E166" s="537">
        <f t="shared" si="19"/>
        <v>0.14705882352941169</v>
      </c>
    </row>
    <row r="167" spans="1:5" s="506" customFormat="1" x14ac:dyDescent="0.2">
      <c r="A167" s="512">
        <v>7</v>
      </c>
      <c r="B167" s="511" t="s">
        <v>746</v>
      </c>
      <c r="C167" s="536">
        <f t="shared" si="18"/>
        <v>3.870967741935484</v>
      </c>
      <c r="D167" s="536">
        <f t="shared" si="18"/>
        <v>3.8121827411167515</v>
      </c>
      <c r="E167" s="537">
        <f t="shared" si="19"/>
        <v>-5.8785000818732502E-2</v>
      </c>
    </row>
    <row r="168" spans="1:5" s="506" customFormat="1" x14ac:dyDescent="0.2">
      <c r="A168" s="512"/>
      <c r="B168" s="516" t="s">
        <v>798</v>
      </c>
      <c r="C168" s="538">
        <f t="shared" si="18"/>
        <v>5.2203229617959828</v>
      </c>
      <c r="D168" s="538">
        <f t="shared" si="18"/>
        <v>5.2808100765621138</v>
      </c>
      <c r="E168" s="539">
        <f t="shared" si="19"/>
        <v>6.0487114766131E-2</v>
      </c>
    </row>
    <row r="169" spans="1:5" s="506" customFormat="1" x14ac:dyDescent="0.2">
      <c r="A169" s="512"/>
      <c r="B169" s="516" t="s">
        <v>732</v>
      </c>
      <c r="C169" s="538">
        <f t="shared" si="18"/>
        <v>4.6555411067764778</v>
      </c>
      <c r="D169" s="538">
        <f t="shared" si="18"/>
        <v>4.6781574130567423</v>
      </c>
      <c r="E169" s="539">
        <f t="shared" si="19"/>
        <v>2.2616306280264453E-2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333</v>
      </c>
      <c r="B171" s="509" t="s">
        <v>799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639</v>
      </c>
      <c r="C173" s="541">
        <f t="shared" ref="C173:D181" si="20">IF(C137=0,0,C203/C137)</f>
        <v>1.1952</v>
      </c>
      <c r="D173" s="541">
        <f t="shared" si="20"/>
        <v>1.2112000000000001</v>
      </c>
      <c r="E173" s="542">
        <f t="shared" ref="E173:E181" si="21">D173-C173</f>
        <v>1.6000000000000014E-2</v>
      </c>
    </row>
    <row r="174" spans="1:5" s="506" customFormat="1" x14ac:dyDescent="0.2">
      <c r="A174" s="512">
        <v>2</v>
      </c>
      <c r="B174" s="511" t="s">
        <v>618</v>
      </c>
      <c r="C174" s="541">
        <f t="shared" si="20"/>
        <v>1.3328</v>
      </c>
      <c r="D174" s="541">
        <f t="shared" si="20"/>
        <v>1.3210999999999999</v>
      </c>
      <c r="E174" s="542">
        <f t="shared" si="21"/>
        <v>-1.1700000000000044E-2</v>
      </c>
    </row>
    <row r="175" spans="1:5" s="506" customFormat="1" x14ac:dyDescent="0.2">
      <c r="A175" s="512">
        <v>0</v>
      </c>
      <c r="B175" s="511" t="s">
        <v>764</v>
      </c>
      <c r="C175" s="541">
        <f t="shared" si="20"/>
        <v>1.0278367972204676</v>
      </c>
      <c r="D175" s="541">
        <f t="shared" si="20"/>
        <v>0.98915398282499256</v>
      </c>
      <c r="E175" s="542">
        <f t="shared" si="21"/>
        <v>-3.8682814395475051E-2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1.0314000000000001</v>
      </c>
      <c r="D176" s="541">
        <f t="shared" si="20"/>
        <v>0.99129999999999996</v>
      </c>
      <c r="E176" s="542">
        <f t="shared" si="21"/>
        <v>-4.0100000000000136E-2</v>
      </c>
    </row>
    <row r="177" spans="1:5" s="506" customFormat="1" x14ac:dyDescent="0.2">
      <c r="A177" s="512">
        <v>5</v>
      </c>
      <c r="B177" s="511" t="s">
        <v>731</v>
      </c>
      <c r="C177" s="541">
        <f t="shared" si="20"/>
        <v>0.91510000000000002</v>
      </c>
      <c r="D177" s="541">
        <f t="shared" si="20"/>
        <v>0.84919999999999995</v>
      </c>
      <c r="E177" s="542">
        <f t="shared" si="21"/>
        <v>-6.590000000000007E-2</v>
      </c>
    </row>
    <row r="178" spans="1:5" s="506" customFormat="1" x14ac:dyDescent="0.2">
      <c r="A178" s="512">
        <v>6</v>
      </c>
      <c r="B178" s="511" t="s">
        <v>430</v>
      </c>
      <c r="C178" s="541">
        <f t="shared" si="20"/>
        <v>0.90149999999999997</v>
      </c>
      <c r="D178" s="541">
        <f t="shared" si="20"/>
        <v>0.96240000000000003</v>
      </c>
      <c r="E178" s="542">
        <f t="shared" si="21"/>
        <v>6.0900000000000065E-2</v>
      </c>
    </row>
    <row r="179" spans="1:5" s="506" customFormat="1" x14ac:dyDescent="0.2">
      <c r="A179" s="512">
        <v>7</v>
      </c>
      <c r="B179" s="511" t="s">
        <v>746</v>
      </c>
      <c r="C179" s="541">
        <f t="shared" si="20"/>
        <v>1.2153</v>
      </c>
      <c r="D179" s="541">
        <f t="shared" si="20"/>
        <v>1.2902</v>
      </c>
      <c r="E179" s="542">
        <f t="shared" si="21"/>
        <v>7.4899999999999967E-2</v>
      </c>
    </row>
    <row r="180" spans="1:5" s="506" customFormat="1" x14ac:dyDescent="0.2">
      <c r="A180" s="512"/>
      <c r="B180" s="516" t="s">
        <v>800</v>
      </c>
      <c r="C180" s="543">
        <f t="shared" si="20"/>
        <v>1.2555902560063017</v>
      </c>
      <c r="D180" s="543">
        <f t="shared" si="20"/>
        <v>1.227811327899893</v>
      </c>
      <c r="E180" s="544">
        <f t="shared" si="21"/>
        <v>-2.7778928106408696E-2</v>
      </c>
    </row>
    <row r="181" spans="1:5" s="506" customFormat="1" x14ac:dyDescent="0.2">
      <c r="A181" s="512"/>
      <c r="B181" s="516" t="s">
        <v>709</v>
      </c>
      <c r="C181" s="543">
        <f t="shared" si="20"/>
        <v>1.2321240620334248</v>
      </c>
      <c r="D181" s="543">
        <f t="shared" si="20"/>
        <v>1.2214591925971121</v>
      </c>
      <c r="E181" s="544">
        <f t="shared" si="21"/>
        <v>-1.0664869436312729E-2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354</v>
      </c>
      <c r="B183" s="509" t="s">
        <v>801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802</v>
      </c>
      <c r="C185" s="513">
        <v>440484262</v>
      </c>
      <c r="D185" s="513">
        <v>457174326</v>
      </c>
      <c r="E185" s="514">
        <f>D185-C185</f>
        <v>16690064</v>
      </c>
    </row>
    <row r="186" spans="1:5" s="506" customFormat="1" ht="25.5" x14ac:dyDescent="0.2">
      <c r="A186" s="512">
        <v>2</v>
      </c>
      <c r="B186" s="511" t="s">
        <v>803</v>
      </c>
      <c r="C186" s="513">
        <v>274413100</v>
      </c>
      <c r="D186" s="513">
        <v>285461328</v>
      </c>
      <c r="E186" s="514">
        <f>D186-C186</f>
        <v>11048228</v>
      </c>
    </row>
    <row r="187" spans="1:5" s="506" customFormat="1" x14ac:dyDescent="0.2">
      <c r="A187" s="512"/>
      <c r="B187" s="511" t="s">
        <v>651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735</v>
      </c>
      <c r="C188" s="546">
        <f>+C185-C186</f>
        <v>166071162</v>
      </c>
      <c r="D188" s="546">
        <f>+D185-D186</f>
        <v>171712998</v>
      </c>
      <c r="E188" s="514">
        <f t="shared" ref="E188:E197" si="22">D188-C188</f>
        <v>5641836</v>
      </c>
    </row>
    <row r="189" spans="1:5" s="506" customFormat="1" x14ac:dyDescent="0.2">
      <c r="A189" s="512">
        <v>4</v>
      </c>
      <c r="B189" s="511" t="s">
        <v>653</v>
      </c>
      <c r="C189" s="547">
        <f>IF(C185=0,0,+C188/C185)</f>
        <v>0.37701951312848492</v>
      </c>
      <c r="D189" s="547">
        <f>IF(D185=0,0,+D188/D185)</f>
        <v>0.37559632777803886</v>
      </c>
      <c r="E189" s="523">
        <f t="shared" si="22"/>
        <v>-1.4231853504460545E-3</v>
      </c>
    </row>
    <row r="190" spans="1:5" s="506" customFormat="1" x14ac:dyDescent="0.2">
      <c r="A190" s="512">
        <v>5</v>
      </c>
      <c r="B190" s="511" t="s">
        <v>750</v>
      </c>
      <c r="C190" s="513">
        <v>24904012</v>
      </c>
      <c r="D190" s="513">
        <v>27997903</v>
      </c>
      <c r="E190" s="546">
        <f t="shared" si="22"/>
        <v>3093891</v>
      </c>
    </row>
    <row r="191" spans="1:5" s="506" customFormat="1" x14ac:dyDescent="0.2">
      <c r="A191" s="512">
        <v>6</v>
      </c>
      <c r="B191" s="511" t="s">
        <v>736</v>
      </c>
      <c r="C191" s="513">
        <v>14537538</v>
      </c>
      <c r="D191" s="513">
        <v>16741033</v>
      </c>
      <c r="E191" s="546">
        <f t="shared" si="22"/>
        <v>2203495</v>
      </c>
    </row>
    <row r="192" spans="1:5" ht="29.25" x14ac:dyDescent="0.2">
      <c r="A192" s="512">
        <v>7</v>
      </c>
      <c r="B192" s="548" t="s">
        <v>804</v>
      </c>
      <c r="C192" s="513">
        <v>0</v>
      </c>
      <c r="D192" s="513">
        <v>0</v>
      </c>
      <c r="E192" s="546">
        <f t="shared" si="22"/>
        <v>0</v>
      </c>
    </row>
    <row r="193" spans="1:5" s="506" customFormat="1" x14ac:dyDescent="0.2">
      <c r="A193" s="512">
        <v>8</v>
      </c>
      <c r="B193" s="511" t="s">
        <v>805</v>
      </c>
      <c r="C193" s="513">
        <v>11359623</v>
      </c>
      <c r="D193" s="513">
        <v>13969782</v>
      </c>
      <c r="E193" s="546">
        <f t="shared" si="22"/>
        <v>2610159</v>
      </c>
    </row>
    <row r="194" spans="1:5" s="506" customFormat="1" x14ac:dyDescent="0.2">
      <c r="A194" s="512">
        <v>9</v>
      </c>
      <c r="B194" s="511" t="s">
        <v>806</v>
      </c>
      <c r="C194" s="513">
        <v>18183085</v>
      </c>
      <c r="D194" s="513">
        <v>19413218</v>
      </c>
      <c r="E194" s="546">
        <f t="shared" si="22"/>
        <v>1230133</v>
      </c>
    </row>
    <row r="195" spans="1:5" s="506" customFormat="1" x14ac:dyDescent="0.2">
      <c r="A195" s="512">
        <v>10</v>
      </c>
      <c r="B195" s="511" t="s">
        <v>807</v>
      </c>
      <c r="C195" s="513">
        <f>+C193+C194</f>
        <v>29542708</v>
      </c>
      <c r="D195" s="513">
        <f>+D193+D194</f>
        <v>33383000</v>
      </c>
      <c r="E195" s="549">
        <f t="shared" si="22"/>
        <v>3840292</v>
      </c>
    </row>
    <row r="196" spans="1:5" s="506" customFormat="1" x14ac:dyDescent="0.2">
      <c r="A196" s="512">
        <v>11</v>
      </c>
      <c r="B196" s="511" t="s">
        <v>808</v>
      </c>
      <c r="C196" s="513">
        <v>440484262</v>
      </c>
      <c r="D196" s="513">
        <v>457174326</v>
      </c>
      <c r="E196" s="546">
        <f t="shared" si="22"/>
        <v>16690064</v>
      </c>
    </row>
    <row r="197" spans="1:5" s="506" customFormat="1" x14ac:dyDescent="0.2">
      <c r="A197" s="512">
        <v>12</v>
      </c>
      <c r="B197" s="511" t="s">
        <v>693</v>
      </c>
      <c r="C197" s="513">
        <v>495471968</v>
      </c>
      <c r="D197" s="513">
        <v>514797196</v>
      </c>
      <c r="E197" s="546">
        <f t="shared" si="22"/>
        <v>19325228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809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810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639</v>
      </c>
      <c r="C203" s="553">
        <v>9642.8736000000008</v>
      </c>
      <c r="D203" s="553">
        <v>9109.4351999999999</v>
      </c>
      <c r="E203" s="554">
        <f t="shared" ref="E203:E211" si="23">D203-C203</f>
        <v>-533.43840000000091</v>
      </c>
    </row>
    <row r="204" spans="1:5" s="506" customFormat="1" x14ac:dyDescent="0.2">
      <c r="A204" s="512">
        <v>2</v>
      </c>
      <c r="B204" s="511" t="s">
        <v>618</v>
      </c>
      <c r="C204" s="553">
        <v>12654.936</v>
      </c>
      <c r="D204" s="553">
        <v>11541.1296</v>
      </c>
      <c r="E204" s="554">
        <f t="shared" si="23"/>
        <v>-1113.8063999999995</v>
      </c>
    </row>
    <row r="205" spans="1:5" s="506" customFormat="1" x14ac:dyDescent="0.2">
      <c r="A205" s="512">
        <v>3</v>
      </c>
      <c r="B205" s="511" t="s">
        <v>764</v>
      </c>
      <c r="C205" s="553">
        <f>C206+C207</f>
        <v>3254.1313000000005</v>
      </c>
      <c r="D205" s="553">
        <f>D206+D207</f>
        <v>3340.373</v>
      </c>
      <c r="E205" s="554">
        <f t="shared" si="23"/>
        <v>86.241699999999582</v>
      </c>
    </row>
    <row r="206" spans="1:5" s="506" customFormat="1" x14ac:dyDescent="0.2">
      <c r="A206" s="512">
        <v>4</v>
      </c>
      <c r="B206" s="511" t="s">
        <v>114</v>
      </c>
      <c r="C206" s="553">
        <v>3165.3666000000003</v>
      </c>
      <c r="D206" s="553">
        <v>3297.0637999999999</v>
      </c>
      <c r="E206" s="554">
        <f t="shared" si="23"/>
        <v>131.69719999999961</v>
      </c>
    </row>
    <row r="207" spans="1:5" s="506" customFormat="1" x14ac:dyDescent="0.2">
      <c r="A207" s="512">
        <v>5</v>
      </c>
      <c r="B207" s="511" t="s">
        <v>731</v>
      </c>
      <c r="C207" s="553">
        <v>88.764700000000005</v>
      </c>
      <c r="D207" s="553">
        <v>43.309199999999997</v>
      </c>
      <c r="E207" s="554">
        <f t="shared" si="23"/>
        <v>-45.455500000000008</v>
      </c>
    </row>
    <row r="208" spans="1:5" s="506" customFormat="1" x14ac:dyDescent="0.2">
      <c r="A208" s="512">
        <v>6</v>
      </c>
      <c r="B208" s="511" t="s">
        <v>430</v>
      </c>
      <c r="C208" s="553">
        <v>30.651</v>
      </c>
      <c r="D208" s="553">
        <v>32.721600000000002</v>
      </c>
      <c r="E208" s="554">
        <f t="shared" si="23"/>
        <v>2.0706000000000024</v>
      </c>
    </row>
    <row r="209" spans="1:5" s="506" customFormat="1" x14ac:dyDescent="0.2">
      <c r="A209" s="512">
        <v>7</v>
      </c>
      <c r="B209" s="511" t="s">
        <v>746</v>
      </c>
      <c r="C209" s="553">
        <v>301.39440000000002</v>
      </c>
      <c r="D209" s="553">
        <v>254.1694</v>
      </c>
      <c r="E209" s="554">
        <f t="shared" si="23"/>
        <v>-47.225000000000023</v>
      </c>
    </row>
    <row r="210" spans="1:5" s="506" customFormat="1" x14ac:dyDescent="0.2">
      <c r="A210" s="512"/>
      <c r="B210" s="516" t="s">
        <v>811</v>
      </c>
      <c r="C210" s="555">
        <f>C204+C205+C208</f>
        <v>15939.7183</v>
      </c>
      <c r="D210" s="555">
        <f>D204+D205+D208</f>
        <v>14914.224200000001</v>
      </c>
      <c r="E210" s="556">
        <f t="shared" si="23"/>
        <v>-1025.4940999999999</v>
      </c>
    </row>
    <row r="211" spans="1:5" s="506" customFormat="1" x14ac:dyDescent="0.2">
      <c r="A211" s="512"/>
      <c r="B211" s="516" t="s">
        <v>710</v>
      </c>
      <c r="C211" s="555">
        <f>C210+C203</f>
        <v>25582.591899999999</v>
      </c>
      <c r="D211" s="555">
        <f>D210+D203</f>
        <v>24023.6594</v>
      </c>
      <c r="E211" s="556">
        <f t="shared" si="23"/>
        <v>-1558.932499999999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812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639</v>
      </c>
      <c r="C215" s="557">
        <f>IF(C14*C137=0,0,C25/C14*C137)</f>
        <v>12833.387300867375</v>
      </c>
      <c r="D215" s="557">
        <f>IF(D14*D137=0,0,D25/D14*D137)</f>
        <v>13883.734730402773</v>
      </c>
      <c r="E215" s="557">
        <f t="shared" ref="E215:E223" si="24">D215-C215</f>
        <v>1050.347429535399</v>
      </c>
    </row>
    <row r="216" spans="1:5" s="506" customFormat="1" x14ac:dyDescent="0.2">
      <c r="A216" s="512">
        <v>2</v>
      </c>
      <c r="B216" s="511" t="s">
        <v>618</v>
      </c>
      <c r="C216" s="557">
        <f>IF(C15*C138=0,0,C26/C15*C138)</f>
        <v>6444.3752422956413</v>
      </c>
      <c r="D216" s="557">
        <f>IF(D15*D138=0,0,D26/D15*D138)</f>
        <v>6755.8803931129542</v>
      </c>
      <c r="E216" s="557">
        <f t="shared" si="24"/>
        <v>311.50515081731282</v>
      </c>
    </row>
    <row r="217" spans="1:5" s="506" customFormat="1" x14ac:dyDescent="0.2">
      <c r="A217" s="512">
        <v>3</v>
      </c>
      <c r="B217" s="511" t="s">
        <v>764</v>
      </c>
      <c r="C217" s="557">
        <f>C218+C219</f>
        <v>3456.6161028464512</v>
      </c>
      <c r="D217" s="557">
        <f>D218+D219</f>
        <v>3324.273762354363</v>
      </c>
      <c r="E217" s="557">
        <f t="shared" si="24"/>
        <v>-132.34234049208817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3386.7649372900655</v>
      </c>
      <c r="D218" s="557">
        <f t="shared" si="25"/>
        <v>3252.522761573754</v>
      </c>
      <c r="E218" s="557">
        <f t="shared" si="24"/>
        <v>-134.24217571631152</v>
      </c>
    </row>
    <row r="219" spans="1:5" s="506" customFormat="1" x14ac:dyDescent="0.2">
      <c r="A219" s="512">
        <v>5</v>
      </c>
      <c r="B219" s="511" t="s">
        <v>731</v>
      </c>
      <c r="C219" s="557">
        <f t="shared" si="25"/>
        <v>69.851165556385837</v>
      </c>
      <c r="D219" s="557">
        <f t="shared" si="25"/>
        <v>71.751000780608877</v>
      </c>
      <c r="E219" s="557">
        <f t="shared" si="24"/>
        <v>1.8998352242230396</v>
      </c>
    </row>
    <row r="220" spans="1:5" s="506" customFormat="1" x14ac:dyDescent="0.2">
      <c r="A220" s="512">
        <v>6</v>
      </c>
      <c r="B220" s="511" t="s">
        <v>430</v>
      </c>
      <c r="C220" s="557">
        <f t="shared" si="25"/>
        <v>37.450865498333513</v>
      </c>
      <c r="D220" s="557">
        <f t="shared" si="25"/>
        <v>67.93117422825307</v>
      </c>
      <c r="E220" s="557">
        <f t="shared" si="24"/>
        <v>30.480308729919557</v>
      </c>
    </row>
    <row r="221" spans="1:5" s="506" customFormat="1" x14ac:dyDescent="0.2">
      <c r="A221" s="512">
        <v>7</v>
      </c>
      <c r="B221" s="511" t="s">
        <v>746</v>
      </c>
      <c r="C221" s="557">
        <f t="shared" si="25"/>
        <v>1050.7724452791053</v>
      </c>
      <c r="D221" s="557">
        <f t="shared" si="25"/>
        <v>937.02523070128564</v>
      </c>
      <c r="E221" s="557">
        <f t="shared" si="24"/>
        <v>-113.7472145778197</v>
      </c>
    </row>
    <row r="222" spans="1:5" s="506" customFormat="1" x14ac:dyDescent="0.2">
      <c r="A222" s="512"/>
      <c r="B222" s="516" t="s">
        <v>813</v>
      </c>
      <c r="C222" s="558">
        <f>C216+C218+C219+C220</f>
        <v>9938.4422106404254</v>
      </c>
      <c r="D222" s="558">
        <f>D216+D218+D219+D220</f>
        <v>10148.08532969557</v>
      </c>
      <c r="E222" s="558">
        <f t="shared" si="24"/>
        <v>209.64311905514478</v>
      </c>
    </row>
    <row r="223" spans="1:5" s="506" customFormat="1" x14ac:dyDescent="0.2">
      <c r="A223" s="512"/>
      <c r="B223" s="516" t="s">
        <v>814</v>
      </c>
      <c r="C223" s="558">
        <f>C215+C222</f>
        <v>22771.8295115078</v>
      </c>
      <c r="D223" s="558">
        <f>D215+D222</f>
        <v>24031.820060098344</v>
      </c>
      <c r="E223" s="558">
        <f t="shared" si="24"/>
        <v>1259.9905485905438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815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639</v>
      </c>
      <c r="C227" s="560">
        <f t="shared" ref="C227:D235" si="26">IF(C203=0,0,C47/C203)</f>
        <v>11678.342128222026</v>
      </c>
      <c r="D227" s="560">
        <f t="shared" si="26"/>
        <v>11863.219247665322</v>
      </c>
      <c r="E227" s="560">
        <f t="shared" ref="E227:E235" si="27">D227-C227</f>
        <v>184.87711944329567</v>
      </c>
    </row>
    <row r="228" spans="1:5" s="506" customFormat="1" x14ac:dyDescent="0.2">
      <c r="A228" s="512">
        <v>2</v>
      </c>
      <c r="B228" s="511" t="s">
        <v>618</v>
      </c>
      <c r="C228" s="560">
        <f t="shared" si="26"/>
        <v>7819.0567696272819</v>
      </c>
      <c r="D228" s="560">
        <f t="shared" si="26"/>
        <v>8339.6310704283223</v>
      </c>
      <c r="E228" s="560">
        <f t="shared" si="27"/>
        <v>520.57430080104041</v>
      </c>
    </row>
    <row r="229" spans="1:5" s="506" customFormat="1" x14ac:dyDescent="0.2">
      <c r="A229" s="512">
        <v>3</v>
      </c>
      <c r="B229" s="511" t="s">
        <v>764</v>
      </c>
      <c r="C229" s="560">
        <f t="shared" si="26"/>
        <v>4528.8194118043111</v>
      </c>
      <c r="D229" s="560">
        <f t="shared" si="26"/>
        <v>5494.6875693223483</v>
      </c>
      <c r="E229" s="560">
        <f t="shared" si="27"/>
        <v>965.86815751803715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4565.4582315994612</v>
      </c>
      <c r="D230" s="560">
        <f t="shared" si="26"/>
        <v>5497.0928982326641</v>
      </c>
      <c r="E230" s="560">
        <f t="shared" si="27"/>
        <v>931.63466663320287</v>
      </c>
    </row>
    <row r="231" spans="1:5" s="506" customFormat="1" x14ac:dyDescent="0.2">
      <c r="A231" s="512">
        <v>5</v>
      </c>
      <c r="B231" s="511" t="s">
        <v>731</v>
      </c>
      <c r="C231" s="560">
        <f t="shared" si="26"/>
        <v>3222.2719166515517</v>
      </c>
      <c r="D231" s="560">
        <f t="shared" si="26"/>
        <v>5311.5735224848304</v>
      </c>
      <c r="E231" s="560">
        <f t="shared" si="27"/>
        <v>2089.3016058332787</v>
      </c>
    </row>
    <row r="232" spans="1:5" s="506" customFormat="1" x14ac:dyDescent="0.2">
      <c r="A232" s="512">
        <v>6</v>
      </c>
      <c r="B232" s="511" t="s">
        <v>430</v>
      </c>
      <c r="C232" s="560">
        <f t="shared" si="26"/>
        <v>6507.9769012430261</v>
      </c>
      <c r="D232" s="560">
        <f t="shared" si="26"/>
        <v>4855.9667008948218</v>
      </c>
      <c r="E232" s="560">
        <f t="shared" si="27"/>
        <v>-1652.0102003482043</v>
      </c>
    </row>
    <row r="233" spans="1:5" s="506" customFormat="1" x14ac:dyDescent="0.2">
      <c r="A233" s="512">
        <v>7</v>
      </c>
      <c r="B233" s="511" t="s">
        <v>746</v>
      </c>
      <c r="C233" s="560">
        <f t="shared" si="26"/>
        <v>2034.4737659359296</v>
      </c>
      <c r="D233" s="560">
        <f t="shared" si="26"/>
        <v>5287.7805117374473</v>
      </c>
      <c r="E233" s="560">
        <f t="shared" si="27"/>
        <v>3253.3067458015175</v>
      </c>
    </row>
    <row r="234" spans="1:5" x14ac:dyDescent="0.2">
      <c r="A234" s="512"/>
      <c r="B234" s="516" t="s">
        <v>816</v>
      </c>
      <c r="C234" s="561">
        <f t="shared" si="26"/>
        <v>7144.8258906808906</v>
      </c>
      <c r="D234" s="561">
        <f t="shared" si="26"/>
        <v>7694.79943851186</v>
      </c>
      <c r="E234" s="561">
        <f t="shared" si="27"/>
        <v>549.97354783096944</v>
      </c>
    </row>
    <row r="235" spans="1:5" s="506" customFormat="1" x14ac:dyDescent="0.2">
      <c r="A235" s="512"/>
      <c r="B235" s="516" t="s">
        <v>817</v>
      </c>
      <c r="C235" s="561">
        <f t="shared" si="26"/>
        <v>8853.64899246194</v>
      </c>
      <c r="D235" s="561">
        <f t="shared" si="26"/>
        <v>9275.4058526154422</v>
      </c>
      <c r="E235" s="561">
        <f t="shared" si="27"/>
        <v>421.7568601535022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333</v>
      </c>
      <c r="B237" s="509" t="s">
        <v>818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639</v>
      </c>
      <c r="C239" s="560">
        <f t="shared" ref="C239:D247" si="28">IF(C215=0,0,C58/C215)</f>
        <v>13356.8114934406</v>
      </c>
      <c r="D239" s="560">
        <f t="shared" si="28"/>
        <v>13848.812350106178</v>
      </c>
      <c r="E239" s="562">
        <f t="shared" ref="E239:E247" si="29">D239-C239</f>
        <v>492.00085666557788</v>
      </c>
    </row>
    <row r="240" spans="1:5" s="506" customFormat="1" x14ac:dyDescent="0.2">
      <c r="A240" s="512">
        <v>2</v>
      </c>
      <c r="B240" s="511" t="s">
        <v>618</v>
      </c>
      <c r="C240" s="560">
        <f t="shared" si="28"/>
        <v>10408.168438079123</v>
      </c>
      <c r="D240" s="560">
        <f t="shared" si="28"/>
        <v>11010.484299844875</v>
      </c>
      <c r="E240" s="562">
        <f t="shared" si="29"/>
        <v>602.31586176575183</v>
      </c>
    </row>
    <row r="241" spans="1:5" x14ac:dyDescent="0.2">
      <c r="A241" s="512">
        <v>3</v>
      </c>
      <c r="B241" s="511" t="s">
        <v>764</v>
      </c>
      <c r="C241" s="560">
        <f t="shared" si="28"/>
        <v>4762.007556015601</v>
      </c>
      <c r="D241" s="560">
        <f t="shared" si="28"/>
        <v>5275.2069334928201</v>
      </c>
      <c r="E241" s="562">
        <f t="shared" si="29"/>
        <v>513.19937747721906</v>
      </c>
    </row>
    <row r="242" spans="1:5" x14ac:dyDescent="0.2">
      <c r="A242" s="512">
        <v>4</v>
      </c>
      <c r="B242" s="511" t="s">
        <v>114</v>
      </c>
      <c r="C242" s="560">
        <f t="shared" si="28"/>
        <v>4776.202747907033</v>
      </c>
      <c r="D242" s="560">
        <f t="shared" si="28"/>
        <v>5300.6752800272616</v>
      </c>
      <c r="E242" s="562">
        <f t="shared" si="29"/>
        <v>524.47253212022861</v>
      </c>
    </row>
    <row r="243" spans="1:5" x14ac:dyDescent="0.2">
      <c r="A243" s="512">
        <v>5</v>
      </c>
      <c r="B243" s="511" t="s">
        <v>731</v>
      </c>
      <c r="C243" s="560">
        <f t="shared" si="28"/>
        <v>4073.7473417003807</v>
      </c>
      <c r="D243" s="560">
        <f t="shared" si="28"/>
        <v>4120.7090742057662</v>
      </c>
      <c r="E243" s="562">
        <f t="shared" si="29"/>
        <v>46.961732505385498</v>
      </c>
    </row>
    <row r="244" spans="1:5" x14ac:dyDescent="0.2">
      <c r="A244" s="512">
        <v>6</v>
      </c>
      <c r="B244" s="511" t="s">
        <v>430</v>
      </c>
      <c r="C244" s="560">
        <f t="shared" si="28"/>
        <v>4348.3641254498243</v>
      </c>
      <c r="D244" s="560">
        <f t="shared" si="28"/>
        <v>3049.5718991096173</v>
      </c>
      <c r="E244" s="562">
        <f t="shared" si="29"/>
        <v>-1298.792226340207</v>
      </c>
    </row>
    <row r="245" spans="1:5" x14ac:dyDescent="0.2">
      <c r="A245" s="512">
        <v>7</v>
      </c>
      <c r="B245" s="511" t="s">
        <v>746</v>
      </c>
      <c r="C245" s="560">
        <f t="shared" si="28"/>
        <v>2472.4963160886018</v>
      </c>
      <c r="D245" s="560">
        <f t="shared" si="28"/>
        <v>6822.2954842055024</v>
      </c>
      <c r="E245" s="562">
        <f t="shared" si="29"/>
        <v>4349.7991681169005</v>
      </c>
    </row>
    <row r="246" spans="1:5" ht="25.5" x14ac:dyDescent="0.2">
      <c r="A246" s="512"/>
      <c r="B246" s="516" t="s">
        <v>819</v>
      </c>
      <c r="C246" s="561">
        <f t="shared" si="28"/>
        <v>8421.5839088333942</v>
      </c>
      <c r="D246" s="561">
        <f t="shared" si="28"/>
        <v>9078.4522406813212</v>
      </c>
      <c r="E246" s="563">
        <f t="shared" si="29"/>
        <v>656.86833184792704</v>
      </c>
    </row>
    <row r="247" spans="1:5" x14ac:dyDescent="0.2">
      <c r="A247" s="512"/>
      <c r="B247" s="516" t="s">
        <v>820</v>
      </c>
      <c r="C247" s="561">
        <f t="shared" si="28"/>
        <v>11202.901368600149</v>
      </c>
      <c r="D247" s="561">
        <f t="shared" si="28"/>
        <v>11834.398904817539</v>
      </c>
      <c r="E247" s="563">
        <f t="shared" si="29"/>
        <v>631.49753621739001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748</v>
      </c>
      <c r="B249" s="550" t="s">
        <v>745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19074143.92749548</v>
      </c>
      <c r="D251" s="546">
        <f>((IF((IF(D15=0,0,D26/D15)*D138)=0,0,D59/(IF(D15=0,0,D26/D15)*D138)))-(IF((IF(D17=0,0,D28/D17)*D140)=0,0,D61/(IF(D17=0,0,D28/D17)*D140))))*(IF(D17=0,0,D28/D17)*D140)</f>
        <v>18571283.801195912</v>
      </c>
      <c r="E251" s="546">
        <f>D251-C251</f>
        <v>-502860.12629956752</v>
      </c>
    </row>
    <row r="252" spans="1:5" x14ac:dyDescent="0.2">
      <c r="A252" s="512">
        <v>2</v>
      </c>
      <c r="B252" s="511" t="s">
        <v>731</v>
      </c>
      <c r="C252" s="546">
        <f>IF(C231=0,0,(C228-C231)*C207)+IF(C243=0,0,(C240-C243)*C219)</f>
        <v>850498.92514594947</v>
      </c>
      <c r="D252" s="546">
        <f>IF(D231=0,0,(D228-D231)*D207)+IF(D243=0,0,(D240-D243)*D219)</f>
        <v>625491.01754844561</v>
      </c>
      <c r="E252" s="546">
        <f>D252-C252</f>
        <v>-225007.90759750386</v>
      </c>
    </row>
    <row r="253" spans="1:5" x14ac:dyDescent="0.2">
      <c r="A253" s="512">
        <v>3</v>
      </c>
      <c r="B253" s="511" t="s">
        <v>746</v>
      </c>
      <c r="C253" s="546">
        <f>IF(C233=0,0,(C228-C233)*C209+IF(C221=0,0,(C240-C245)*C221))</f>
        <v>10082026.52420496</v>
      </c>
      <c r="D253" s="546">
        <f>IF(D233=0,0,(D228-D233)*D209+IF(D221=0,0,(D240-D245)*D221))</f>
        <v>4700125.6165871518</v>
      </c>
      <c r="E253" s="546">
        <f>D253-C253</f>
        <v>-5381900.9076178083</v>
      </c>
    </row>
    <row r="254" spans="1:5" ht="15" customHeight="1" x14ac:dyDescent="0.2">
      <c r="A254" s="512"/>
      <c r="B254" s="516" t="s">
        <v>747</v>
      </c>
      <c r="C254" s="564">
        <f>+C251+C252+C253</f>
        <v>30006669.376846388</v>
      </c>
      <c r="D254" s="564">
        <f>+D251+D252+D253</f>
        <v>23896900.435331509</v>
      </c>
      <c r="E254" s="564">
        <f>D254-C254</f>
        <v>-6109768.9415148795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821</v>
      </c>
      <c r="B256" s="550" t="s">
        <v>822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713</v>
      </c>
      <c r="C258" s="546">
        <f>+C44</f>
        <v>1113153089</v>
      </c>
      <c r="D258" s="549">
        <f>+D44</f>
        <v>1177078060</v>
      </c>
      <c r="E258" s="546">
        <f t="shared" ref="E258:E271" si="30">D258-C258</f>
        <v>63924971</v>
      </c>
    </row>
    <row r="259" spans="1:5" x14ac:dyDescent="0.2">
      <c r="A259" s="512">
        <v>2</v>
      </c>
      <c r="B259" s="511" t="s">
        <v>730</v>
      </c>
      <c r="C259" s="546">
        <f>+(C43-C76)</f>
        <v>422358634</v>
      </c>
      <c r="D259" s="549">
        <f>+(D43-D76)</f>
        <v>449126121</v>
      </c>
      <c r="E259" s="546">
        <f t="shared" si="30"/>
        <v>26767487</v>
      </c>
    </row>
    <row r="260" spans="1:5" x14ac:dyDescent="0.2">
      <c r="A260" s="512">
        <v>3</v>
      </c>
      <c r="B260" s="511" t="s">
        <v>734</v>
      </c>
      <c r="C260" s="546">
        <f>C195</f>
        <v>29542708</v>
      </c>
      <c r="D260" s="546">
        <f>D195</f>
        <v>33383000</v>
      </c>
      <c r="E260" s="546">
        <f t="shared" si="30"/>
        <v>3840292</v>
      </c>
    </row>
    <row r="261" spans="1:5" x14ac:dyDescent="0.2">
      <c r="A261" s="512">
        <v>4</v>
      </c>
      <c r="B261" s="511" t="s">
        <v>735</v>
      </c>
      <c r="C261" s="546">
        <f>C188</f>
        <v>166071162</v>
      </c>
      <c r="D261" s="546">
        <f>D188</f>
        <v>171712998</v>
      </c>
      <c r="E261" s="546">
        <f t="shared" si="30"/>
        <v>5641836</v>
      </c>
    </row>
    <row r="262" spans="1:5" x14ac:dyDescent="0.2">
      <c r="A262" s="512">
        <v>5</v>
      </c>
      <c r="B262" s="511" t="s">
        <v>736</v>
      </c>
      <c r="C262" s="546">
        <f>C191</f>
        <v>14537538</v>
      </c>
      <c r="D262" s="546">
        <f>D191</f>
        <v>16741033</v>
      </c>
      <c r="E262" s="546">
        <f t="shared" si="30"/>
        <v>2203495</v>
      </c>
    </row>
    <row r="263" spans="1:5" x14ac:dyDescent="0.2">
      <c r="A263" s="512">
        <v>6</v>
      </c>
      <c r="B263" s="511" t="s">
        <v>737</v>
      </c>
      <c r="C263" s="546">
        <f>+C259+C260+C261+C262</f>
        <v>632510042</v>
      </c>
      <c r="D263" s="546">
        <f>+D259+D260+D261+D262</f>
        <v>670963152</v>
      </c>
      <c r="E263" s="546">
        <f t="shared" si="30"/>
        <v>38453110</v>
      </c>
    </row>
    <row r="264" spans="1:5" x14ac:dyDescent="0.2">
      <c r="A264" s="512">
        <v>7</v>
      </c>
      <c r="B264" s="511" t="s">
        <v>637</v>
      </c>
      <c r="C264" s="546">
        <f>+C258-C263</f>
        <v>480643047</v>
      </c>
      <c r="D264" s="546">
        <f>+D258-D263</f>
        <v>506114908</v>
      </c>
      <c r="E264" s="546">
        <f t="shared" si="30"/>
        <v>25471861</v>
      </c>
    </row>
    <row r="265" spans="1:5" x14ac:dyDescent="0.2">
      <c r="A265" s="512">
        <v>8</v>
      </c>
      <c r="B265" s="511" t="s">
        <v>823</v>
      </c>
      <c r="C265" s="565">
        <f>C192</f>
        <v>0</v>
      </c>
      <c r="D265" s="565">
        <f>D192</f>
        <v>0</v>
      </c>
      <c r="E265" s="546">
        <f t="shared" si="30"/>
        <v>0</v>
      </c>
    </row>
    <row r="266" spans="1:5" x14ac:dyDescent="0.2">
      <c r="A266" s="512">
        <v>9</v>
      </c>
      <c r="B266" s="511" t="s">
        <v>824</v>
      </c>
      <c r="C266" s="546">
        <f>+C264+C265</f>
        <v>480643047</v>
      </c>
      <c r="D266" s="546">
        <f>+D264+D265</f>
        <v>506114908</v>
      </c>
      <c r="E266" s="565">
        <f t="shared" si="30"/>
        <v>25471861</v>
      </c>
    </row>
    <row r="267" spans="1:5" x14ac:dyDescent="0.2">
      <c r="A267" s="512">
        <v>10</v>
      </c>
      <c r="B267" s="511" t="s">
        <v>825</v>
      </c>
      <c r="C267" s="566">
        <f>IF(C258=0,0,C266/C258)</f>
        <v>0.43178521602251962</v>
      </c>
      <c r="D267" s="566">
        <f>IF(D258=0,0,D266/D258)</f>
        <v>0.4299756534413699</v>
      </c>
      <c r="E267" s="567">
        <f t="shared" si="30"/>
        <v>-1.8095625811497262E-3</v>
      </c>
    </row>
    <row r="268" spans="1:5" x14ac:dyDescent="0.2">
      <c r="A268" s="512">
        <v>11</v>
      </c>
      <c r="B268" s="511" t="s">
        <v>699</v>
      </c>
      <c r="C268" s="546">
        <f>+C260*C267</f>
        <v>12756104.555670219</v>
      </c>
      <c r="D268" s="568">
        <f>+D260*D267</f>
        <v>14353877.23883325</v>
      </c>
      <c r="E268" s="546">
        <f t="shared" si="30"/>
        <v>1597772.6831630319</v>
      </c>
    </row>
    <row r="269" spans="1:5" x14ac:dyDescent="0.2">
      <c r="A269" s="512">
        <v>12</v>
      </c>
      <c r="B269" s="511" t="s">
        <v>826</v>
      </c>
      <c r="C269" s="546">
        <f>((C17+C18+C28+C29)*C267)-(C50+C51+C61+C62)</f>
        <v>24354311.702537365</v>
      </c>
      <c r="D269" s="568">
        <f>((D17+D18+D28+D29)*D267)-(D50+D51+D61+D62)</f>
        <v>26798928.057481006</v>
      </c>
      <c r="E269" s="546">
        <f t="shared" si="30"/>
        <v>2444616.3549436405</v>
      </c>
    </row>
    <row r="270" spans="1:5" s="569" customFormat="1" x14ac:dyDescent="0.2">
      <c r="A270" s="570">
        <v>13</v>
      </c>
      <c r="B270" s="571" t="s">
        <v>827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828</v>
      </c>
      <c r="C271" s="546">
        <f>+C268+C269+C270</f>
        <v>37110416.258207582</v>
      </c>
      <c r="D271" s="546">
        <f>+D268+D269+D270</f>
        <v>41152805.296314254</v>
      </c>
      <c r="E271" s="549">
        <f t="shared" si="30"/>
        <v>4042389.0381066725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829</v>
      </c>
      <c r="B273" s="550" t="s">
        <v>830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831</v>
      </c>
      <c r="C275" s="340"/>
      <c r="D275" s="340"/>
      <c r="E275" s="520"/>
    </row>
    <row r="276" spans="1:5" x14ac:dyDescent="0.2">
      <c r="A276" s="512">
        <v>1</v>
      </c>
      <c r="B276" s="511" t="s">
        <v>639</v>
      </c>
      <c r="C276" s="547">
        <f t="shared" ref="C276:D284" si="31">IF(C14=0,0,+C47/C14)</f>
        <v>0.59151336504122565</v>
      </c>
      <c r="D276" s="547">
        <f t="shared" si="31"/>
        <v>0.59025495899804814</v>
      </c>
      <c r="E276" s="574">
        <f t="shared" ref="E276:E284" si="32">D276-C276</f>
        <v>-1.2584060431775068E-3</v>
      </c>
    </row>
    <row r="277" spans="1:5" x14ac:dyDescent="0.2">
      <c r="A277" s="512">
        <v>2</v>
      </c>
      <c r="B277" s="511" t="s">
        <v>618</v>
      </c>
      <c r="C277" s="547">
        <f t="shared" si="31"/>
        <v>0.33902601232963858</v>
      </c>
      <c r="D277" s="547">
        <f t="shared" si="31"/>
        <v>0.33550076468142764</v>
      </c>
      <c r="E277" s="574">
        <f t="shared" si="32"/>
        <v>-3.5252476482109385E-3</v>
      </c>
    </row>
    <row r="278" spans="1:5" x14ac:dyDescent="0.2">
      <c r="A278" s="512">
        <v>3</v>
      </c>
      <c r="B278" s="511" t="s">
        <v>764</v>
      </c>
      <c r="C278" s="547">
        <f t="shared" si="31"/>
        <v>0.23983227690678516</v>
      </c>
      <c r="D278" s="547">
        <f t="shared" si="31"/>
        <v>0.24958360252462783</v>
      </c>
      <c r="E278" s="574">
        <f t="shared" si="32"/>
        <v>9.751325617842671E-3</v>
      </c>
    </row>
    <row r="279" spans="1:5" x14ac:dyDescent="0.2">
      <c r="A279" s="512">
        <v>4</v>
      </c>
      <c r="B279" s="511" t="s">
        <v>114</v>
      </c>
      <c r="C279" s="547">
        <f t="shared" si="31"/>
        <v>0.2413536528237854</v>
      </c>
      <c r="D279" s="547">
        <f t="shared" si="31"/>
        <v>0.2491639061051891</v>
      </c>
      <c r="E279" s="574">
        <f t="shared" si="32"/>
        <v>7.8102532814036951E-3</v>
      </c>
    </row>
    <row r="280" spans="1:5" x14ac:dyDescent="0.2">
      <c r="A280" s="512">
        <v>5</v>
      </c>
      <c r="B280" s="511" t="s">
        <v>731</v>
      </c>
      <c r="C280" s="547">
        <f t="shared" si="31"/>
        <v>0.18189993163425919</v>
      </c>
      <c r="D280" s="547">
        <f t="shared" si="31"/>
        <v>0.28777446408198393</v>
      </c>
      <c r="E280" s="574">
        <f t="shared" si="32"/>
        <v>0.10587453244772474</v>
      </c>
    </row>
    <row r="281" spans="1:5" x14ac:dyDescent="0.2">
      <c r="A281" s="512">
        <v>6</v>
      </c>
      <c r="B281" s="511" t="s">
        <v>430</v>
      </c>
      <c r="C281" s="547">
        <f t="shared" si="31"/>
        <v>0.31539303174231742</v>
      </c>
      <c r="D281" s="547">
        <f t="shared" si="31"/>
        <v>0.32132781929038717</v>
      </c>
      <c r="E281" s="574">
        <f t="shared" si="32"/>
        <v>5.9347875480697532E-3</v>
      </c>
    </row>
    <row r="282" spans="1:5" x14ac:dyDescent="0.2">
      <c r="A282" s="512">
        <v>7</v>
      </c>
      <c r="B282" s="511" t="s">
        <v>746</v>
      </c>
      <c r="C282" s="547">
        <f t="shared" si="31"/>
        <v>0.11327387298150111</v>
      </c>
      <c r="D282" s="547">
        <f t="shared" si="31"/>
        <v>0.21168525302602248</v>
      </c>
      <c r="E282" s="574">
        <f t="shared" si="32"/>
        <v>9.8411380044521365E-2</v>
      </c>
    </row>
    <row r="283" spans="1:5" ht="29.25" customHeight="1" x14ac:dyDescent="0.2">
      <c r="A283" s="512"/>
      <c r="B283" s="516" t="s">
        <v>832</v>
      </c>
      <c r="C283" s="575">
        <f t="shared" si="31"/>
        <v>0.32176271312707311</v>
      </c>
      <c r="D283" s="575">
        <f t="shared" si="31"/>
        <v>0.31797494896244455</v>
      </c>
      <c r="E283" s="576">
        <f t="shared" si="32"/>
        <v>-3.7877641646285598E-3</v>
      </c>
    </row>
    <row r="284" spans="1:5" x14ac:dyDescent="0.2">
      <c r="A284" s="512"/>
      <c r="B284" s="516" t="s">
        <v>833</v>
      </c>
      <c r="C284" s="575">
        <f t="shared" si="31"/>
        <v>0.41610929860598539</v>
      </c>
      <c r="D284" s="575">
        <f t="shared" si="31"/>
        <v>0.40961189237989792</v>
      </c>
      <c r="E284" s="576">
        <f t="shared" si="32"/>
        <v>-6.4974062260874654E-3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834</v>
      </c>
      <c r="C286" s="520"/>
      <c r="D286" s="520"/>
      <c r="E286" s="520"/>
    </row>
    <row r="287" spans="1:5" x14ac:dyDescent="0.2">
      <c r="A287" s="512">
        <v>1</v>
      </c>
      <c r="B287" s="511" t="s">
        <v>639</v>
      </c>
      <c r="C287" s="547">
        <f t="shared" ref="C287:D295" si="33">IF(C25=0,0,+C58/C25)</f>
        <v>0.56603798974351716</v>
      </c>
      <c r="D287" s="547">
        <f t="shared" si="33"/>
        <v>0.56889714749144471</v>
      </c>
      <c r="E287" s="574">
        <f t="shared" ref="E287:E295" si="34">D287-C287</f>
        <v>2.8591577479275543E-3</v>
      </c>
    </row>
    <row r="288" spans="1:5" x14ac:dyDescent="0.2">
      <c r="A288" s="512">
        <v>2</v>
      </c>
      <c r="B288" s="511" t="s">
        <v>618</v>
      </c>
      <c r="C288" s="547">
        <f t="shared" si="33"/>
        <v>0.33860080243382956</v>
      </c>
      <c r="D288" s="547">
        <f t="shared" si="33"/>
        <v>0.33528753279499318</v>
      </c>
      <c r="E288" s="574">
        <f t="shared" si="34"/>
        <v>-3.3132696388363803E-3</v>
      </c>
    </row>
    <row r="289" spans="1:5" x14ac:dyDescent="0.2">
      <c r="A289" s="512">
        <v>3</v>
      </c>
      <c r="B289" s="511" t="s">
        <v>764</v>
      </c>
      <c r="C289" s="547">
        <f t="shared" si="33"/>
        <v>0.24491714659967281</v>
      </c>
      <c r="D289" s="547">
        <f t="shared" si="33"/>
        <v>0.24268914168673364</v>
      </c>
      <c r="E289" s="574">
        <f t="shared" si="34"/>
        <v>-2.2280049129391744E-3</v>
      </c>
    </row>
    <row r="290" spans="1:5" x14ac:dyDescent="0.2">
      <c r="A290" s="512">
        <v>4</v>
      </c>
      <c r="B290" s="511" t="s">
        <v>114</v>
      </c>
      <c r="C290" s="547">
        <f t="shared" si="33"/>
        <v>0.24480773138283921</v>
      </c>
      <c r="D290" s="547">
        <f t="shared" si="33"/>
        <v>0.24236960114867043</v>
      </c>
      <c r="E290" s="574">
        <f t="shared" si="34"/>
        <v>-2.4381302341687783E-3</v>
      </c>
    </row>
    <row r="291" spans="1:5" x14ac:dyDescent="0.2">
      <c r="A291" s="512">
        <v>5</v>
      </c>
      <c r="B291" s="511" t="s">
        <v>731</v>
      </c>
      <c r="C291" s="547">
        <f t="shared" si="33"/>
        <v>0.25130196489176715</v>
      </c>
      <c r="D291" s="547">
        <f t="shared" si="33"/>
        <v>0.26290026568785413</v>
      </c>
      <c r="E291" s="574">
        <f t="shared" si="34"/>
        <v>1.159830079608698E-2</v>
      </c>
    </row>
    <row r="292" spans="1:5" x14ac:dyDescent="0.2">
      <c r="A292" s="512">
        <v>6</v>
      </c>
      <c r="B292" s="511" t="s">
        <v>430</v>
      </c>
      <c r="C292" s="547">
        <f t="shared" si="33"/>
        <v>0.23375788224114741</v>
      </c>
      <c r="D292" s="547">
        <f t="shared" si="33"/>
        <v>0.20967945999398779</v>
      </c>
      <c r="E292" s="574">
        <f t="shared" si="34"/>
        <v>-2.4078422247159614E-2</v>
      </c>
    </row>
    <row r="293" spans="1:5" x14ac:dyDescent="0.2">
      <c r="A293" s="512">
        <v>7</v>
      </c>
      <c r="B293" s="511" t="s">
        <v>746</v>
      </c>
      <c r="C293" s="547">
        <f t="shared" si="33"/>
        <v>0.11327388894050633</v>
      </c>
      <c r="D293" s="547">
        <f t="shared" si="33"/>
        <v>0.21168528616322826</v>
      </c>
      <c r="E293" s="574">
        <f t="shared" si="34"/>
        <v>9.8411397222721936E-2</v>
      </c>
    </row>
    <row r="294" spans="1:5" ht="29.25" customHeight="1" x14ac:dyDescent="0.2">
      <c r="A294" s="512"/>
      <c r="B294" s="516" t="s">
        <v>835</v>
      </c>
      <c r="C294" s="575">
        <f t="shared" si="33"/>
        <v>0.3146556135162511</v>
      </c>
      <c r="D294" s="575">
        <f t="shared" si="33"/>
        <v>0.312193563035291</v>
      </c>
      <c r="E294" s="576">
        <f t="shared" si="34"/>
        <v>-2.4620504809600985E-3</v>
      </c>
    </row>
    <row r="295" spans="1:5" x14ac:dyDescent="0.2">
      <c r="A295" s="512"/>
      <c r="B295" s="516" t="s">
        <v>836</v>
      </c>
      <c r="C295" s="575">
        <f t="shared" si="33"/>
        <v>0.44848559040549468</v>
      </c>
      <c r="D295" s="575">
        <f t="shared" si="33"/>
        <v>0.4492376463836899</v>
      </c>
      <c r="E295" s="576">
        <f t="shared" si="34"/>
        <v>7.5205597819522074E-4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837</v>
      </c>
      <c r="B297" s="501" t="s">
        <v>838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839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637</v>
      </c>
      <c r="C301" s="514">
        <f>+C48+C47+C50+C51+C52+C59+C58+C61+C62+C63</f>
        <v>481609849</v>
      </c>
      <c r="D301" s="514">
        <f>+D48+D47+D50+D51+D52+D59+D58+D61+D62+D63</f>
        <v>507231336</v>
      </c>
      <c r="E301" s="514">
        <f>D301-C301</f>
        <v>25621487</v>
      </c>
    </row>
    <row r="302" spans="1:5" ht="25.5" x14ac:dyDescent="0.2">
      <c r="A302" s="512">
        <v>2</v>
      </c>
      <c r="B302" s="511" t="s">
        <v>840</v>
      </c>
      <c r="C302" s="546">
        <f>C265</f>
        <v>0</v>
      </c>
      <c r="D302" s="546">
        <f>D265</f>
        <v>0</v>
      </c>
      <c r="E302" s="514">
        <f>D302-C302</f>
        <v>0</v>
      </c>
    </row>
    <row r="303" spans="1:5" x14ac:dyDescent="0.2">
      <c r="A303" s="512"/>
      <c r="B303" s="516" t="s">
        <v>841</v>
      </c>
      <c r="C303" s="517">
        <f>+C301+C302</f>
        <v>481609849</v>
      </c>
      <c r="D303" s="517">
        <f>+D301+D302</f>
        <v>507231336</v>
      </c>
      <c r="E303" s="517">
        <f>D303-C303</f>
        <v>25621487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842</v>
      </c>
      <c r="C305" s="513">
        <v>16110641</v>
      </c>
      <c r="D305" s="578">
        <v>14604664</v>
      </c>
      <c r="E305" s="579">
        <f>D305-C305</f>
        <v>-1505977</v>
      </c>
    </row>
    <row r="306" spans="1:5" x14ac:dyDescent="0.2">
      <c r="A306" s="512">
        <v>4</v>
      </c>
      <c r="B306" s="516" t="s">
        <v>843</v>
      </c>
      <c r="C306" s="580">
        <f>+C303+C305</f>
        <v>497720490</v>
      </c>
      <c r="D306" s="580">
        <f>+D303+D305</f>
        <v>521836000</v>
      </c>
      <c r="E306" s="580">
        <f>D306-C306</f>
        <v>24115510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844</v>
      </c>
      <c r="C308" s="513">
        <v>497720490</v>
      </c>
      <c r="D308" s="513">
        <v>521836000</v>
      </c>
      <c r="E308" s="514">
        <f>D308-C308</f>
        <v>24115510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845</v>
      </c>
      <c r="C310" s="581">
        <f>C306-C308</f>
        <v>0</v>
      </c>
      <c r="D310" s="582">
        <f>D306-D308</f>
        <v>0</v>
      </c>
      <c r="E310" s="580">
        <f>D310-C310</f>
        <v>0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846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847</v>
      </c>
      <c r="C314" s="514">
        <f>+C14+C15+C16+C19+C25+C26+C27+C30</f>
        <v>1113153089</v>
      </c>
      <c r="D314" s="514">
        <f>+D14+D15+D16+D19+D25+D26+D27+D30</f>
        <v>1177078060</v>
      </c>
      <c r="E314" s="514">
        <f>D314-C314</f>
        <v>63924971</v>
      </c>
    </row>
    <row r="315" spans="1:5" x14ac:dyDescent="0.2">
      <c r="A315" s="512">
        <v>2</v>
      </c>
      <c r="B315" s="583" t="s">
        <v>848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849</v>
      </c>
      <c r="C316" s="581">
        <f>C314+C315</f>
        <v>1113153089</v>
      </c>
      <c r="D316" s="581">
        <f>D314+D315</f>
        <v>1177078060</v>
      </c>
      <c r="E316" s="517">
        <f>D316-C316</f>
        <v>63924971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850</v>
      </c>
      <c r="C318" s="513">
        <v>1113153089</v>
      </c>
      <c r="D318" s="513">
        <v>1177078060</v>
      </c>
      <c r="E318" s="514">
        <f>D318-C318</f>
        <v>63924971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845</v>
      </c>
      <c r="C320" s="581">
        <f>C316-C318</f>
        <v>0</v>
      </c>
      <c r="D320" s="581">
        <f>D316-D318</f>
        <v>0</v>
      </c>
      <c r="E320" s="517">
        <f>D320-C320</f>
        <v>0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851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852</v>
      </c>
      <c r="C324" s="513">
        <f>+C193+C194</f>
        <v>29542708</v>
      </c>
      <c r="D324" s="513">
        <f>+D193+D194</f>
        <v>33383000</v>
      </c>
      <c r="E324" s="514">
        <f>D324-C324</f>
        <v>3840292</v>
      </c>
    </row>
    <row r="325" spans="1:5" x14ac:dyDescent="0.2">
      <c r="A325" s="512">
        <v>2</v>
      </c>
      <c r="B325" s="511" t="s">
        <v>853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854</v>
      </c>
      <c r="C326" s="581">
        <f>C324+C325</f>
        <v>29542708</v>
      </c>
      <c r="D326" s="581">
        <f>D324+D325</f>
        <v>33383000</v>
      </c>
      <c r="E326" s="517">
        <f>D326-C326</f>
        <v>3840292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855</v>
      </c>
      <c r="C328" s="513">
        <v>29542708</v>
      </c>
      <c r="D328" s="513">
        <v>33383000</v>
      </c>
      <c r="E328" s="514">
        <f>D328-C328</f>
        <v>3840292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856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/>
  <headerFooter>
    <oddHeader>&amp;LOFFICE OF HEALTH CARE ACCESS&amp;CTWELVE MONTHS ACTUAL FILING&amp;RDANBURY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609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857</v>
      </c>
      <c r="B5" s="696"/>
      <c r="C5" s="697"/>
      <c r="D5" s="585"/>
    </row>
    <row r="6" spans="1:58" s="338" customFormat="1" ht="15.75" customHeight="1" x14ac:dyDescent="0.25">
      <c r="A6" s="695" t="s">
        <v>858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859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860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763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639</v>
      </c>
      <c r="C14" s="513">
        <v>183085674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618</v>
      </c>
      <c r="C15" s="515">
        <v>286880905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764</v>
      </c>
      <c r="C16" s="515">
        <v>73539711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72740335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731</v>
      </c>
      <c r="C18" s="515">
        <v>799376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430</v>
      </c>
      <c r="C19" s="515">
        <v>494495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746</v>
      </c>
      <c r="C20" s="515">
        <v>6349011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765</v>
      </c>
      <c r="C21" s="517">
        <f>SUM(C15+C16+C19)</f>
        <v>360915111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705</v>
      </c>
      <c r="C22" s="517">
        <f>SUM(C14+C21)</f>
        <v>544000785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766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639</v>
      </c>
      <c r="C25" s="513">
        <v>337975393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618</v>
      </c>
      <c r="C26" s="515">
        <v>221855893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764</v>
      </c>
      <c r="C27" s="515">
        <v>72258000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71133372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731</v>
      </c>
      <c r="C29" s="515">
        <v>1124628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430</v>
      </c>
      <c r="C30" s="515">
        <v>987989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746</v>
      </c>
      <c r="C31" s="518">
        <v>30198901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767</v>
      </c>
      <c r="C32" s="517">
        <f>SUM(C26+C27+C30)</f>
        <v>295101882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711</v>
      </c>
      <c r="C33" s="517">
        <f>SUM(C25+C32)</f>
        <v>633077275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636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861</v>
      </c>
      <c r="C36" s="514">
        <f>SUM(C14+C25)</f>
        <v>521061067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862</v>
      </c>
      <c r="C37" s="518">
        <f>SUM(C21+C32)</f>
        <v>656016993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636</v>
      </c>
      <c r="C38" s="517">
        <f>SUM(+C36+C37)</f>
        <v>1177078060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333</v>
      </c>
      <c r="B40" s="509" t="s">
        <v>776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639</v>
      </c>
      <c r="C41" s="513">
        <v>108067227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618</v>
      </c>
      <c r="C42" s="515">
        <v>96248763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764</v>
      </c>
      <c r="C43" s="515">
        <v>18354306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18124266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731</v>
      </c>
      <c r="C45" s="515">
        <v>230040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430</v>
      </c>
      <c r="C46" s="515">
        <v>158895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746</v>
      </c>
      <c r="C47" s="515">
        <v>1343992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777</v>
      </c>
      <c r="C48" s="517">
        <f>SUM(C42+C43+C46)</f>
        <v>114761964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706</v>
      </c>
      <c r="C49" s="517">
        <f>SUM(C41+C48)</f>
        <v>222829191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354</v>
      </c>
      <c r="B51" s="509" t="s">
        <v>778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639</v>
      </c>
      <c r="C52" s="513">
        <v>192273237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618</v>
      </c>
      <c r="C53" s="515">
        <v>74385515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764</v>
      </c>
      <c r="C54" s="515">
        <v>17536232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17240567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731</v>
      </c>
      <c r="C56" s="515">
        <v>295665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430</v>
      </c>
      <c r="C57" s="515">
        <v>207161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746</v>
      </c>
      <c r="C58" s="515">
        <v>6392663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779</v>
      </c>
      <c r="C59" s="517">
        <f>SUM(C53+C54+C57)</f>
        <v>92128908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712</v>
      </c>
      <c r="C60" s="517">
        <f>SUM(C52+C59)</f>
        <v>284402145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366</v>
      </c>
      <c r="B62" s="521" t="s">
        <v>637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863</v>
      </c>
      <c r="C63" s="514">
        <f>SUM(C41+C52)</f>
        <v>300340464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864</v>
      </c>
      <c r="C64" s="518">
        <f>SUM(C48+C59)</f>
        <v>206890872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637</v>
      </c>
      <c r="C65" s="517">
        <f>SUM(+C63+C64)</f>
        <v>507231336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865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866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639</v>
      </c>
      <c r="C70" s="530">
        <v>7521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618</v>
      </c>
      <c r="C71" s="530">
        <v>8736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764</v>
      </c>
      <c r="C72" s="530">
        <v>3377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3326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731</v>
      </c>
      <c r="C74" s="530">
        <v>51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430</v>
      </c>
      <c r="C75" s="545">
        <v>34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746</v>
      </c>
      <c r="C76" s="545">
        <v>197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794</v>
      </c>
      <c r="C77" s="532">
        <f>SUM(C71+C72+C75)</f>
        <v>12147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708</v>
      </c>
      <c r="C78" s="596">
        <f>SUM(C70+C77)</f>
        <v>19668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799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639</v>
      </c>
      <c r="C81" s="541">
        <v>1.2112000000000001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618</v>
      </c>
      <c r="C82" s="541">
        <v>1.3210999999999999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764</v>
      </c>
      <c r="C83" s="541">
        <f>((C73*C84)+(C74*C85))/(C73+C74)</f>
        <v>0.98915398282499256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0.99129999999999996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731</v>
      </c>
      <c r="C85" s="541">
        <v>0.84919999999999995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430</v>
      </c>
      <c r="C86" s="541">
        <v>0.96240000000000003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746</v>
      </c>
      <c r="C87" s="541">
        <v>1.2902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800</v>
      </c>
      <c r="C88" s="543">
        <f>((C71*C82)+(C73*C84)+(C74*C85)+(C75*C86))/(C71+C73+C74+C75)</f>
        <v>1.227811327899893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709</v>
      </c>
      <c r="C89" s="543">
        <f>((C70*C81)+(C71*C82)+(C73*C84)+(C74*C85)+(C75*C86))/(C70+C71+C73+C74+C75)</f>
        <v>1.2214591925971121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801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802</v>
      </c>
      <c r="C92" s="513">
        <v>457174326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803</v>
      </c>
      <c r="C93" s="546">
        <v>285461328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651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735</v>
      </c>
      <c r="C95" s="513">
        <f>+C92-C93</f>
        <v>171712998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653</v>
      </c>
      <c r="C96" s="597">
        <f>(+C92-C93)/C92</f>
        <v>0.37559632777803886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750</v>
      </c>
      <c r="C98" s="513">
        <v>27997903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736</v>
      </c>
      <c r="C99" s="513">
        <v>16741033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867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805</v>
      </c>
      <c r="C103" s="513">
        <v>13969782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806</v>
      </c>
      <c r="C104" s="513">
        <v>19413218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807</v>
      </c>
      <c r="C105" s="578">
        <f>+C103+C104</f>
        <v>33383000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808</v>
      </c>
      <c r="C107" s="513">
        <v>19598257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693</v>
      </c>
      <c r="C108" s="513">
        <v>514797196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838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839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637</v>
      </c>
      <c r="C114" s="514">
        <f>+C65</f>
        <v>507231336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840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841</v>
      </c>
      <c r="C116" s="517">
        <f>+C114+C115</f>
        <v>507231336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842</v>
      </c>
      <c r="C118" s="578">
        <v>14604664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843</v>
      </c>
      <c r="C119" s="580">
        <f>+C116+C118</f>
        <v>521836000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844</v>
      </c>
      <c r="C121" s="513">
        <v>521836000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845</v>
      </c>
      <c r="C123" s="582">
        <f>C119-C121</f>
        <v>0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846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847</v>
      </c>
      <c r="C127" s="514">
        <f>+C38</f>
        <v>1177078060</v>
      </c>
      <c r="D127" s="588"/>
      <c r="AR127" s="507"/>
    </row>
    <row r="128" spans="1:58" s="506" customFormat="1" x14ac:dyDescent="0.2">
      <c r="A128" s="512">
        <v>2</v>
      </c>
      <c r="B128" s="583" t="s">
        <v>848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849</v>
      </c>
      <c r="C129" s="581">
        <f>C127+C128</f>
        <v>1177078060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850</v>
      </c>
      <c r="C131" s="513">
        <v>1177078060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845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851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852</v>
      </c>
      <c r="C137" s="513">
        <f>C105</f>
        <v>33383000</v>
      </c>
      <c r="D137" s="588"/>
      <c r="AR137" s="507"/>
    </row>
    <row r="138" spans="1:44" s="506" customFormat="1" x14ac:dyDescent="0.2">
      <c r="A138" s="512">
        <v>2</v>
      </c>
      <c r="B138" s="511" t="s">
        <v>868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854</v>
      </c>
      <c r="C139" s="581">
        <f>C137+C138</f>
        <v>33383000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869</v>
      </c>
      <c r="C141" s="513">
        <v>33383000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856</v>
      </c>
      <c r="C143" s="581">
        <f>C139-C141</f>
        <v>0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/>
  <headerFooter>
    <oddHeader>&amp;LOFFICE OF HEALTH CARE ACCESS&amp;CTWELVE MONTHS ACTUAL FILING&amp;RDANBURY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609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610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870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613</v>
      </c>
      <c r="D8" s="35" t="s">
        <v>613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615</v>
      </c>
      <c r="D9" s="607" t="s">
        <v>616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871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872</v>
      </c>
      <c r="C12" s="49">
        <v>3738</v>
      </c>
      <c r="D12" s="49">
        <v>3442</v>
      </c>
      <c r="E12" s="49">
        <f>+D12-C12</f>
        <v>-296</v>
      </c>
      <c r="F12" s="70">
        <f>IF(C12=0,0,+E12/C12)</f>
        <v>-7.9186730872124134E-2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873</v>
      </c>
      <c r="C13" s="49">
        <v>3625</v>
      </c>
      <c r="D13" s="49">
        <v>3312</v>
      </c>
      <c r="E13" s="49">
        <f>+D13-C13</f>
        <v>-313</v>
      </c>
      <c r="F13" s="70">
        <f>IF(C13=0,0,+E13/C13)</f>
        <v>-8.6344827586206901E-2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874</v>
      </c>
      <c r="C15" s="51">
        <v>11359623</v>
      </c>
      <c r="D15" s="51">
        <v>13969782</v>
      </c>
      <c r="E15" s="51">
        <f>+D15-C15</f>
        <v>2610159</v>
      </c>
      <c r="F15" s="70">
        <f>IF(C15=0,0,+E15/C15)</f>
        <v>0.22977514306592745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875</v>
      </c>
      <c r="C16" s="27">
        <f>IF(C13=0,0,+C15/+C13)</f>
        <v>3133.689103448276</v>
      </c>
      <c r="D16" s="27">
        <f>IF(D13=0,0,+D15/+D13)</f>
        <v>4217.929347826087</v>
      </c>
      <c r="E16" s="27">
        <f>+D16-C16</f>
        <v>1084.240244377811</v>
      </c>
      <c r="F16" s="28">
        <f>IF(C16=0,0,+E16/C16)</f>
        <v>0.34599483502837769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876</v>
      </c>
      <c r="C18" s="210">
        <v>0.43825700000000001</v>
      </c>
      <c r="D18" s="210">
        <v>0.44043700000000002</v>
      </c>
      <c r="E18" s="210">
        <f>+D18-C18</f>
        <v>2.1800000000000153E-3</v>
      </c>
      <c r="F18" s="70">
        <f>IF(C18=0,0,+E18/C18)</f>
        <v>4.9742502686780021E-3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877</v>
      </c>
      <c r="C19" s="27">
        <f>+C15*C18</f>
        <v>4978434.2971109999</v>
      </c>
      <c r="D19" s="27">
        <f>+D15*D18</f>
        <v>6152808.8747340003</v>
      </c>
      <c r="E19" s="27">
        <f>+D19-C19</f>
        <v>1174374.5776230004</v>
      </c>
      <c r="F19" s="28">
        <f>IF(C19=0,0,+E19/C19)</f>
        <v>0.2358923524017367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878</v>
      </c>
      <c r="C20" s="27">
        <f>IF(C13=0,0,+C19/C13)</f>
        <v>1373.3611854099311</v>
      </c>
      <c r="D20" s="27">
        <f>IF(D13=0,0,+D19/D13)</f>
        <v>1857.7321481684783</v>
      </c>
      <c r="E20" s="27">
        <f>+D20-C20</f>
        <v>484.37096275854719</v>
      </c>
      <c r="F20" s="28">
        <f>IF(C20=0,0,+E20/C20)</f>
        <v>0.35269015019815675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879</v>
      </c>
      <c r="C22" s="51">
        <v>2043598</v>
      </c>
      <c r="D22" s="51">
        <v>2742952</v>
      </c>
      <c r="E22" s="51">
        <f>+D22-C22</f>
        <v>699354</v>
      </c>
      <c r="F22" s="70">
        <f>IF(C22=0,0,+E22/C22)</f>
        <v>0.3422170113691636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880</v>
      </c>
      <c r="C23" s="49">
        <v>2362328</v>
      </c>
      <c r="D23" s="49">
        <v>2451344</v>
      </c>
      <c r="E23" s="49">
        <f>+D23-C23</f>
        <v>89016</v>
      </c>
      <c r="F23" s="70">
        <f>IF(C23=0,0,+E23/C23)</f>
        <v>3.7681473529501408E-2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881</v>
      </c>
      <c r="C24" s="49">
        <v>6953697</v>
      </c>
      <c r="D24" s="49">
        <v>8775486</v>
      </c>
      <c r="E24" s="49">
        <f>+D24-C24</f>
        <v>1821789</v>
      </c>
      <c r="F24" s="70">
        <f>IF(C24=0,0,+E24/C24)</f>
        <v>0.26198855083849643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874</v>
      </c>
      <c r="C25" s="27">
        <f>+C22+C23+C24</f>
        <v>11359623</v>
      </c>
      <c r="D25" s="27">
        <f>+D22+D23+D24</f>
        <v>13969782</v>
      </c>
      <c r="E25" s="27">
        <f>+E22+E23+E24</f>
        <v>2610159</v>
      </c>
      <c r="F25" s="28">
        <f>IF(C25=0,0,+E25/C25)</f>
        <v>0.22977514306592745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882</v>
      </c>
      <c r="C27" s="49">
        <v>611</v>
      </c>
      <c r="D27" s="49">
        <v>879</v>
      </c>
      <c r="E27" s="49">
        <f>+D27-C27</f>
        <v>268</v>
      </c>
      <c r="F27" s="70">
        <f>IF(C27=0,0,+E27/C27)</f>
        <v>0.43862520458265142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883</v>
      </c>
      <c r="C28" s="49">
        <v>149</v>
      </c>
      <c r="D28" s="49">
        <v>212</v>
      </c>
      <c r="E28" s="49">
        <f>+D28-C28</f>
        <v>63</v>
      </c>
      <c r="F28" s="70">
        <f>IF(C28=0,0,+E28/C28)</f>
        <v>0.42281879194630873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884</v>
      </c>
      <c r="C29" s="49">
        <v>1968</v>
      </c>
      <c r="D29" s="49">
        <v>1756</v>
      </c>
      <c r="E29" s="49">
        <f>+D29-C29</f>
        <v>-212</v>
      </c>
      <c r="F29" s="70">
        <f>IF(C29=0,0,+E29/C29)</f>
        <v>-0.10772357723577236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885</v>
      </c>
      <c r="C30" s="49">
        <v>11172</v>
      </c>
      <c r="D30" s="49">
        <v>12698</v>
      </c>
      <c r="E30" s="49">
        <f>+D30-C30</f>
        <v>1526</v>
      </c>
      <c r="F30" s="70">
        <f>IF(C30=0,0,+E30/C30)</f>
        <v>0.13659147869674185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886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887</v>
      </c>
      <c r="C33" s="51">
        <v>4398990</v>
      </c>
      <c r="D33" s="51">
        <v>4247629</v>
      </c>
      <c r="E33" s="51">
        <f>+D33-C33</f>
        <v>-151361</v>
      </c>
      <c r="F33" s="70">
        <f>IF(C33=0,0,+E33/C33)</f>
        <v>-3.4408125501535582E-2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888</v>
      </c>
      <c r="C34" s="49">
        <v>11296531</v>
      </c>
      <c r="D34" s="49">
        <v>12657070</v>
      </c>
      <c r="E34" s="49">
        <f>+D34-C34</f>
        <v>1360539</v>
      </c>
      <c r="F34" s="70">
        <f>IF(C34=0,0,+E34/C34)</f>
        <v>0.12043865501719067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889</v>
      </c>
      <c r="C35" s="49">
        <v>2487564</v>
      </c>
      <c r="D35" s="49">
        <v>2508519</v>
      </c>
      <c r="E35" s="49">
        <f>+D35-C35</f>
        <v>20955</v>
      </c>
      <c r="F35" s="70">
        <f>IF(C35=0,0,+E35/C35)</f>
        <v>8.423903867397985E-3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890</v>
      </c>
      <c r="C36" s="27">
        <f>+C33+C34+C35</f>
        <v>18183085</v>
      </c>
      <c r="D36" s="27">
        <f>+D33+D34+D35</f>
        <v>19413218</v>
      </c>
      <c r="E36" s="27">
        <f>+E33+E34+E35</f>
        <v>1230133</v>
      </c>
      <c r="F36" s="28">
        <f>IF(C36=0,0,+E36/C36)</f>
        <v>6.765260130500407E-2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891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892</v>
      </c>
      <c r="C39" s="51">
        <f>+C25</f>
        <v>11359623</v>
      </c>
      <c r="D39" s="51">
        <f>+D25</f>
        <v>13969782</v>
      </c>
      <c r="E39" s="51">
        <f>+D39-C39</f>
        <v>2610159</v>
      </c>
      <c r="F39" s="70">
        <f>IF(C39=0,0,+E39/C39)</f>
        <v>0.22977514306592745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893</v>
      </c>
      <c r="C40" s="49">
        <f>+C36</f>
        <v>18183085</v>
      </c>
      <c r="D40" s="49">
        <f>+D36</f>
        <v>19413218</v>
      </c>
      <c r="E40" s="49">
        <f>+D40-C40</f>
        <v>1230133</v>
      </c>
      <c r="F40" s="70">
        <f>IF(C40=0,0,+E40/C40)</f>
        <v>6.765260130500407E-2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894</v>
      </c>
      <c r="C41" s="27">
        <f>+C39+C40</f>
        <v>29542708</v>
      </c>
      <c r="D41" s="27">
        <f>+D39+D40</f>
        <v>33383000</v>
      </c>
      <c r="E41" s="27">
        <f>+E39+E40</f>
        <v>3840292</v>
      </c>
      <c r="F41" s="28">
        <f>IF(C41=0,0,+E41/C41)</f>
        <v>0.12999119782790391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895</v>
      </c>
      <c r="C43" s="51">
        <f t="shared" ref="C43:D45" si="0">+C22+C33</f>
        <v>6442588</v>
      </c>
      <c r="D43" s="51">
        <f t="shared" si="0"/>
        <v>6990581</v>
      </c>
      <c r="E43" s="51">
        <f>+D43-C43</f>
        <v>547993</v>
      </c>
      <c r="F43" s="70">
        <f>IF(C43=0,0,+E43/C43)</f>
        <v>8.5057899092724848E-2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896</v>
      </c>
      <c r="C44" s="49">
        <f t="shared" si="0"/>
        <v>13658859</v>
      </c>
      <c r="D44" s="49">
        <f t="shared" si="0"/>
        <v>15108414</v>
      </c>
      <c r="E44" s="49">
        <f>+D44-C44</f>
        <v>1449555</v>
      </c>
      <c r="F44" s="70">
        <f>IF(C44=0,0,+E44/C44)</f>
        <v>0.10612562879520171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897</v>
      </c>
      <c r="C45" s="49">
        <f t="shared" si="0"/>
        <v>9441261</v>
      </c>
      <c r="D45" s="49">
        <f t="shared" si="0"/>
        <v>11284005</v>
      </c>
      <c r="E45" s="49">
        <f>+D45-C45</f>
        <v>1842744</v>
      </c>
      <c r="F45" s="70">
        <f>IF(C45=0,0,+E45/C45)</f>
        <v>0.19517985997844992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894</v>
      </c>
      <c r="C46" s="27">
        <f>+C43+C44+C45</f>
        <v>29542708</v>
      </c>
      <c r="D46" s="27">
        <f>+D43+D44+D45</f>
        <v>33383000</v>
      </c>
      <c r="E46" s="27">
        <f>+E43+E44+E45</f>
        <v>3840292</v>
      </c>
      <c r="F46" s="28">
        <f>IF(C46=0,0,+E46/C46)</f>
        <v>0.12999119782790391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898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FILING&amp;RDANBURY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Normal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609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610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899</v>
      </c>
      <c r="B5" s="712"/>
      <c r="C5" s="712"/>
      <c r="D5" s="712"/>
      <c r="E5" s="712"/>
      <c r="F5" s="713"/>
    </row>
    <row r="6" spans="1:14" ht="15.75" customHeight="1" x14ac:dyDescent="0.25">
      <c r="A6" s="711" t="s">
        <v>900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615</v>
      </c>
      <c r="D9" s="35" t="s">
        <v>616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901</v>
      </c>
      <c r="D10" s="35" t="s">
        <v>901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902</v>
      </c>
      <c r="D11" s="605" t="s">
        <v>902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903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337</v>
      </c>
      <c r="C15" s="51">
        <v>440484262</v>
      </c>
      <c r="D15" s="51">
        <v>457174326</v>
      </c>
      <c r="E15" s="51">
        <f>+D15-C15</f>
        <v>16690064</v>
      </c>
      <c r="F15" s="70">
        <f>+E15/C15</f>
        <v>3.7890261786469911E-2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519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904</v>
      </c>
      <c r="C17" s="51">
        <v>166071162</v>
      </c>
      <c r="D17" s="51">
        <v>171712998</v>
      </c>
      <c r="E17" s="51">
        <f>+D17-C17</f>
        <v>5641836</v>
      </c>
      <c r="F17" s="70">
        <f>+E17/C17</f>
        <v>3.3972400337633574E-2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905</v>
      </c>
      <c r="C19" s="27">
        <f>+C15-C17</f>
        <v>274413100</v>
      </c>
      <c r="D19" s="27">
        <f>+D15-D17</f>
        <v>285461328</v>
      </c>
      <c r="E19" s="27">
        <f>+D19-C19</f>
        <v>11048228</v>
      </c>
      <c r="F19" s="28">
        <f>+E19/C19</f>
        <v>4.0261299478778531E-2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906</v>
      </c>
      <c r="C21" s="628">
        <f>+C17/C15</f>
        <v>0.37701951312848492</v>
      </c>
      <c r="D21" s="628">
        <f>+D17/D15</f>
        <v>0.37559632777803886</v>
      </c>
      <c r="E21" s="628">
        <f>+D21-C21</f>
        <v>-1.4231853504460545E-3</v>
      </c>
      <c r="F21" s="28">
        <f>+E21/C21</f>
        <v>-3.7748320733761213E-3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519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519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519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519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907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FILING&amp;R&amp;12DANBURY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9.42578125" bestFit="1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908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909</v>
      </c>
      <c r="B6" s="632" t="s">
        <v>910</v>
      </c>
      <c r="C6" s="632" t="s">
        <v>911</v>
      </c>
      <c r="D6" s="632" t="s">
        <v>912</v>
      </c>
      <c r="E6" s="632" t="s">
        <v>913</v>
      </c>
    </row>
    <row r="7" spans="1:6" ht="37.5" customHeight="1" x14ac:dyDescent="0.25">
      <c r="A7" s="633" t="s">
        <v>8</v>
      </c>
      <c r="B7" s="634" t="s">
        <v>914</v>
      </c>
      <c r="C7" s="631" t="s">
        <v>915</v>
      </c>
      <c r="D7" s="631" t="s">
        <v>916</v>
      </c>
      <c r="E7" s="631" t="s">
        <v>917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918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919</v>
      </c>
      <c r="C10" s="641">
        <v>512924104</v>
      </c>
      <c r="D10" s="641">
        <v>544326430</v>
      </c>
      <c r="E10" s="641">
        <v>544000785</v>
      </c>
    </row>
    <row r="11" spans="1:6" ht="26.1" customHeight="1" x14ac:dyDescent="0.25">
      <c r="A11" s="639">
        <v>2</v>
      </c>
      <c r="B11" s="640" t="s">
        <v>920</v>
      </c>
      <c r="C11" s="641">
        <v>529890812</v>
      </c>
      <c r="D11" s="641">
        <v>568826659</v>
      </c>
      <c r="E11" s="641">
        <v>633077275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1042814916</v>
      </c>
      <c r="D12" s="641">
        <f>+D11+D10</f>
        <v>1113153089</v>
      </c>
      <c r="E12" s="641">
        <f>+E11+E10</f>
        <v>1177078060</v>
      </c>
    </row>
    <row r="13" spans="1:6" ht="26.1" customHeight="1" x14ac:dyDescent="0.25">
      <c r="A13" s="639">
        <v>4</v>
      </c>
      <c r="B13" s="640" t="s">
        <v>496</v>
      </c>
      <c r="C13" s="641">
        <v>471020724</v>
      </c>
      <c r="D13" s="641">
        <v>497720490</v>
      </c>
      <c r="E13" s="641">
        <v>521836000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336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921</v>
      </c>
      <c r="C16" s="641">
        <v>460314702</v>
      </c>
      <c r="D16" s="641">
        <v>495471968</v>
      </c>
      <c r="E16" s="641">
        <v>514797196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922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384</v>
      </c>
      <c r="C19" s="644">
        <v>95884</v>
      </c>
      <c r="D19" s="644">
        <v>96663</v>
      </c>
      <c r="E19" s="644">
        <v>92010</v>
      </c>
    </row>
    <row r="20" spans="1:5" ht="26.1" customHeight="1" x14ac:dyDescent="0.25">
      <c r="A20" s="639">
        <v>2</v>
      </c>
      <c r="B20" s="640" t="s">
        <v>385</v>
      </c>
      <c r="C20" s="645">
        <v>20715</v>
      </c>
      <c r="D20" s="645">
        <v>20763</v>
      </c>
      <c r="E20" s="645">
        <v>19668</v>
      </c>
    </row>
    <row r="21" spans="1:5" ht="26.1" customHeight="1" x14ac:dyDescent="0.25">
      <c r="A21" s="639">
        <v>3</v>
      </c>
      <c r="B21" s="640" t="s">
        <v>923</v>
      </c>
      <c r="C21" s="646">
        <f>IF(C20=0,0,+C19/C20)</f>
        <v>4.6287231474776735</v>
      </c>
      <c r="D21" s="646">
        <f>IF(D20=0,0,+D19/D20)</f>
        <v>4.6555411067764778</v>
      </c>
      <c r="E21" s="646">
        <f>IF(E20=0,0,+E19/E20)</f>
        <v>4.6781574130567423</v>
      </c>
    </row>
    <row r="22" spans="1:5" ht="26.1" customHeight="1" x14ac:dyDescent="0.25">
      <c r="A22" s="639">
        <v>4</v>
      </c>
      <c r="B22" s="640" t="s">
        <v>924</v>
      </c>
      <c r="C22" s="645">
        <f>IF(C10=0,0,C19*(C12/C10))</f>
        <v>194939.68917815568</v>
      </c>
      <c r="D22" s="645">
        <f>IF(D10=0,0,D19*(D12/D10))</f>
        <v>197676.81874644043</v>
      </c>
      <c r="E22" s="645">
        <f>IF(E10=0,0,E19*(E12/E10))</f>
        <v>199086.02209204534</v>
      </c>
    </row>
    <row r="23" spans="1:5" ht="26.1" customHeight="1" x14ac:dyDescent="0.25">
      <c r="A23" s="639">
        <v>0</v>
      </c>
      <c r="B23" s="640" t="s">
        <v>925</v>
      </c>
      <c r="C23" s="645">
        <f>IF(C10=0,0,C20*(C12/C10))</f>
        <v>42115.219028466636</v>
      </c>
      <c r="D23" s="645">
        <f>IF(D10=0,0,D20*(D12/D10))</f>
        <v>42460.546306573793</v>
      </c>
      <c r="E23" s="645">
        <f>IF(E10=0,0,E20*(E12/E10))</f>
        <v>42556.503450780867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333</v>
      </c>
      <c r="B25" s="642" t="s">
        <v>926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434</v>
      </c>
      <c r="C26" s="647">
        <v>1.2010797151822352</v>
      </c>
      <c r="D26" s="647">
        <v>1.2321240620334251</v>
      </c>
      <c r="E26" s="647">
        <v>1.2214591925971121</v>
      </c>
    </row>
    <row r="27" spans="1:5" ht="26.1" customHeight="1" x14ac:dyDescent="0.25">
      <c r="A27" s="639">
        <v>2</v>
      </c>
      <c r="B27" s="640" t="s">
        <v>927</v>
      </c>
      <c r="C27" s="645">
        <f>C19*C26</f>
        <v>115164.32741053344</v>
      </c>
      <c r="D27" s="645">
        <f>D19*D26</f>
        <v>119100.80820833697</v>
      </c>
      <c r="E27" s="645">
        <f>E19*E26</f>
        <v>112386.46031086029</v>
      </c>
    </row>
    <row r="28" spans="1:5" ht="26.1" customHeight="1" x14ac:dyDescent="0.25">
      <c r="A28" s="639">
        <v>3</v>
      </c>
      <c r="B28" s="640" t="s">
        <v>928</v>
      </c>
      <c r="C28" s="645">
        <f>C20*C26</f>
        <v>24880.366300000002</v>
      </c>
      <c r="D28" s="645">
        <f>D20*D26</f>
        <v>25582.591900000003</v>
      </c>
      <c r="E28" s="645">
        <f>E20*E26</f>
        <v>24023.6594</v>
      </c>
    </row>
    <row r="29" spans="1:5" ht="26.1" customHeight="1" x14ac:dyDescent="0.25">
      <c r="A29" s="639">
        <v>4</v>
      </c>
      <c r="B29" s="640" t="s">
        <v>929</v>
      </c>
      <c r="C29" s="645">
        <f>C22*C26</f>
        <v>234138.10635581269</v>
      </c>
      <c r="D29" s="645">
        <f>D22*D26</f>
        <v>243562.36488370929</v>
      </c>
      <c r="E29" s="645">
        <f>E22*E26</f>
        <v>243175.45180192054</v>
      </c>
    </row>
    <row r="30" spans="1:5" ht="26.1" customHeight="1" x14ac:dyDescent="0.25">
      <c r="A30" s="639">
        <v>5</v>
      </c>
      <c r="B30" s="640" t="s">
        <v>930</v>
      </c>
      <c r="C30" s="645">
        <f>C23*C26</f>
        <v>50583.735275548162</v>
      </c>
      <c r="D30" s="645">
        <f>D23*D26</f>
        <v>52316.660791414048</v>
      </c>
      <c r="E30" s="645">
        <f>E23*E26</f>
        <v>51981.032344747015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354</v>
      </c>
      <c r="B32" s="634" t="s">
        <v>931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932</v>
      </c>
      <c r="C33" s="641">
        <f>IF(C19=0,0,C12/C19)</f>
        <v>10875.796962996954</v>
      </c>
      <c r="D33" s="641">
        <f>IF(D19=0,0,D12/D19)</f>
        <v>11515.81358948098</v>
      </c>
      <c r="E33" s="641">
        <f>IF(E19=0,0,E12/E19)</f>
        <v>12792.936202586676</v>
      </c>
    </row>
    <row r="34" spans="1:5" ht="26.1" customHeight="1" x14ac:dyDescent="0.25">
      <c r="A34" s="639">
        <v>2</v>
      </c>
      <c r="B34" s="640" t="s">
        <v>933</v>
      </c>
      <c r="C34" s="641">
        <f>IF(C20=0,0,C12/C20)</f>
        <v>50341.053149891384</v>
      </c>
      <c r="D34" s="641">
        <f>IF(D20=0,0,D12/D20)</f>
        <v>53612.34354380388</v>
      </c>
      <c r="E34" s="641">
        <f>IF(E20=0,0,E12/E20)</f>
        <v>59847.36933089282</v>
      </c>
    </row>
    <row r="35" spans="1:5" ht="26.1" customHeight="1" x14ac:dyDescent="0.25">
      <c r="A35" s="639">
        <v>3</v>
      </c>
      <c r="B35" s="640" t="s">
        <v>934</v>
      </c>
      <c r="C35" s="641">
        <f>IF(C22=0,0,C12/C22)</f>
        <v>5349.4233031579824</v>
      </c>
      <c r="D35" s="641">
        <f>IF(D22=0,0,D12/D22)</f>
        <v>5631.1766653217883</v>
      </c>
      <c r="E35" s="641">
        <f>IF(E22=0,0,E12/E22)</f>
        <v>5912.4093576785126</v>
      </c>
    </row>
    <row r="36" spans="1:5" ht="26.1" customHeight="1" x14ac:dyDescent="0.25">
      <c r="A36" s="639">
        <v>4</v>
      </c>
      <c r="B36" s="640" t="s">
        <v>935</v>
      </c>
      <c r="C36" s="641">
        <f>IF(C23=0,0,C12/C23)</f>
        <v>24760.999468983828</v>
      </c>
      <c r="D36" s="641">
        <f>IF(D23=0,0,D12/D23)</f>
        <v>26216.174444926073</v>
      </c>
      <c r="E36" s="641">
        <f>IF(E23=0,0,E12/E23)</f>
        <v>27659.181665649787</v>
      </c>
    </row>
    <row r="37" spans="1:5" ht="26.1" customHeight="1" x14ac:dyDescent="0.25">
      <c r="A37" s="639">
        <v>5</v>
      </c>
      <c r="B37" s="640" t="s">
        <v>936</v>
      </c>
      <c r="C37" s="641">
        <f>IF(C29=0,0,C12/C29)</f>
        <v>4453.8453489295134</v>
      </c>
      <c r="D37" s="641">
        <f>IF(D29=0,0,D12/D29)</f>
        <v>4570.3000524382469</v>
      </c>
      <c r="E37" s="641">
        <f>IF(E29=0,0,E12/E29)</f>
        <v>4840.4477149231052</v>
      </c>
    </row>
    <row r="38" spans="1:5" ht="26.1" customHeight="1" x14ac:dyDescent="0.25">
      <c r="A38" s="639">
        <v>6</v>
      </c>
      <c r="B38" s="640" t="s">
        <v>937</v>
      </c>
      <c r="C38" s="641">
        <f>IF(C30=0,0,C12/C30)</f>
        <v>20615.617061875811</v>
      </c>
      <c r="D38" s="641">
        <f>IF(D30=0,0,D12/D30)</f>
        <v>21277.219764428948</v>
      </c>
      <c r="E38" s="641">
        <f>IF(E30=0,0,E12/E30)</f>
        <v>22644.376360081093</v>
      </c>
    </row>
    <row r="39" spans="1:5" ht="26.1" customHeight="1" x14ac:dyDescent="0.25">
      <c r="A39" s="639">
        <v>7</v>
      </c>
      <c r="B39" s="640" t="s">
        <v>938</v>
      </c>
      <c r="C39" s="641">
        <f>IF(C22=0,0,C10/C22)</f>
        <v>2631.193812621902</v>
      </c>
      <c r="D39" s="641">
        <f>IF(D22=0,0,D10/D22)</f>
        <v>2753.6179176285013</v>
      </c>
      <c r="E39" s="641">
        <f>IF(E22=0,0,E10/E22)</f>
        <v>2732.4911075298241</v>
      </c>
    </row>
    <row r="40" spans="1:5" ht="26.1" customHeight="1" x14ac:dyDescent="0.25">
      <c r="A40" s="639">
        <v>8</v>
      </c>
      <c r="B40" s="640" t="s">
        <v>939</v>
      </c>
      <c r="C40" s="641">
        <f>IF(C23=0,0,C10/C23)</f>
        <v>12179.06770598303</v>
      </c>
      <c r="D40" s="641">
        <f>IF(D23=0,0,D10/D23)</f>
        <v>12819.581407875732</v>
      </c>
      <c r="E40" s="641">
        <f>IF(E23=0,0,E10/E23)</f>
        <v>12783.023530802275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366</v>
      </c>
      <c r="B42" s="634" t="s">
        <v>940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941</v>
      </c>
      <c r="C43" s="641">
        <f>IF(C19=0,0,C13/C19)</f>
        <v>4912.4016937132365</v>
      </c>
      <c r="D43" s="641">
        <f>IF(D19=0,0,D13/D19)</f>
        <v>5149.0279631296362</v>
      </c>
      <c r="E43" s="641">
        <f>IF(E19=0,0,E13/E19)</f>
        <v>5671.5139658732751</v>
      </c>
    </row>
    <row r="44" spans="1:5" ht="26.1" customHeight="1" x14ac:dyDescent="0.25">
      <c r="A44" s="639">
        <v>2</v>
      </c>
      <c r="B44" s="640" t="s">
        <v>942</v>
      </c>
      <c r="C44" s="641">
        <f>IF(C20=0,0,C13/C20)</f>
        <v>22738.147429398985</v>
      </c>
      <c r="D44" s="641">
        <f>IF(D20=0,0,D13/D20)</f>
        <v>23971.511342291575</v>
      </c>
      <c r="E44" s="641">
        <f>IF(E20=0,0,E13/E20)</f>
        <v>26532.235102704901</v>
      </c>
    </row>
    <row r="45" spans="1:5" ht="26.1" customHeight="1" x14ac:dyDescent="0.25">
      <c r="A45" s="639">
        <v>3</v>
      </c>
      <c r="B45" s="640" t="s">
        <v>943</v>
      </c>
      <c r="C45" s="641">
        <f>IF(C22=0,0,C13/C22)</f>
        <v>2416.2382015985131</v>
      </c>
      <c r="D45" s="641">
        <f>IF(D22=0,0,D13/D22)</f>
        <v>2517.8495544205657</v>
      </c>
      <c r="E45" s="641">
        <f>IF(E22=0,0,E13/E22)</f>
        <v>2621.1584043742387</v>
      </c>
    </row>
    <row r="46" spans="1:5" ht="26.1" customHeight="1" x14ac:dyDescent="0.25">
      <c r="A46" s="639">
        <v>4</v>
      </c>
      <c r="B46" s="640" t="s">
        <v>944</v>
      </c>
      <c r="C46" s="641">
        <f>IF(C23=0,0,C13/C23)</f>
        <v>11184.097693558862</v>
      </c>
      <c r="D46" s="641">
        <f>IF(D23=0,0,D13/D23)</f>
        <v>11721.952101283781</v>
      </c>
      <c r="E46" s="641">
        <f>IF(E23=0,0,E13/E23)</f>
        <v>12262.191620219326</v>
      </c>
    </row>
    <row r="47" spans="1:5" ht="26.1" customHeight="1" x14ac:dyDescent="0.25">
      <c r="A47" s="639">
        <v>5</v>
      </c>
      <c r="B47" s="640" t="s">
        <v>945</v>
      </c>
      <c r="C47" s="641">
        <f>IF(C29=0,0,C13/C29)</f>
        <v>2011.7217625575388</v>
      </c>
      <c r="D47" s="641">
        <f>IF(D29=0,0,D13/D29)</f>
        <v>2043.5032737411645</v>
      </c>
      <c r="E47" s="641">
        <f>IF(E29=0,0,E13/E29)</f>
        <v>2145.9238427777796</v>
      </c>
    </row>
    <row r="48" spans="1:5" ht="26.1" customHeight="1" x14ac:dyDescent="0.25">
      <c r="A48" s="639">
        <v>6</v>
      </c>
      <c r="B48" s="640" t="s">
        <v>946</v>
      </c>
      <c r="C48" s="641">
        <f>IF(C30=0,0,C13/C30)</f>
        <v>9311.7030886346638</v>
      </c>
      <c r="D48" s="641">
        <f>IF(D30=0,0,D13/D30)</f>
        <v>9513.6134927342955</v>
      </c>
      <c r="E48" s="641">
        <f>IF(E30=0,0,E13/E30)</f>
        <v>10038.969532946079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378</v>
      </c>
      <c r="B50" s="634" t="s">
        <v>947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948</v>
      </c>
      <c r="C51" s="641">
        <f>IF(C19=0,0,C16/C19)</f>
        <v>4800.7457135705645</v>
      </c>
      <c r="D51" s="641">
        <f>IF(D19=0,0,D16/D19)</f>
        <v>5125.7665083848005</v>
      </c>
      <c r="E51" s="641">
        <f>IF(E19=0,0,E16/E19)</f>
        <v>5595.0135420063034</v>
      </c>
    </row>
    <row r="52" spans="1:6" ht="26.1" customHeight="1" x14ac:dyDescent="0.25">
      <c r="A52" s="639">
        <v>2</v>
      </c>
      <c r="B52" s="640" t="s">
        <v>949</v>
      </c>
      <c r="C52" s="641">
        <f>IF(C20=0,0,C16/C20)</f>
        <v>22221.322809558293</v>
      </c>
      <c r="D52" s="641">
        <f>IF(D20=0,0,D16/D20)</f>
        <v>23863.216683523577</v>
      </c>
      <c r="E52" s="641">
        <f>IF(E20=0,0,E16/E20)</f>
        <v>26174.354077689648</v>
      </c>
    </row>
    <row r="53" spans="1:6" ht="26.1" customHeight="1" x14ac:dyDescent="0.25">
      <c r="A53" s="639">
        <v>3</v>
      </c>
      <c r="B53" s="640" t="s">
        <v>950</v>
      </c>
      <c r="C53" s="641">
        <f>IF(C22=0,0,C16/C22)</f>
        <v>2361.3185387779995</v>
      </c>
      <c r="D53" s="641">
        <f>IF(D22=0,0,D16/D22)</f>
        <v>2506.4748165314249</v>
      </c>
      <c r="E53" s="641">
        <f>IF(E22=0,0,E16/E22)</f>
        <v>2585.8028132280874</v>
      </c>
    </row>
    <row r="54" spans="1:6" ht="26.1" customHeight="1" x14ac:dyDescent="0.25">
      <c r="A54" s="639">
        <v>4</v>
      </c>
      <c r="B54" s="640" t="s">
        <v>951</v>
      </c>
      <c r="C54" s="641">
        <f>IF(C23=0,0,C16/C23)</f>
        <v>10929.889779009882</v>
      </c>
      <c r="D54" s="641">
        <f>IF(D23=0,0,D16/D23)</f>
        <v>11668.996541462078</v>
      </c>
      <c r="E54" s="641">
        <f>IF(E23=0,0,E16/E23)</f>
        <v>12096.792599405955</v>
      </c>
    </row>
    <row r="55" spans="1:6" ht="26.1" customHeight="1" x14ac:dyDescent="0.25">
      <c r="A55" s="639">
        <v>5</v>
      </c>
      <c r="B55" s="640" t="s">
        <v>952</v>
      </c>
      <c r="C55" s="641">
        <f>IF(C29=0,0,C16/C29)</f>
        <v>1965.9965187404116</v>
      </c>
      <c r="D55" s="641">
        <f>IF(D29=0,0,D16/D29)</f>
        <v>2034.2714615887676</v>
      </c>
      <c r="E55" s="641">
        <f>IF(E29=0,0,E16/E29)</f>
        <v>2116.9784704227873</v>
      </c>
    </row>
    <row r="56" spans="1:6" ht="26.1" customHeight="1" x14ac:dyDescent="0.25">
      <c r="A56" s="639">
        <v>6</v>
      </c>
      <c r="B56" s="640" t="s">
        <v>953</v>
      </c>
      <c r="C56" s="641">
        <f>IF(C30=0,0,C16/C30)</f>
        <v>9100.0535941542657</v>
      </c>
      <c r="D56" s="641">
        <f>IF(D30=0,0,D16/D30)</f>
        <v>9470.6344117687731</v>
      </c>
      <c r="E56" s="641">
        <f>IF(E30=0,0,E16/E30)</f>
        <v>9903.5585246898863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382</v>
      </c>
      <c r="B58" s="642" t="s">
        <v>954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955</v>
      </c>
      <c r="C59" s="649">
        <v>54797841</v>
      </c>
      <c r="D59" s="649">
        <v>58301687</v>
      </c>
      <c r="E59" s="649">
        <v>51198252</v>
      </c>
    </row>
    <row r="60" spans="1:6" ht="26.1" customHeight="1" x14ac:dyDescent="0.25">
      <c r="A60" s="639">
        <v>2</v>
      </c>
      <c r="B60" s="640" t="s">
        <v>956</v>
      </c>
      <c r="C60" s="649">
        <v>18746472</v>
      </c>
      <c r="D60" s="649">
        <v>20247827</v>
      </c>
      <c r="E60" s="649">
        <v>17759434</v>
      </c>
    </row>
    <row r="61" spans="1:6" ht="26.1" customHeight="1" x14ac:dyDescent="0.25">
      <c r="A61" s="650">
        <v>3</v>
      </c>
      <c r="B61" s="651" t="s">
        <v>957</v>
      </c>
      <c r="C61" s="652">
        <f>C59+C60</f>
        <v>73544313</v>
      </c>
      <c r="D61" s="652">
        <f>D59+D60</f>
        <v>78549514</v>
      </c>
      <c r="E61" s="652">
        <f>E59+E60</f>
        <v>68957686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958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959</v>
      </c>
      <c r="C64" s="641">
        <v>6365059</v>
      </c>
      <c r="D64" s="641">
        <v>7419911</v>
      </c>
      <c r="E64" s="649">
        <v>7349665</v>
      </c>
      <c r="F64" s="653"/>
    </row>
    <row r="65" spans="1:6" ht="26.1" customHeight="1" x14ac:dyDescent="0.25">
      <c r="A65" s="639">
        <v>2</v>
      </c>
      <c r="B65" s="640" t="s">
        <v>960</v>
      </c>
      <c r="C65" s="649">
        <v>2177502</v>
      </c>
      <c r="D65" s="649">
        <v>2576891</v>
      </c>
      <c r="E65" s="649">
        <v>2523856</v>
      </c>
      <c r="F65" s="653"/>
    </row>
    <row r="66" spans="1:6" ht="26.1" customHeight="1" x14ac:dyDescent="0.25">
      <c r="A66" s="650">
        <v>3</v>
      </c>
      <c r="B66" s="651" t="s">
        <v>961</v>
      </c>
      <c r="C66" s="654">
        <f>C64+C65</f>
        <v>8542561</v>
      </c>
      <c r="D66" s="654">
        <f>D64+D65</f>
        <v>9996802</v>
      </c>
      <c r="E66" s="654">
        <f>E64+E65</f>
        <v>9873521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408</v>
      </c>
      <c r="B68" s="642" t="s">
        <v>962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963</v>
      </c>
      <c r="C69" s="649">
        <v>125010388</v>
      </c>
      <c r="D69" s="649">
        <v>128541073</v>
      </c>
      <c r="E69" s="649">
        <v>132952743</v>
      </c>
    </row>
    <row r="70" spans="1:6" ht="26.1" customHeight="1" x14ac:dyDescent="0.25">
      <c r="A70" s="639">
        <v>2</v>
      </c>
      <c r="B70" s="640" t="s">
        <v>964</v>
      </c>
      <c r="C70" s="649">
        <v>42766350</v>
      </c>
      <c r="D70" s="649">
        <v>44641545</v>
      </c>
      <c r="E70" s="649">
        <v>45843656</v>
      </c>
    </row>
    <row r="71" spans="1:6" ht="26.1" customHeight="1" x14ac:dyDescent="0.25">
      <c r="A71" s="650">
        <v>3</v>
      </c>
      <c r="B71" s="651" t="s">
        <v>965</v>
      </c>
      <c r="C71" s="652">
        <f>C69+C70</f>
        <v>167776738</v>
      </c>
      <c r="D71" s="652">
        <f>D69+D70</f>
        <v>173182618</v>
      </c>
      <c r="E71" s="652">
        <f>E69+E70</f>
        <v>178796399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424</v>
      </c>
      <c r="B74" s="642" t="s">
        <v>966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967</v>
      </c>
      <c r="C75" s="641">
        <f t="shared" ref="C75:E76" si="0">+C59+C64+C69</f>
        <v>186173288</v>
      </c>
      <c r="D75" s="641">
        <f t="shared" si="0"/>
        <v>194262671</v>
      </c>
      <c r="E75" s="641">
        <f t="shared" si="0"/>
        <v>191500660</v>
      </c>
    </row>
    <row r="76" spans="1:6" ht="26.1" customHeight="1" x14ac:dyDescent="0.25">
      <c r="A76" s="639">
        <v>2</v>
      </c>
      <c r="B76" s="640" t="s">
        <v>968</v>
      </c>
      <c r="C76" s="641">
        <f t="shared" si="0"/>
        <v>63690324</v>
      </c>
      <c r="D76" s="641">
        <f t="shared" si="0"/>
        <v>67466263</v>
      </c>
      <c r="E76" s="641">
        <f t="shared" si="0"/>
        <v>66126946</v>
      </c>
    </row>
    <row r="77" spans="1:6" ht="26.1" customHeight="1" x14ac:dyDescent="0.25">
      <c r="A77" s="650">
        <v>3</v>
      </c>
      <c r="B77" s="651" t="s">
        <v>966</v>
      </c>
      <c r="C77" s="654">
        <f>C75+C76</f>
        <v>249863612</v>
      </c>
      <c r="D77" s="654">
        <f>D75+D76</f>
        <v>261728934</v>
      </c>
      <c r="E77" s="654">
        <f>E75+E76</f>
        <v>257627606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433</v>
      </c>
      <c r="B79" s="642" t="s">
        <v>969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596</v>
      </c>
      <c r="C80" s="646">
        <v>564.29999999999995</v>
      </c>
      <c r="D80" s="646">
        <v>572.29999999999995</v>
      </c>
      <c r="E80" s="646">
        <v>567.79999999999995</v>
      </c>
    </row>
    <row r="81" spans="1:5" ht="26.1" customHeight="1" x14ac:dyDescent="0.25">
      <c r="A81" s="639">
        <v>2</v>
      </c>
      <c r="B81" s="640" t="s">
        <v>597</v>
      </c>
      <c r="C81" s="646">
        <v>87.4</v>
      </c>
      <c r="D81" s="646">
        <v>97.8</v>
      </c>
      <c r="E81" s="646">
        <v>101.5</v>
      </c>
    </row>
    <row r="82" spans="1:5" ht="26.1" customHeight="1" x14ac:dyDescent="0.25">
      <c r="A82" s="639">
        <v>3</v>
      </c>
      <c r="B82" s="640" t="s">
        <v>970</v>
      </c>
      <c r="C82" s="646">
        <v>1841.1</v>
      </c>
      <c r="D82" s="646">
        <v>1871.2</v>
      </c>
      <c r="E82" s="646">
        <v>1734.6</v>
      </c>
    </row>
    <row r="83" spans="1:5" ht="26.1" customHeight="1" x14ac:dyDescent="0.25">
      <c r="A83" s="650">
        <v>4</v>
      </c>
      <c r="B83" s="651" t="s">
        <v>969</v>
      </c>
      <c r="C83" s="656">
        <f>C80+C81+C82</f>
        <v>2492.7999999999997</v>
      </c>
      <c r="D83" s="656">
        <f>D80+D81+D82</f>
        <v>2541.3000000000002</v>
      </c>
      <c r="E83" s="656">
        <f>E80+E81+E82</f>
        <v>2403.8999999999996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436</v>
      </c>
      <c r="B85" s="642" t="s">
        <v>971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972</v>
      </c>
      <c r="C86" s="649">
        <f>IF(C80=0,0,C59/C80)</f>
        <v>97107.639553429035</v>
      </c>
      <c r="D86" s="649">
        <f>IF(D80=0,0,D59/D80)</f>
        <v>101872.59654027609</v>
      </c>
      <c r="E86" s="649">
        <f>IF(E80=0,0,E59/E80)</f>
        <v>90169.517435716814</v>
      </c>
    </row>
    <row r="87" spans="1:5" ht="26.1" customHeight="1" x14ac:dyDescent="0.25">
      <c r="A87" s="639">
        <v>2</v>
      </c>
      <c r="B87" s="640" t="s">
        <v>973</v>
      </c>
      <c r="C87" s="649">
        <f>IF(C80=0,0,C60/C80)</f>
        <v>33220.754917597027</v>
      </c>
      <c r="D87" s="649">
        <f>IF(D80=0,0,D60/D80)</f>
        <v>35379.743141708896</v>
      </c>
      <c r="E87" s="649">
        <f>IF(E80=0,0,E60/E80)</f>
        <v>31277.622402254317</v>
      </c>
    </row>
    <row r="88" spans="1:5" ht="26.1" customHeight="1" x14ac:dyDescent="0.25">
      <c r="A88" s="650">
        <v>3</v>
      </c>
      <c r="B88" s="651" t="s">
        <v>974</v>
      </c>
      <c r="C88" s="652">
        <f>+C86+C87</f>
        <v>130328.39447102605</v>
      </c>
      <c r="D88" s="652">
        <f>+D86+D87</f>
        <v>137252.33968198497</v>
      </c>
      <c r="E88" s="652">
        <f>+E86+E87</f>
        <v>121447.13983797113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594</v>
      </c>
      <c r="B90" s="642" t="s">
        <v>975</v>
      </c>
    </row>
    <row r="91" spans="1:5" ht="26.1" customHeight="1" x14ac:dyDescent="0.25">
      <c r="A91" s="639">
        <v>1</v>
      </c>
      <c r="B91" s="640" t="s">
        <v>976</v>
      </c>
      <c r="C91" s="641">
        <f>IF(C81=0,0,C64/C81)</f>
        <v>72826.762013729967</v>
      </c>
      <c r="D91" s="641">
        <f>IF(D81=0,0,D64/D81)</f>
        <v>75868.21063394683</v>
      </c>
      <c r="E91" s="641">
        <f>IF(E81=0,0,E64/E81)</f>
        <v>72410.492610837435</v>
      </c>
    </row>
    <row r="92" spans="1:5" ht="26.1" customHeight="1" x14ac:dyDescent="0.25">
      <c r="A92" s="639">
        <v>2</v>
      </c>
      <c r="B92" s="640" t="s">
        <v>977</v>
      </c>
      <c r="C92" s="641">
        <f>IF(C81=0,0,C65/C81)</f>
        <v>24914.210526315786</v>
      </c>
      <c r="D92" s="641">
        <f>IF(D81=0,0,D65/D81)</f>
        <v>26348.57873210634</v>
      </c>
      <c r="E92" s="641">
        <f>IF(E81=0,0,E65/E81)</f>
        <v>24865.576354679804</v>
      </c>
    </row>
    <row r="93" spans="1:5" ht="26.1" customHeight="1" x14ac:dyDescent="0.25">
      <c r="A93" s="650">
        <v>3</v>
      </c>
      <c r="B93" s="651" t="s">
        <v>978</v>
      </c>
      <c r="C93" s="654">
        <f>+C91+C92</f>
        <v>97740.972540045754</v>
      </c>
      <c r="D93" s="654">
        <f>+D91+D92</f>
        <v>102216.78936605317</v>
      </c>
      <c r="E93" s="654">
        <f>+E91+E92</f>
        <v>97276.068965517246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979</v>
      </c>
      <c r="B95" s="642" t="s">
        <v>980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981</v>
      </c>
      <c r="C96" s="649">
        <f>IF(C82=0,0,C69/C82)</f>
        <v>67899.835967628052</v>
      </c>
      <c r="D96" s="649">
        <f>IF(D82=0,0,D69/D82)</f>
        <v>68694.45970500214</v>
      </c>
      <c r="E96" s="649">
        <f>IF(E82=0,0,E69/E82)</f>
        <v>76647.493946731236</v>
      </c>
    </row>
    <row r="97" spans="1:5" ht="26.1" customHeight="1" x14ac:dyDescent="0.25">
      <c r="A97" s="639">
        <v>2</v>
      </c>
      <c r="B97" s="640" t="s">
        <v>982</v>
      </c>
      <c r="C97" s="649">
        <f>IF(C82=0,0,C70/C82)</f>
        <v>23228.694802020531</v>
      </c>
      <c r="D97" s="649">
        <f>IF(D82=0,0,D70/D82)</f>
        <v>23857.17454040188</v>
      </c>
      <c r="E97" s="649">
        <f>IF(E82=0,0,E70/E82)</f>
        <v>26428.949613743804</v>
      </c>
    </row>
    <row r="98" spans="1:5" ht="26.1" customHeight="1" x14ac:dyDescent="0.25">
      <c r="A98" s="650">
        <v>3</v>
      </c>
      <c r="B98" s="651" t="s">
        <v>983</v>
      </c>
      <c r="C98" s="654">
        <f>+C96+C97</f>
        <v>91128.530769648583</v>
      </c>
      <c r="D98" s="654">
        <f>+D96+D97</f>
        <v>92551.634245404013</v>
      </c>
      <c r="E98" s="654">
        <f>+E96+E97</f>
        <v>103076.44356047505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984</v>
      </c>
      <c r="B100" s="642" t="s">
        <v>985</v>
      </c>
    </row>
    <row r="101" spans="1:5" ht="26.1" customHeight="1" x14ac:dyDescent="0.25">
      <c r="A101" s="639">
        <v>1</v>
      </c>
      <c r="B101" s="640" t="s">
        <v>986</v>
      </c>
      <c r="C101" s="641">
        <f>IF(C83=0,0,C75/C83)</f>
        <v>74684.406290115541</v>
      </c>
      <c r="D101" s="641">
        <f>IF(D83=0,0,D75/D83)</f>
        <v>76442.242553024043</v>
      </c>
      <c r="E101" s="641">
        <f>IF(E83=0,0,E75/E83)</f>
        <v>79662.490120221322</v>
      </c>
    </row>
    <row r="102" spans="1:5" ht="26.1" customHeight="1" x14ac:dyDescent="0.25">
      <c r="A102" s="639">
        <v>2</v>
      </c>
      <c r="B102" s="640" t="s">
        <v>987</v>
      </c>
      <c r="C102" s="658">
        <f>IF(C83=0,0,C76/C83)</f>
        <v>25549.712772785624</v>
      </c>
      <c r="D102" s="658">
        <f>IF(D83=0,0,D76/D83)</f>
        <v>26547.933341203319</v>
      </c>
      <c r="E102" s="658">
        <f>IF(E83=0,0,E76/E83)</f>
        <v>27508.193352468908</v>
      </c>
    </row>
    <row r="103" spans="1:5" ht="26.1" customHeight="1" x14ac:dyDescent="0.25">
      <c r="A103" s="650">
        <v>3</v>
      </c>
      <c r="B103" s="651" t="s">
        <v>985</v>
      </c>
      <c r="C103" s="654">
        <f>+C101+C102</f>
        <v>100234.11906290117</v>
      </c>
      <c r="D103" s="654">
        <f>+D101+D102</f>
        <v>102990.17589422736</v>
      </c>
      <c r="E103" s="654">
        <f>+E101+E102</f>
        <v>107170.68347269023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988</v>
      </c>
      <c r="B107" s="634" t="s">
        <v>989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990</v>
      </c>
      <c r="C108" s="641">
        <f>IF(C19=0,0,C77/C19)</f>
        <v>2605.8947478202826</v>
      </c>
      <c r="D108" s="641">
        <f>IF(D19=0,0,D77/D19)</f>
        <v>2707.6434002669066</v>
      </c>
      <c r="E108" s="641">
        <f>IF(E19=0,0,E77/E19)</f>
        <v>2799.9957178567547</v>
      </c>
    </row>
    <row r="109" spans="1:5" ht="26.1" customHeight="1" x14ac:dyDescent="0.25">
      <c r="A109" s="639">
        <v>2</v>
      </c>
      <c r="B109" s="640" t="s">
        <v>991</v>
      </c>
      <c r="C109" s="641">
        <f>IF(C20=0,0,C77/C20)</f>
        <v>12061.965339126236</v>
      </c>
      <c r="D109" s="641">
        <f>IF(D20=0,0,D77/D20)</f>
        <v>12605.545152434619</v>
      </c>
      <c r="E109" s="641">
        <f>IF(E20=0,0,E77/E20)</f>
        <v>13098.820724018711</v>
      </c>
    </row>
    <row r="110" spans="1:5" ht="26.1" customHeight="1" x14ac:dyDescent="0.25">
      <c r="A110" s="639">
        <v>3</v>
      </c>
      <c r="B110" s="640" t="s">
        <v>992</v>
      </c>
      <c r="C110" s="641">
        <f>IF(C22=0,0,C77/C22)</f>
        <v>1281.7482835506589</v>
      </c>
      <c r="D110" s="641">
        <f>IF(D22=0,0,D77/D22)</f>
        <v>1324.0244134832981</v>
      </c>
      <c r="E110" s="641">
        <f>IF(E22=0,0,E77/E22)</f>
        <v>1294.0517033430331</v>
      </c>
    </row>
    <row r="111" spans="1:5" ht="26.1" customHeight="1" x14ac:dyDescent="0.25">
      <c r="A111" s="639">
        <v>4</v>
      </c>
      <c r="B111" s="640" t="s">
        <v>993</v>
      </c>
      <c r="C111" s="641">
        <f>IF(C23=0,0,C77/C23)</f>
        <v>5932.8579493107109</v>
      </c>
      <c r="D111" s="641">
        <f>IF(D23=0,0,D77/D23)</f>
        <v>6164.0500833471096</v>
      </c>
      <c r="E111" s="641">
        <f>IF(E23=0,0,E77/E23)</f>
        <v>6053.7775688729143</v>
      </c>
    </row>
    <row r="112" spans="1:5" ht="26.1" customHeight="1" x14ac:dyDescent="0.25">
      <c r="A112" s="639">
        <v>5</v>
      </c>
      <c r="B112" s="640" t="s">
        <v>994</v>
      </c>
      <c r="C112" s="641">
        <f>IF(C29=0,0,C77/C29)</f>
        <v>1067.1633758764997</v>
      </c>
      <c r="D112" s="641">
        <f>IF(D29=0,0,D77/D29)</f>
        <v>1074.5869302302285</v>
      </c>
      <c r="E112" s="641">
        <f>IF(E29=0,0,E77/E29)</f>
        <v>1059.4309750058633</v>
      </c>
    </row>
    <row r="113" spans="1:7" ht="25.5" customHeight="1" x14ac:dyDescent="0.25">
      <c r="A113" s="639">
        <v>6</v>
      </c>
      <c r="B113" s="640" t="s">
        <v>995</v>
      </c>
      <c r="C113" s="641">
        <f>IF(C30=0,0,C77/C30)</f>
        <v>4939.6038200599705</v>
      </c>
      <c r="D113" s="641">
        <f>IF(D30=0,0,D77/D30)</f>
        <v>5002.7836264915759</v>
      </c>
      <c r="E113" s="641">
        <f>IF(E30=0,0,E77/E30)</f>
        <v>4956.1848693456113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/>
  <headerFooter>
    <oddHeader>&amp;L&amp;12OFFICE OF HEALTH CARE ACCESS&amp;C&amp;12TWELVE MONTHS ACTUAL FILING&amp;R&amp;12DANBURY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1113153089</v>
      </c>
      <c r="D12" s="51">
        <v>1177078060</v>
      </c>
      <c r="E12" s="51">
        <f t="shared" ref="E12:E19" si="0">D12-C12</f>
        <v>63924971</v>
      </c>
      <c r="F12" s="70">
        <f t="shared" ref="F12:F19" si="1">IF(C12=0,0,E12/C12)</f>
        <v>5.7426935820145762E-2</v>
      </c>
    </row>
    <row r="13" spans="1:8" ht="23.1" customHeight="1" x14ac:dyDescent="0.2">
      <c r="A13" s="25">
        <v>2</v>
      </c>
      <c r="B13" s="48" t="s">
        <v>72</v>
      </c>
      <c r="C13" s="51">
        <v>604072976</v>
      </c>
      <c r="D13" s="51">
        <v>641272278</v>
      </c>
      <c r="E13" s="51">
        <f t="shared" si="0"/>
        <v>37199302</v>
      </c>
      <c r="F13" s="70">
        <f t="shared" si="1"/>
        <v>6.1580808077731322E-2</v>
      </c>
    </row>
    <row r="14" spans="1:8" ht="23.1" customHeight="1" x14ac:dyDescent="0.2">
      <c r="A14" s="25">
        <v>3</v>
      </c>
      <c r="B14" s="48" t="s">
        <v>73</v>
      </c>
      <c r="C14" s="51">
        <v>11359623</v>
      </c>
      <c r="D14" s="51">
        <v>13969782</v>
      </c>
      <c r="E14" s="51">
        <f t="shared" si="0"/>
        <v>2610159</v>
      </c>
      <c r="F14" s="70">
        <f t="shared" si="1"/>
        <v>0.22977514306592745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497720490</v>
      </c>
      <c r="D16" s="27">
        <f>D12-D13-D14-D15</f>
        <v>521836000</v>
      </c>
      <c r="E16" s="27">
        <f t="shared" si="0"/>
        <v>24115510</v>
      </c>
      <c r="F16" s="28">
        <f t="shared" si="1"/>
        <v>4.8451913241506293E-2</v>
      </c>
    </row>
    <row r="17" spans="1:7" ht="23.1" customHeight="1" x14ac:dyDescent="0.2">
      <c r="A17" s="25">
        <v>5</v>
      </c>
      <c r="B17" s="48" t="s">
        <v>76</v>
      </c>
      <c r="C17" s="51">
        <v>13930894</v>
      </c>
      <c r="D17" s="51">
        <v>22126583</v>
      </c>
      <c r="E17" s="51">
        <f t="shared" si="0"/>
        <v>8195689</v>
      </c>
      <c r="F17" s="70">
        <f t="shared" si="1"/>
        <v>0.58831034103051827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511651384</v>
      </c>
      <c r="D19" s="27">
        <f>SUM(D16:D18)</f>
        <v>543962583</v>
      </c>
      <c r="E19" s="27">
        <f t="shared" si="0"/>
        <v>32311199</v>
      </c>
      <c r="F19" s="28">
        <f t="shared" si="1"/>
        <v>6.3150809340916395E-2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194262671</v>
      </c>
      <c r="D22" s="51">
        <v>191500660</v>
      </c>
      <c r="E22" s="51">
        <f t="shared" ref="E22:E31" si="2">D22-C22</f>
        <v>-2762011</v>
      </c>
      <c r="F22" s="70">
        <f t="shared" ref="F22:F31" si="3">IF(C22=0,0,E22/C22)</f>
        <v>-1.4217919406657391E-2</v>
      </c>
    </row>
    <row r="23" spans="1:7" ht="23.1" customHeight="1" x14ac:dyDescent="0.2">
      <c r="A23" s="25">
        <v>2</v>
      </c>
      <c r="B23" s="48" t="s">
        <v>81</v>
      </c>
      <c r="C23" s="51">
        <v>67466263</v>
      </c>
      <c r="D23" s="51">
        <v>66126946</v>
      </c>
      <c r="E23" s="51">
        <f t="shared" si="2"/>
        <v>-1339317</v>
      </c>
      <c r="F23" s="70">
        <f t="shared" si="3"/>
        <v>-1.9851655337720424E-2</v>
      </c>
    </row>
    <row r="24" spans="1:7" ht="23.1" customHeight="1" x14ac:dyDescent="0.2">
      <c r="A24" s="25">
        <v>3</v>
      </c>
      <c r="B24" s="48" t="s">
        <v>82</v>
      </c>
      <c r="C24" s="51">
        <v>45908952</v>
      </c>
      <c r="D24" s="51">
        <v>55286603</v>
      </c>
      <c r="E24" s="51">
        <f t="shared" si="2"/>
        <v>9377651</v>
      </c>
      <c r="F24" s="70">
        <f t="shared" si="3"/>
        <v>0.20426628340372482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71592342</v>
      </c>
      <c r="D25" s="51">
        <v>71979213</v>
      </c>
      <c r="E25" s="51">
        <f t="shared" si="2"/>
        <v>386871</v>
      </c>
      <c r="F25" s="70">
        <f t="shared" si="3"/>
        <v>5.4038042225242472E-3</v>
      </c>
    </row>
    <row r="26" spans="1:7" ht="23.1" customHeight="1" x14ac:dyDescent="0.2">
      <c r="A26" s="25">
        <v>5</v>
      </c>
      <c r="B26" s="48" t="s">
        <v>84</v>
      </c>
      <c r="C26" s="51">
        <v>27369949</v>
      </c>
      <c r="D26" s="51">
        <v>31663499</v>
      </c>
      <c r="E26" s="51">
        <f t="shared" si="2"/>
        <v>4293550</v>
      </c>
      <c r="F26" s="70">
        <f t="shared" si="3"/>
        <v>0.1568709536141262</v>
      </c>
    </row>
    <row r="27" spans="1:7" ht="23.1" customHeight="1" x14ac:dyDescent="0.2">
      <c r="A27" s="25">
        <v>6</v>
      </c>
      <c r="B27" s="48" t="s">
        <v>85</v>
      </c>
      <c r="C27" s="51">
        <v>18183085</v>
      </c>
      <c r="D27" s="51">
        <v>19413218</v>
      </c>
      <c r="E27" s="51">
        <f t="shared" si="2"/>
        <v>1230133</v>
      </c>
      <c r="F27" s="70">
        <f t="shared" si="3"/>
        <v>6.765260130500407E-2</v>
      </c>
    </row>
    <row r="28" spans="1:7" ht="23.1" customHeight="1" x14ac:dyDescent="0.2">
      <c r="A28" s="25">
        <v>7</v>
      </c>
      <c r="B28" s="48" t="s">
        <v>86</v>
      </c>
      <c r="C28" s="51">
        <v>4587742</v>
      </c>
      <c r="D28" s="51">
        <v>4156056</v>
      </c>
      <c r="E28" s="51">
        <f t="shared" si="2"/>
        <v>-431686</v>
      </c>
      <c r="F28" s="70">
        <f t="shared" si="3"/>
        <v>-9.4095526731886842E-2</v>
      </c>
    </row>
    <row r="29" spans="1:7" ht="23.1" customHeight="1" x14ac:dyDescent="0.2">
      <c r="A29" s="25">
        <v>8</v>
      </c>
      <c r="B29" s="48" t="s">
        <v>87</v>
      </c>
      <c r="C29" s="51">
        <v>6373521</v>
      </c>
      <c r="D29" s="51">
        <v>6798516</v>
      </c>
      <c r="E29" s="51">
        <f t="shared" si="2"/>
        <v>424995</v>
      </c>
      <c r="F29" s="70">
        <f t="shared" si="3"/>
        <v>6.6681352426704171E-2</v>
      </c>
    </row>
    <row r="30" spans="1:7" ht="23.1" customHeight="1" x14ac:dyDescent="0.2">
      <c r="A30" s="25">
        <v>9</v>
      </c>
      <c r="B30" s="48" t="s">
        <v>88</v>
      </c>
      <c r="C30" s="51">
        <v>59727443</v>
      </c>
      <c r="D30" s="51">
        <v>67872485</v>
      </c>
      <c r="E30" s="51">
        <f t="shared" si="2"/>
        <v>8145042</v>
      </c>
      <c r="F30" s="70">
        <f t="shared" si="3"/>
        <v>0.13637017744087923</v>
      </c>
    </row>
    <row r="31" spans="1:7" ht="23.1" customHeight="1" x14ac:dyDescent="0.25">
      <c r="A31" s="29"/>
      <c r="B31" s="71" t="s">
        <v>89</v>
      </c>
      <c r="C31" s="27">
        <f>SUM(C22:C30)</f>
        <v>495471968</v>
      </c>
      <c r="D31" s="27">
        <f>SUM(D22:D30)</f>
        <v>514797196</v>
      </c>
      <c r="E31" s="27">
        <f t="shared" si="2"/>
        <v>19325228</v>
      </c>
      <c r="F31" s="28">
        <f t="shared" si="3"/>
        <v>3.9003675784136389E-2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16179416</v>
      </c>
      <c r="D33" s="27">
        <f>+D19-D31</f>
        <v>29165387</v>
      </c>
      <c r="E33" s="27">
        <f>D33-C33</f>
        <v>12985971</v>
      </c>
      <c r="F33" s="28">
        <f>IF(C33=0,0,E33/C33)</f>
        <v>0.80262297477238975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7435069</v>
      </c>
      <c r="D36" s="51">
        <v>21639149</v>
      </c>
      <c r="E36" s="51">
        <f>D36-C36</f>
        <v>14204080</v>
      </c>
      <c r="F36" s="70">
        <f>IF(C36=0,0,E36/C36)</f>
        <v>1.9104167022525278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71435</v>
      </c>
      <c r="D38" s="51">
        <v>2571725</v>
      </c>
      <c r="E38" s="51">
        <f>D38-C38</f>
        <v>2500290</v>
      </c>
      <c r="F38" s="70">
        <f>IF(C38=0,0,E38/C38)</f>
        <v>35.000909918107368</v>
      </c>
    </row>
    <row r="39" spans="1:6" ht="23.1" customHeight="1" x14ac:dyDescent="0.25">
      <c r="A39" s="20"/>
      <c r="B39" s="71" t="s">
        <v>95</v>
      </c>
      <c r="C39" s="27">
        <f>SUM(C36:C38)</f>
        <v>7506504</v>
      </c>
      <c r="D39" s="27">
        <f>SUM(D36:D38)</f>
        <v>24210874</v>
      </c>
      <c r="E39" s="27">
        <f>D39-C39</f>
        <v>16704370</v>
      </c>
      <c r="F39" s="28">
        <f>IF(C39=0,0,E39/C39)</f>
        <v>2.2253195362315132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23685920</v>
      </c>
      <c r="D41" s="27">
        <f>D33+D39</f>
        <v>53376261</v>
      </c>
      <c r="E41" s="27">
        <f>D41-C41</f>
        <v>29690341</v>
      </c>
      <c r="F41" s="28">
        <f>IF(C41=0,0,E41/C41)</f>
        <v>1.2535017005883664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23685920</v>
      </c>
      <c r="D48" s="27">
        <f>D41+D46</f>
        <v>53376261</v>
      </c>
      <c r="E48" s="27">
        <f>D48-C48</f>
        <v>29690341</v>
      </c>
      <c r="F48" s="28">
        <f>IF(C48=0,0,E48/C48)</f>
        <v>1.2535017005883664</v>
      </c>
    </row>
    <row r="49" spans="1:6" ht="23.1" customHeight="1" x14ac:dyDescent="0.2">
      <c r="A49" s="44"/>
      <c r="B49" s="48" t="s">
        <v>102</v>
      </c>
      <c r="C49" s="51">
        <v>35125000</v>
      </c>
      <c r="D49" s="51">
        <v>43360000</v>
      </c>
      <c r="E49" s="51">
        <f>D49-C49</f>
        <v>8235000</v>
      </c>
      <c r="F49" s="70">
        <f>IF(C49=0,0,E49/C49)</f>
        <v>0.23444839857651245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FILING&amp;RDANBURY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9.2851562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268150184</v>
      </c>
      <c r="D14" s="97">
        <v>257261386</v>
      </c>
      <c r="E14" s="97">
        <f t="shared" ref="E14:E25" si="0">D14-C14</f>
        <v>-10888798</v>
      </c>
      <c r="F14" s="98">
        <f t="shared" ref="F14:F25" si="1">IF(C14=0,0,E14/C14)</f>
        <v>-4.0607087556576132E-2</v>
      </c>
    </row>
    <row r="15" spans="1:6" ht="18" customHeight="1" x14ac:dyDescent="0.25">
      <c r="A15" s="99">
        <v>2</v>
      </c>
      <c r="B15" s="100" t="s">
        <v>113</v>
      </c>
      <c r="C15" s="97">
        <v>23714332</v>
      </c>
      <c r="D15" s="97">
        <v>29619519</v>
      </c>
      <c r="E15" s="97">
        <f t="shared" si="0"/>
        <v>5905187</v>
      </c>
      <c r="F15" s="98">
        <f t="shared" si="1"/>
        <v>0.2490134236123539</v>
      </c>
    </row>
    <row r="16" spans="1:6" ht="18" customHeight="1" x14ac:dyDescent="0.25">
      <c r="A16" s="99">
        <v>3</v>
      </c>
      <c r="B16" s="100" t="s">
        <v>114</v>
      </c>
      <c r="C16" s="97">
        <v>41817164</v>
      </c>
      <c r="D16" s="97">
        <v>67345114</v>
      </c>
      <c r="E16" s="97">
        <f t="shared" si="0"/>
        <v>25527950</v>
      </c>
      <c r="F16" s="98">
        <f t="shared" si="1"/>
        <v>0.6104658364684894</v>
      </c>
    </row>
    <row r="17" spans="1:6" ht="18" customHeight="1" x14ac:dyDescent="0.25">
      <c r="A17" s="99">
        <v>4</v>
      </c>
      <c r="B17" s="100" t="s">
        <v>115</v>
      </c>
      <c r="C17" s="97">
        <v>18059075</v>
      </c>
      <c r="D17" s="97">
        <v>5395221</v>
      </c>
      <c r="E17" s="97">
        <f t="shared" si="0"/>
        <v>-12663854</v>
      </c>
      <c r="F17" s="98">
        <f t="shared" si="1"/>
        <v>-0.70124599405008281</v>
      </c>
    </row>
    <row r="18" spans="1:6" ht="18" customHeight="1" x14ac:dyDescent="0.25">
      <c r="A18" s="99">
        <v>5</v>
      </c>
      <c r="B18" s="100" t="s">
        <v>116</v>
      </c>
      <c r="C18" s="97">
        <v>632468</v>
      </c>
      <c r="D18" s="97">
        <v>494495</v>
      </c>
      <c r="E18" s="97">
        <f t="shared" si="0"/>
        <v>-137973</v>
      </c>
      <c r="F18" s="98">
        <f t="shared" si="1"/>
        <v>-0.21815016728119052</v>
      </c>
    </row>
    <row r="19" spans="1:6" ht="18" customHeight="1" x14ac:dyDescent="0.25">
      <c r="A19" s="99">
        <v>6</v>
      </c>
      <c r="B19" s="100" t="s">
        <v>117</v>
      </c>
      <c r="C19" s="97">
        <v>89264881</v>
      </c>
      <c r="D19" s="97">
        <v>82742019</v>
      </c>
      <c r="E19" s="97">
        <f t="shared" si="0"/>
        <v>-6522862</v>
      </c>
      <c r="F19" s="98">
        <f t="shared" si="1"/>
        <v>-7.3073104752136506E-2</v>
      </c>
    </row>
    <row r="20" spans="1:6" ht="18" customHeight="1" x14ac:dyDescent="0.25">
      <c r="A20" s="99">
        <v>7</v>
      </c>
      <c r="B20" s="100" t="s">
        <v>118</v>
      </c>
      <c r="C20" s="97">
        <v>92528372</v>
      </c>
      <c r="D20" s="97">
        <v>90329985</v>
      </c>
      <c r="E20" s="97">
        <f t="shared" si="0"/>
        <v>-2198387</v>
      </c>
      <c r="F20" s="98">
        <f t="shared" si="1"/>
        <v>-2.375905846479175E-2</v>
      </c>
    </row>
    <row r="21" spans="1:6" ht="18" customHeight="1" x14ac:dyDescent="0.25">
      <c r="A21" s="99">
        <v>8</v>
      </c>
      <c r="B21" s="100" t="s">
        <v>119</v>
      </c>
      <c r="C21" s="97">
        <v>3174286</v>
      </c>
      <c r="D21" s="97">
        <v>3664659</v>
      </c>
      <c r="E21" s="97">
        <f t="shared" si="0"/>
        <v>490373</v>
      </c>
      <c r="F21" s="98">
        <f t="shared" si="1"/>
        <v>0.1544829293894753</v>
      </c>
    </row>
    <row r="22" spans="1:6" ht="18" customHeight="1" x14ac:dyDescent="0.25">
      <c r="A22" s="99">
        <v>9</v>
      </c>
      <c r="B22" s="100" t="s">
        <v>120</v>
      </c>
      <c r="C22" s="97">
        <v>5413243</v>
      </c>
      <c r="D22" s="97">
        <v>6349011</v>
      </c>
      <c r="E22" s="97">
        <f t="shared" si="0"/>
        <v>935768</v>
      </c>
      <c r="F22" s="98">
        <f t="shared" si="1"/>
        <v>0.17286643145338201</v>
      </c>
    </row>
    <row r="23" spans="1:6" ht="18" customHeight="1" x14ac:dyDescent="0.25">
      <c r="A23" s="99">
        <v>10</v>
      </c>
      <c r="B23" s="100" t="s">
        <v>121</v>
      </c>
      <c r="C23" s="97">
        <v>0</v>
      </c>
      <c r="D23" s="97">
        <v>0</v>
      </c>
      <c r="E23" s="97">
        <f t="shared" si="0"/>
        <v>0</v>
      </c>
      <c r="F23" s="98">
        <f t="shared" si="1"/>
        <v>0</v>
      </c>
    </row>
    <row r="24" spans="1:6" ht="18" customHeight="1" x14ac:dyDescent="0.25">
      <c r="A24" s="99">
        <v>11</v>
      </c>
      <c r="B24" s="100" t="s">
        <v>122</v>
      </c>
      <c r="C24" s="97">
        <v>1572425</v>
      </c>
      <c r="D24" s="97">
        <v>799376</v>
      </c>
      <c r="E24" s="97">
        <f t="shared" si="0"/>
        <v>-773049</v>
      </c>
      <c r="F24" s="98">
        <f t="shared" si="1"/>
        <v>-0.49162853554223573</v>
      </c>
    </row>
    <row r="25" spans="1:6" ht="18" customHeight="1" x14ac:dyDescent="0.25">
      <c r="A25" s="101"/>
      <c r="B25" s="102" t="s">
        <v>123</v>
      </c>
      <c r="C25" s="103">
        <f>SUM(C14:C24)</f>
        <v>544326430</v>
      </c>
      <c r="D25" s="103">
        <f>SUM(D14:D24)</f>
        <v>544000785</v>
      </c>
      <c r="E25" s="103">
        <f t="shared" si="0"/>
        <v>-325645</v>
      </c>
      <c r="F25" s="104">
        <f t="shared" si="1"/>
        <v>-5.9825314747255617E-4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179546972</v>
      </c>
      <c r="D27" s="97">
        <v>197024655</v>
      </c>
      <c r="E27" s="97">
        <f t="shared" ref="E27:E38" si="2">D27-C27</f>
        <v>17477683</v>
      </c>
      <c r="F27" s="98">
        <f t="shared" ref="F27:F38" si="3">IF(C27=0,0,E27/C27)</f>
        <v>9.7343234504673234E-2</v>
      </c>
    </row>
    <row r="28" spans="1:6" ht="18" customHeight="1" x14ac:dyDescent="0.25">
      <c r="A28" s="99">
        <v>2</v>
      </c>
      <c r="B28" s="100" t="s">
        <v>113</v>
      </c>
      <c r="C28" s="97">
        <v>18545125</v>
      </c>
      <c r="D28" s="97">
        <v>24831238</v>
      </c>
      <c r="E28" s="97">
        <f t="shared" si="2"/>
        <v>6286113</v>
      </c>
      <c r="F28" s="98">
        <f t="shared" si="3"/>
        <v>0.33896309677071468</v>
      </c>
    </row>
    <row r="29" spans="1:6" ht="18" customHeight="1" x14ac:dyDescent="0.25">
      <c r="A29" s="99">
        <v>3</v>
      </c>
      <c r="B29" s="100" t="s">
        <v>114</v>
      </c>
      <c r="C29" s="97">
        <v>31127438</v>
      </c>
      <c r="D29" s="97">
        <v>62332606</v>
      </c>
      <c r="E29" s="97">
        <f t="shared" si="2"/>
        <v>31205168</v>
      </c>
      <c r="F29" s="98">
        <f t="shared" si="3"/>
        <v>1.0024971537972382</v>
      </c>
    </row>
    <row r="30" spans="1:6" ht="18" customHeight="1" x14ac:dyDescent="0.25">
      <c r="A30" s="99">
        <v>4</v>
      </c>
      <c r="B30" s="100" t="s">
        <v>115</v>
      </c>
      <c r="C30" s="97">
        <v>34948400</v>
      </c>
      <c r="D30" s="97">
        <v>8800766</v>
      </c>
      <c r="E30" s="97">
        <f t="shared" si="2"/>
        <v>-26147634</v>
      </c>
      <c r="F30" s="98">
        <f t="shared" si="3"/>
        <v>-0.74817828570120526</v>
      </c>
    </row>
    <row r="31" spans="1:6" ht="18" customHeight="1" x14ac:dyDescent="0.25">
      <c r="A31" s="99">
        <v>5</v>
      </c>
      <c r="B31" s="100" t="s">
        <v>116</v>
      </c>
      <c r="C31" s="97">
        <v>696661</v>
      </c>
      <c r="D31" s="97">
        <v>987989</v>
      </c>
      <c r="E31" s="97">
        <f t="shared" si="2"/>
        <v>291328</v>
      </c>
      <c r="F31" s="98">
        <f t="shared" si="3"/>
        <v>0.41817756412372731</v>
      </c>
    </row>
    <row r="32" spans="1:6" ht="18" customHeight="1" x14ac:dyDescent="0.25">
      <c r="A32" s="99">
        <v>6</v>
      </c>
      <c r="B32" s="100" t="s">
        <v>117</v>
      </c>
      <c r="C32" s="97">
        <v>144511445</v>
      </c>
      <c r="D32" s="97">
        <v>151844482</v>
      </c>
      <c r="E32" s="97">
        <f t="shared" si="2"/>
        <v>7333037</v>
      </c>
      <c r="F32" s="98">
        <f t="shared" si="3"/>
        <v>5.0743641792523768E-2</v>
      </c>
    </row>
    <row r="33" spans="1:6" ht="18" customHeight="1" x14ac:dyDescent="0.25">
      <c r="A33" s="99">
        <v>7</v>
      </c>
      <c r="B33" s="100" t="s">
        <v>118</v>
      </c>
      <c r="C33" s="97">
        <v>131344234</v>
      </c>
      <c r="D33" s="97">
        <v>150929028</v>
      </c>
      <c r="E33" s="97">
        <f t="shared" si="2"/>
        <v>19584794</v>
      </c>
      <c r="F33" s="98">
        <f t="shared" si="3"/>
        <v>0.14911042078938921</v>
      </c>
    </row>
    <row r="34" spans="1:6" ht="18" customHeight="1" x14ac:dyDescent="0.25">
      <c r="A34" s="99">
        <v>8</v>
      </c>
      <c r="B34" s="100" t="s">
        <v>119</v>
      </c>
      <c r="C34" s="97">
        <v>4038224</v>
      </c>
      <c r="D34" s="97">
        <v>5002982</v>
      </c>
      <c r="E34" s="97">
        <f t="shared" si="2"/>
        <v>964758</v>
      </c>
      <c r="F34" s="98">
        <f t="shared" si="3"/>
        <v>0.23890650939620983</v>
      </c>
    </row>
    <row r="35" spans="1:6" ht="18" customHeight="1" x14ac:dyDescent="0.25">
      <c r="A35" s="99">
        <v>9</v>
      </c>
      <c r="B35" s="100" t="s">
        <v>120</v>
      </c>
      <c r="C35" s="97">
        <v>22935833</v>
      </c>
      <c r="D35" s="97">
        <v>30198901</v>
      </c>
      <c r="E35" s="97">
        <f t="shared" si="2"/>
        <v>7263068</v>
      </c>
      <c r="F35" s="98">
        <f t="shared" si="3"/>
        <v>0.31666903050785206</v>
      </c>
    </row>
    <row r="36" spans="1:6" ht="18" customHeight="1" x14ac:dyDescent="0.25">
      <c r="A36" s="99">
        <v>10</v>
      </c>
      <c r="B36" s="100" t="s">
        <v>121</v>
      </c>
      <c r="C36" s="97">
        <v>0</v>
      </c>
      <c r="D36" s="97">
        <v>0</v>
      </c>
      <c r="E36" s="97">
        <f t="shared" si="2"/>
        <v>0</v>
      </c>
      <c r="F36" s="98">
        <f t="shared" si="3"/>
        <v>0</v>
      </c>
    </row>
    <row r="37" spans="1:6" ht="18" customHeight="1" x14ac:dyDescent="0.25">
      <c r="A37" s="99">
        <v>11</v>
      </c>
      <c r="B37" s="100" t="s">
        <v>122</v>
      </c>
      <c r="C37" s="97">
        <v>1132327</v>
      </c>
      <c r="D37" s="97">
        <v>1124628</v>
      </c>
      <c r="E37" s="97">
        <f t="shared" si="2"/>
        <v>-7699</v>
      </c>
      <c r="F37" s="98">
        <f t="shared" si="3"/>
        <v>-6.7992726482720978E-3</v>
      </c>
    </row>
    <row r="38" spans="1:6" ht="18" customHeight="1" x14ac:dyDescent="0.25">
      <c r="A38" s="101"/>
      <c r="B38" s="102" t="s">
        <v>126</v>
      </c>
      <c r="C38" s="103">
        <f>SUM(C27:C37)</f>
        <v>568826659</v>
      </c>
      <c r="D38" s="103">
        <f>SUM(D27:D37)</f>
        <v>633077275</v>
      </c>
      <c r="E38" s="103">
        <f t="shared" si="2"/>
        <v>64250616</v>
      </c>
      <c r="F38" s="104">
        <f t="shared" si="3"/>
        <v>0.11295289168224446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447697156</v>
      </c>
      <c r="D41" s="103">
        <f t="shared" si="4"/>
        <v>454286041</v>
      </c>
      <c r="E41" s="107">
        <f t="shared" ref="E41:E52" si="5">D41-C41</f>
        <v>6588885</v>
      </c>
      <c r="F41" s="108">
        <f t="shared" ref="F41:F52" si="6">IF(C41=0,0,E41/C41)</f>
        <v>1.4717281340067303E-2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42259457</v>
      </c>
      <c r="D42" s="103">
        <f t="shared" si="4"/>
        <v>54450757</v>
      </c>
      <c r="E42" s="107">
        <f t="shared" si="5"/>
        <v>12191300</v>
      </c>
      <c r="F42" s="108">
        <f t="shared" si="6"/>
        <v>0.28848690601963956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72944602</v>
      </c>
      <c r="D43" s="103">
        <f t="shared" si="4"/>
        <v>129677720</v>
      </c>
      <c r="E43" s="107">
        <f t="shared" si="5"/>
        <v>56733118</v>
      </c>
      <c r="F43" s="108">
        <f t="shared" si="6"/>
        <v>0.77775622108404951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53007475</v>
      </c>
      <c r="D44" s="103">
        <f t="shared" si="4"/>
        <v>14195987</v>
      </c>
      <c r="E44" s="107">
        <f t="shared" si="5"/>
        <v>-38811488</v>
      </c>
      <c r="F44" s="108">
        <f t="shared" si="6"/>
        <v>-0.73218896014194224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1329129</v>
      </c>
      <c r="D45" s="103">
        <f t="shared" si="4"/>
        <v>1482484</v>
      </c>
      <c r="E45" s="107">
        <f t="shared" si="5"/>
        <v>153355</v>
      </c>
      <c r="F45" s="108">
        <f t="shared" si="6"/>
        <v>0.11538007221270472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233776326</v>
      </c>
      <c r="D46" s="103">
        <f t="shared" si="4"/>
        <v>234586501</v>
      </c>
      <c r="E46" s="107">
        <f t="shared" si="5"/>
        <v>810175</v>
      </c>
      <c r="F46" s="108">
        <f t="shared" si="6"/>
        <v>3.4655989931161807E-3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223872606</v>
      </c>
      <c r="D47" s="103">
        <f t="shared" si="4"/>
        <v>241259013</v>
      </c>
      <c r="E47" s="107">
        <f t="shared" si="5"/>
        <v>17386407</v>
      </c>
      <c r="F47" s="108">
        <f t="shared" si="6"/>
        <v>7.7662056607318897E-2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7212510</v>
      </c>
      <c r="D48" s="103">
        <f t="shared" si="4"/>
        <v>8667641</v>
      </c>
      <c r="E48" s="107">
        <f t="shared" si="5"/>
        <v>1455131</v>
      </c>
      <c r="F48" s="108">
        <f t="shared" si="6"/>
        <v>0.20175098544057479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28349076</v>
      </c>
      <c r="D49" s="103">
        <f t="shared" si="4"/>
        <v>36547912</v>
      </c>
      <c r="E49" s="107">
        <f t="shared" si="5"/>
        <v>8198836</v>
      </c>
      <c r="F49" s="108">
        <f t="shared" si="6"/>
        <v>0.28920999047729107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0</v>
      </c>
      <c r="D50" s="103">
        <f t="shared" si="4"/>
        <v>0</v>
      </c>
      <c r="E50" s="107">
        <f t="shared" si="5"/>
        <v>0</v>
      </c>
      <c r="F50" s="108">
        <f t="shared" si="6"/>
        <v>0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2704752</v>
      </c>
      <c r="D51" s="103">
        <f t="shared" si="4"/>
        <v>1924004</v>
      </c>
      <c r="E51" s="107">
        <f t="shared" si="5"/>
        <v>-780748</v>
      </c>
      <c r="F51" s="108">
        <f t="shared" si="6"/>
        <v>-0.28865788804297032</v>
      </c>
    </row>
    <row r="52" spans="1:6" ht="18.75" customHeight="1" thickBot="1" x14ac:dyDescent="0.3">
      <c r="A52" s="109"/>
      <c r="B52" s="110" t="s">
        <v>128</v>
      </c>
      <c r="C52" s="111">
        <f>SUM(C41:C51)</f>
        <v>1113153089</v>
      </c>
      <c r="D52" s="112">
        <f>SUM(D41:D51)</f>
        <v>1177078060</v>
      </c>
      <c r="E52" s="111">
        <f t="shared" si="5"/>
        <v>63924971</v>
      </c>
      <c r="F52" s="113">
        <f t="shared" si="6"/>
        <v>5.7426935820145762E-2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91658965</v>
      </c>
      <c r="D57" s="97">
        <v>86964011</v>
      </c>
      <c r="E57" s="97">
        <f t="shared" ref="E57:E68" si="7">D57-C57</f>
        <v>-4694954</v>
      </c>
      <c r="F57" s="98">
        <f t="shared" ref="F57:F68" si="8">IF(C57=0,0,E57/C57)</f>
        <v>-5.1221983577929335E-2</v>
      </c>
    </row>
    <row r="58" spans="1:6" ht="18" customHeight="1" x14ac:dyDescent="0.25">
      <c r="A58" s="99">
        <v>2</v>
      </c>
      <c r="B58" s="100" t="s">
        <v>113</v>
      </c>
      <c r="C58" s="97">
        <v>7290698</v>
      </c>
      <c r="D58" s="97">
        <v>9284752</v>
      </c>
      <c r="E58" s="97">
        <f t="shared" si="7"/>
        <v>1994054</v>
      </c>
      <c r="F58" s="98">
        <f t="shared" si="8"/>
        <v>0.27350659703638802</v>
      </c>
    </row>
    <row r="59" spans="1:6" ht="18" customHeight="1" x14ac:dyDescent="0.25">
      <c r="A59" s="99">
        <v>3</v>
      </c>
      <c r="B59" s="100" t="s">
        <v>114</v>
      </c>
      <c r="C59" s="97">
        <v>9986029</v>
      </c>
      <c r="D59" s="97">
        <v>17439366</v>
      </c>
      <c r="E59" s="97">
        <f t="shared" si="7"/>
        <v>7453337</v>
      </c>
      <c r="F59" s="98">
        <f t="shared" si="8"/>
        <v>0.74637646255583678</v>
      </c>
    </row>
    <row r="60" spans="1:6" ht="18" customHeight="1" x14ac:dyDescent="0.25">
      <c r="A60" s="99">
        <v>4</v>
      </c>
      <c r="B60" s="100" t="s">
        <v>115</v>
      </c>
      <c r="C60" s="97">
        <v>4465320</v>
      </c>
      <c r="D60" s="97">
        <v>684900</v>
      </c>
      <c r="E60" s="97">
        <f t="shared" si="7"/>
        <v>-3780420</v>
      </c>
      <c r="F60" s="98">
        <f t="shared" si="8"/>
        <v>-0.84661793555669018</v>
      </c>
    </row>
    <row r="61" spans="1:6" ht="18" customHeight="1" x14ac:dyDescent="0.25">
      <c r="A61" s="99">
        <v>5</v>
      </c>
      <c r="B61" s="100" t="s">
        <v>116</v>
      </c>
      <c r="C61" s="97">
        <v>199476</v>
      </c>
      <c r="D61" s="97">
        <v>158895</v>
      </c>
      <c r="E61" s="97">
        <f t="shared" si="7"/>
        <v>-40581</v>
      </c>
      <c r="F61" s="98">
        <f t="shared" si="8"/>
        <v>-0.20343800757985922</v>
      </c>
    </row>
    <row r="62" spans="1:6" ht="18" customHeight="1" x14ac:dyDescent="0.25">
      <c r="A62" s="99">
        <v>6</v>
      </c>
      <c r="B62" s="100" t="s">
        <v>117</v>
      </c>
      <c r="C62" s="97">
        <v>55263947</v>
      </c>
      <c r="D62" s="97">
        <v>47902443</v>
      </c>
      <c r="E62" s="97">
        <f t="shared" si="7"/>
        <v>-7361504</v>
      </c>
      <c r="F62" s="98">
        <f t="shared" si="8"/>
        <v>-0.13320626556043852</v>
      </c>
    </row>
    <row r="63" spans="1:6" ht="18" customHeight="1" x14ac:dyDescent="0.25">
      <c r="A63" s="99">
        <v>7</v>
      </c>
      <c r="B63" s="100" t="s">
        <v>118</v>
      </c>
      <c r="C63" s="97">
        <v>54551869</v>
      </c>
      <c r="D63" s="97">
        <v>56299653</v>
      </c>
      <c r="E63" s="97">
        <f t="shared" si="7"/>
        <v>1747784</v>
      </c>
      <c r="F63" s="98">
        <f t="shared" si="8"/>
        <v>3.2038938940845453E-2</v>
      </c>
    </row>
    <row r="64" spans="1:6" ht="18" customHeight="1" x14ac:dyDescent="0.25">
      <c r="A64" s="99">
        <v>8</v>
      </c>
      <c r="B64" s="100" t="s">
        <v>119</v>
      </c>
      <c r="C64" s="97">
        <v>2183782</v>
      </c>
      <c r="D64" s="97">
        <v>2521139</v>
      </c>
      <c r="E64" s="97">
        <f t="shared" si="7"/>
        <v>337357</v>
      </c>
      <c r="F64" s="98">
        <f t="shared" si="8"/>
        <v>0.15448291084000143</v>
      </c>
    </row>
    <row r="65" spans="1:6" ht="18" customHeight="1" x14ac:dyDescent="0.25">
      <c r="A65" s="99">
        <v>9</v>
      </c>
      <c r="B65" s="100" t="s">
        <v>120</v>
      </c>
      <c r="C65" s="97">
        <v>613179</v>
      </c>
      <c r="D65" s="97">
        <v>1343992</v>
      </c>
      <c r="E65" s="97">
        <f t="shared" si="7"/>
        <v>730813</v>
      </c>
      <c r="F65" s="98">
        <f t="shared" si="8"/>
        <v>1.191842838714307</v>
      </c>
    </row>
    <row r="66" spans="1:6" ht="18" customHeight="1" x14ac:dyDescent="0.25">
      <c r="A66" s="99">
        <v>10</v>
      </c>
      <c r="B66" s="100" t="s">
        <v>121</v>
      </c>
      <c r="C66" s="97">
        <v>0</v>
      </c>
      <c r="D66" s="97">
        <v>0</v>
      </c>
      <c r="E66" s="97">
        <f t="shared" si="7"/>
        <v>0</v>
      </c>
      <c r="F66" s="98">
        <f t="shared" si="8"/>
        <v>0</v>
      </c>
    </row>
    <row r="67" spans="1:6" ht="18" customHeight="1" x14ac:dyDescent="0.25">
      <c r="A67" s="99">
        <v>11</v>
      </c>
      <c r="B67" s="100" t="s">
        <v>122</v>
      </c>
      <c r="C67" s="97">
        <v>286024</v>
      </c>
      <c r="D67" s="97">
        <v>230040</v>
      </c>
      <c r="E67" s="97">
        <f t="shared" si="7"/>
        <v>-55984</v>
      </c>
      <c r="F67" s="98">
        <f t="shared" si="8"/>
        <v>-0.19573182669985736</v>
      </c>
    </row>
    <row r="68" spans="1:6" ht="18" customHeight="1" x14ac:dyDescent="0.25">
      <c r="A68" s="101"/>
      <c r="B68" s="102" t="s">
        <v>131</v>
      </c>
      <c r="C68" s="103">
        <f>SUM(C57:C67)</f>
        <v>226499289</v>
      </c>
      <c r="D68" s="103">
        <f>SUM(D57:D67)</f>
        <v>222829191</v>
      </c>
      <c r="E68" s="103">
        <f t="shared" si="7"/>
        <v>-3670098</v>
      </c>
      <c r="F68" s="104">
        <f t="shared" si="8"/>
        <v>-1.6203574043007259E-2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61372658</v>
      </c>
      <c r="D70" s="97">
        <v>66601733</v>
      </c>
      <c r="E70" s="97">
        <f t="shared" ref="E70:E81" si="9">D70-C70</f>
        <v>5229075</v>
      </c>
      <c r="F70" s="98">
        <f t="shared" ref="F70:F81" si="10">IF(C70=0,0,E70/C70)</f>
        <v>8.5202029216332784E-2</v>
      </c>
    </row>
    <row r="71" spans="1:6" ht="18" customHeight="1" x14ac:dyDescent="0.25">
      <c r="A71" s="99">
        <v>2</v>
      </c>
      <c r="B71" s="100" t="s">
        <v>113</v>
      </c>
      <c r="C71" s="97">
        <v>5701485</v>
      </c>
      <c r="D71" s="97">
        <v>7783782</v>
      </c>
      <c r="E71" s="97">
        <f t="shared" si="9"/>
        <v>2082297</v>
      </c>
      <c r="F71" s="98">
        <f t="shared" si="10"/>
        <v>0.36522011370721841</v>
      </c>
    </row>
    <row r="72" spans="1:6" ht="18" customHeight="1" x14ac:dyDescent="0.25">
      <c r="A72" s="99">
        <v>3</v>
      </c>
      <c r="B72" s="100" t="s">
        <v>114</v>
      </c>
      <c r="C72" s="97">
        <v>7534470</v>
      </c>
      <c r="D72" s="97">
        <v>16105372</v>
      </c>
      <c r="E72" s="97">
        <f t="shared" si="9"/>
        <v>8570902</v>
      </c>
      <c r="F72" s="98">
        <f t="shared" si="10"/>
        <v>1.1375587134861509</v>
      </c>
    </row>
    <row r="73" spans="1:6" ht="18" customHeight="1" x14ac:dyDescent="0.25">
      <c r="A73" s="99">
        <v>4</v>
      </c>
      <c r="B73" s="100" t="s">
        <v>115</v>
      </c>
      <c r="C73" s="97">
        <v>8641406</v>
      </c>
      <c r="D73" s="97">
        <v>1135195</v>
      </c>
      <c r="E73" s="97">
        <f t="shared" si="9"/>
        <v>-7506211</v>
      </c>
      <c r="F73" s="98">
        <f t="shared" si="10"/>
        <v>-0.86863306735038259</v>
      </c>
    </row>
    <row r="74" spans="1:6" ht="18" customHeight="1" x14ac:dyDescent="0.25">
      <c r="A74" s="99">
        <v>5</v>
      </c>
      <c r="B74" s="100" t="s">
        <v>116</v>
      </c>
      <c r="C74" s="97">
        <v>162850</v>
      </c>
      <c r="D74" s="97">
        <v>207161</v>
      </c>
      <c r="E74" s="97">
        <f t="shared" si="9"/>
        <v>44311</v>
      </c>
      <c r="F74" s="98">
        <f t="shared" si="10"/>
        <v>0.2720970217992017</v>
      </c>
    </row>
    <row r="75" spans="1:6" ht="18" customHeight="1" x14ac:dyDescent="0.25">
      <c r="A75" s="99">
        <v>6</v>
      </c>
      <c r="B75" s="100" t="s">
        <v>117</v>
      </c>
      <c r="C75" s="97">
        <v>88667757</v>
      </c>
      <c r="D75" s="97">
        <v>92848271</v>
      </c>
      <c r="E75" s="97">
        <f t="shared" si="9"/>
        <v>4180514</v>
      </c>
      <c r="F75" s="98">
        <f t="shared" si="10"/>
        <v>4.7148074355822488E-2</v>
      </c>
    </row>
    <row r="76" spans="1:6" ht="18" customHeight="1" x14ac:dyDescent="0.25">
      <c r="A76" s="99">
        <v>7</v>
      </c>
      <c r="B76" s="100" t="s">
        <v>118</v>
      </c>
      <c r="C76" s="97">
        <v>77369210</v>
      </c>
      <c r="D76" s="97">
        <v>89591228</v>
      </c>
      <c r="E76" s="97">
        <f t="shared" si="9"/>
        <v>12222018</v>
      </c>
      <c r="F76" s="98">
        <f t="shared" si="10"/>
        <v>0.15797005035982661</v>
      </c>
    </row>
    <row r="77" spans="1:6" ht="18" customHeight="1" x14ac:dyDescent="0.25">
      <c r="A77" s="99">
        <v>8</v>
      </c>
      <c r="B77" s="100" t="s">
        <v>119</v>
      </c>
      <c r="C77" s="97">
        <v>2778137</v>
      </c>
      <c r="D77" s="97">
        <v>3441075</v>
      </c>
      <c r="E77" s="97">
        <f t="shared" si="9"/>
        <v>662938</v>
      </c>
      <c r="F77" s="98">
        <f t="shared" si="10"/>
        <v>0.23862682077953679</v>
      </c>
    </row>
    <row r="78" spans="1:6" ht="18" customHeight="1" x14ac:dyDescent="0.25">
      <c r="A78" s="99">
        <v>9</v>
      </c>
      <c r="B78" s="100" t="s">
        <v>120</v>
      </c>
      <c r="C78" s="97">
        <v>2598031</v>
      </c>
      <c r="D78" s="97">
        <v>6392663</v>
      </c>
      <c r="E78" s="97">
        <f t="shared" si="9"/>
        <v>3794632</v>
      </c>
      <c r="F78" s="98">
        <f t="shared" si="10"/>
        <v>1.4605799545886866</v>
      </c>
    </row>
    <row r="79" spans="1:6" ht="18" customHeight="1" x14ac:dyDescent="0.25">
      <c r="A79" s="99">
        <v>10</v>
      </c>
      <c r="B79" s="100" t="s">
        <v>121</v>
      </c>
      <c r="C79" s="97">
        <v>0</v>
      </c>
      <c r="D79" s="97">
        <v>0</v>
      </c>
      <c r="E79" s="97">
        <f t="shared" si="9"/>
        <v>0</v>
      </c>
      <c r="F79" s="98">
        <f t="shared" si="10"/>
        <v>0</v>
      </c>
    </row>
    <row r="80" spans="1:6" ht="18" customHeight="1" x14ac:dyDescent="0.25">
      <c r="A80" s="99">
        <v>11</v>
      </c>
      <c r="B80" s="100" t="s">
        <v>122</v>
      </c>
      <c r="C80" s="97">
        <v>284556</v>
      </c>
      <c r="D80" s="97">
        <v>295665</v>
      </c>
      <c r="E80" s="97">
        <f t="shared" si="9"/>
        <v>11109</v>
      </c>
      <c r="F80" s="98">
        <f t="shared" si="10"/>
        <v>3.903976721629486E-2</v>
      </c>
    </row>
    <row r="81" spans="1:6" ht="18" customHeight="1" x14ac:dyDescent="0.25">
      <c r="A81" s="101"/>
      <c r="B81" s="102" t="s">
        <v>133</v>
      </c>
      <c r="C81" s="103">
        <f>SUM(C70:C80)</f>
        <v>255110560</v>
      </c>
      <c r="D81" s="103">
        <f>SUM(D70:D80)</f>
        <v>284402145</v>
      </c>
      <c r="E81" s="103">
        <f t="shared" si="9"/>
        <v>29291585</v>
      </c>
      <c r="F81" s="104">
        <f t="shared" si="10"/>
        <v>0.11481917879056046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153031623</v>
      </c>
      <c r="D84" s="103">
        <f t="shared" si="11"/>
        <v>153565744</v>
      </c>
      <c r="E84" s="103">
        <f t="shared" ref="E84:E95" si="12">D84-C84</f>
        <v>534121</v>
      </c>
      <c r="F84" s="104">
        <f t="shared" ref="F84:F95" si="13">IF(C84=0,0,E84/C84)</f>
        <v>3.4902655381234505E-3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12992183</v>
      </c>
      <c r="D85" s="103">
        <f t="shared" si="11"/>
        <v>17068534</v>
      </c>
      <c r="E85" s="103">
        <f t="shared" si="12"/>
        <v>4076351</v>
      </c>
      <c r="F85" s="104">
        <f t="shared" si="13"/>
        <v>0.31375412430690053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17520499</v>
      </c>
      <c r="D86" s="103">
        <f t="shared" si="11"/>
        <v>33544738</v>
      </c>
      <c r="E86" s="103">
        <f t="shared" si="12"/>
        <v>16024239</v>
      </c>
      <c r="F86" s="104">
        <f t="shared" si="13"/>
        <v>0.91459946431891015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13106726</v>
      </c>
      <c r="D87" s="103">
        <f t="shared" si="11"/>
        <v>1820095</v>
      </c>
      <c r="E87" s="103">
        <f t="shared" si="12"/>
        <v>-11286631</v>
      </c>
      <c r="F87" s="104">
        <f t="shared" si="13"/>
        <v>-0.86113274970423581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362326</v>
      </c>
      <c r="D88" s="103">
        <f t="shared" si="11"/>
        <v>366056</v>
      </c>
      <c r="E88" s="103">
        <f t="shared" si="12"/>
        <v>3730</v>
      </c>
      <c r="F88" s="104">
        <f t="shared" si="13"/>
        <v>1.0294596578771603E-2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143931704</v>
      </c>
      <c r="D89" s="103">
        <f t="shared" si="11"/>
        <v>140750714</v>
      </c>
      <c r="E89" s="103">
        <f t="shared" si="12"/>
        <v>-3180990</v>
      </c>
      <c r="F89" s="104">
        <f t="shared" si="13"/>
        <v>-2.2100690199568541E-2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131921079</v>
      </c>
      <c r="D90" s="103">
        <f t="shared" si="11"/>
        <v>145890881</v>
      </c>
      <c r="E90" s="103">
        <f t="shared" si="12"/>
        <v>13969802</v>
      </c>
      <c r="F90" s="104">
        <f t="shared" si="13"/>
        <v>0.10589514659745923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4961919</v>
      </c>
      <c r="D91" s="103">
        <f t="shared" si="11"/>
        <v>5962214</v>
      </c>
      <c r="E91" s="103">
        <f t="shared" si="12"/>
        <v>1000295</v>
      </c>
      <c r="F91" s="104">
        <f t="shared" si="13"/>
        <v>0.20159438314087755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3211210</v>
      </c>
      <c r="D92" s="103">
        <f t="shared" si="11"/>
        <v>7736655</v>
      </c>
      <c r="E92" s="103">
        <f t="shared" si="12"/>
        <v>4525445</v>
      </c>
      <c r="F92" s="104">
        <f t="shared" si="13"/>
        <v>1.4092647319857623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0</v>
      </c>
      <c r="D93" s="103">
        <f t="shared" si="11"/>
        <v>0</v>
      </c>
      <c r="E93" s="103">
        <f t="shared" si="12"/>
        <v>0</v>
      </c>
      <c r="F93" s="104">
        <f t="shared" si="13"/>
        <v>0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570580</v>
      </c>
      <c r="D94" s="103">
        <f t="shared" si="11"/>
        <v>525705</v>
      </c>
      <c r="E94" s="103">
        <f t="shared" si="12"/>
        <v>-44875</v>
      </c>
      <c r="F94" s="104">
        <f t="shared" si="13"/>
        <v>-7.8648042342879171E-2</v>
      </c>
    </row>
    <row r="95" spans="1:6" ht="18.75" customHeight="1" thickBot="1" x14ac:dyDescent="0.3">
      <c r="A95" s="115"/>
      <c r="B95" s="116" t="s">
        <v>134</v>
      </c>
      <c r="C95" s="112">
        <f>SUM(C84:C94)</f>
        <v>481609849</v>
      </c>
      <c r="D95" s="112">
        <f>SUM(D84:D94)</f>
        <v>507231336</v>
      </c>
      <c r="E95" s="112">
        <f t="shared" si="12"/>
        <v>25621487</v>
      </c>
      <c r="F95" s="113">
        <f t="shared" si="13"/>
        <v>5.3199674078924411E-2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8759</v>
      </c>
      <c r="D100" s="117">
        <v>7876</v>
      </c>
      <c r="E100" s="117">
        <f t="shared" ref="E100:E111" si="14">D100-C100</f>
        <v>-883</v>
      </c>
      <c r="F100" s="98">
        <f t="shared" ref="F100:F111" si="15">IF(C100=0,0,E100/C100)</f>
        <v>-0.1008105948167599</v>
      </c>
    </row>
    <row r="101" spans="1:6" ht="18" customHeight="1" x14ac:dyDescent="0.25">
      <c r="A101" s="99">
        <v>2</v>
      </c>
      <c r="B101" s="100" t="s">
        <v>113</v>
      </c>
      <c r="C101" s="117">
        <v>736</v>
      </c>
      <c r="D101" s="117">
        <v>860</v>
      </c>
      <c r="E101" s="117">
        <f t="shared" si="14"/>
        <v>124</v>
      </c>
      <c r="F101" s="98">
        <f t="shared" si="15"/>
        <v>0.16847826086956522</v>
      </c>
    </row>
    <row r="102" spans="1:6" ht="18" customHeight="1" x14ac:dyDescent="0.25">
      <c r="A102" s="99">
        <v>3</v>
      </c>
      <c r="B102" s="100" t="s">
        <v>114</v>
      </c>
      <c r="C102" s="117">
        <v>1907</v>
      </c>
      <c r="D102" s="117">
        <v>3051</v>
      </c>
      <c r="E102" s="117">
        <f t="shared" si="14"/>
        <v>1144</v>
      </c>
      <c r="F102" s="98">
        <f t="shared" si="15"/>
        <v>0.59989512323020455</v>
      </c>
    </row>
    <row r="103" spans="1:6" ht="18" customHeight="1" x14ac:dyDescent="0.25">
      <c r="A103" s="99">
        <v>4</v>
      </c>
      <c r="B103" s="100" t="s">
        <v>115</v>
      </c>
      <c r="C103" s="117">
        <v>1162</v>
      </c>
      <c r="D103" s="117">
        <v>275</v>
      </c>
      <c r="E103" s="117">
        <f t="shared" si="14"/>
        <v>-887</v>
      </c>
      <c r="F103" s="98">
        <f t="shared" si="15"/>
        <v>-0.76333907056798622</v>
      </c>
    </row>
    <row r="104" spans="1:6" ht="18" customHeight="1" x14ac:dyDescent="0.25">
      <c r="A104" s="99">
        <v>5</v>
      </c>
      <c r="B104" s="100" t="s">
        <v>116</v>
      </c>
      <c r="C104" s="117">
        <v>34</v>
      </c>
      <c r="D104" s="117">
        <v>34</v>
      </c>
      <c r="E104" s="117">
        <f t="shared" si="14"/>
        <v>0</v>
      </c>
      <c r="F104" s="98">
        <f t="shared" si="15"/>
        <v>0</v>
      </c>
    </row>
    <row r="105" spans="1:6" ht="18" customHeight="1" x14ac:dyDescent="0.25">
      <c r="A105" s="99">
        <v>6</v>
      </c>
      <c r="B105" s="100" t="s">
        <v>117</v>
      </c>
      <c r="C105" s="117">
        <v>3829</v>
      </c>
      <c r="D105" s="117">
        <v>3144</v>
      </c>
      <c r="E105" s="117">
        <f t="shared" si="14"/>
        <v>-685</v>
      </c>
      <c r="F105" s="98">
        <f t="shared" si="15"/>
        <v>-0.17889788456516062</v>
      </c>
    </row>
    <row r="106" spans="1:6" ht="18" customHeight="1" x14ac:dyDescent="0.25">
      <c r="A106" s="99">
        <v>7</v>
      </c>
      <c r="B106" s="100" t="s">
        <v>118</v>
      </c>
      <c r="C106" s="117">
        <v>3908</v>
      </c>
      <c r="D106" s="117">
        <v>4088</v>
      </c>
      <c r="E106" s="117">
        <f t="shared" si="14"/>
        <v>180</v>
      </c>
      <c r="F106" s="98">
        <f t="shared" si="15"/>
        <v>4.6059365404298877E-2</v>
      </c>
    </row>
    <row r="107" spans="1:6" ht="18" customHeight="1" x14ac:dyDescent="0.25">
      <c r="A107" s="99">
        <v>8</v>
      </c>
      <c r="B107" s="100" t="s">
        <v>119</v>
      </c>
      <c r="C107" s="117">
        <v>83</v>
      </c>
      <c r="D107" s="117">
        <v>92</v>
      </c>
      <c r="E107" s="117">
        <f t="shared" si="14"/>
        <v>9</v>
      </c>
      <c r="F107" s="98">
        <f t="shared" si="15"/>
        <v>0.10843373493975904</v>
      </c>
    </row>
    <row r="108" spans="1:6" ht="18" customHeight="1" x14ac:dyDescent="0.25">
      <c r="A108" s="99">
        <v>9</v>
      </c>
      <c r="B108" s="100" t="s">
        <v>120</v>
      </c>
      <c r="C108" s="117">
        <v>248</v>
      </c>
      <c r="D108" s="117">
        <v>197</v>
      </c>
      <c r="E108" s="117">
        <f t="shared" si="14"/>
        <v>-51</v>
      </c>
      <c r="F108" s="98">
        <f t="shared" si="15"/>
        <v>-0.20564516129032259</v>
      </c>
    </row>
    <row r="109" spans="1:6" ht="18" customHeight="1" x14ac:dyDescent="0.25">
      <c r="A109" s="99">
        <v>10</v>
      </c>
      <c r="B109" s="100" t="s">
        <v>121</v>
      </c>
      <c r="C109" s="117">
        <v>0</v>
      </c>
      <c r="D109" s="117">
        <v>0</v>
      </c>
      <c r="E109" s="117">
        <f t="shared" si="14"/>
        <v>0</v>
      </c>
      <c r="F109" s="98">
        <f t="shared" si="15"/>
        <v>0</v>
      </c>
    </row>
    <row r="110" spans="1:6" ht="18" customHeight="1" x14ac:dyDescent="0.25">
      <c r="A110" s="99">
        <v>11</v>
      </c>
      <c r="B110" s="100" t="s">
        <v>122</v>
      </c>
      <c r="C110" s="117">
        <v>97</v>
      </c>
      <c r="D110" s="117">
        <v>51</v>
      </c>
      <c r="E110" s="117">
        <f t="shared" si="14"/>
        <v>-46</v>
      </c>
      <c r="F110" s="98">
        <f t="shared" si="15"/>
        <v>-0.47422680412371132</v>
      </c>
    </row>
    <row r="111" spans="1:6" ht="18" customHeight="1" x14ac:dyDescent="0.25">
      <c r="A111" s="101"/>
      <c r="B111" s="102" t="s">
        <v>138</v>
      </c>
      <c r="C111" s="118">
        <f>SUM(C100:C110)</f>
        <v>20763</v>
      </c>
      <c r="D111" s="118">
        <f>SUM(D100:D110)</f>
        <v>19668</v>
      </c>
      <c r="E111" s="118">
        <f t="shared" si="14"/>
        <v>-1095</v>
      </c>
      <c r="F111" s="104">
        <f t="shared" si="15"/>
        <v>-5.2738043635312815E-2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48752</v>
      </c>
      <c r="D113" s="117">
        <v>44205</v>
      </c>
      <c r="E113" s="117">
        <f t="shared" ref="E113:E124" si="16">D113-C113</f>
        <v>-4547</v>
      </c>
      <c r="F113" s="98">
        <f t="shared" ref="F113:F124" si="17">IF(C113=0,0,E113/C113)</f>
        <v>-9.3267968493600265E-2</v>
      </c>
    </row>
    <row r="114" spans="1:6" ht="18" customHeight="1" x14ac:dyDescent="0.25">
      <c r="A114" s="99">
        <v>2</v>
      </c>
      <c r="B114" s="100" t="s">
        <v>113</v>
      </c>
      <c r="C114" s="117">
        <v>3997</v>
      </c>
      <c r="D114" s="117">
        <v>4389</v>
      </c>
      <c r="E114" s="117">
        <f t="shared" si="16"/>
        <v>392</v>
      </c>
      <c r="F114" s="98">
        <f t="shared" si="17"/>
        <v>9.8073555166374782E-2</v>
      </c>
    </row>
    <row r="115" spans="1:6" ht="18" customHeight="1" x14ac:dyDescent="0.25">
      <c r="A115" s="99">
        <v>3</v>
      </c>
      <c r="B115" s="100" t="s">
        <v>114</v>
      </c>
      <c r="C115" s="117">
        <v>8838</v>
      </c>
      <c r="D115" s="117">
        <v>14079</v>
      </c>
      <c r="E115" s="117">
        <f t="shared" si="16"/>
        <v>5241</v>
      </c>
      <c r="F115" s="98">
        <f t="shared" si="17"/>
        <v>0.59300746775288526</v>
      </c>
    </row>
    <row r="116" spans="1:6" ht="18" customHeight="1" x14ac:dyDescent="0.25">
      <c r="A116" s="99">
        <v>4</v>
      </c>
      <c r="B116" s="100" t="s">
        <v>115</v>
      </c>
      <c r="C116" s="117">
        <v>4051</v>
      </c>
      <c r="D116" s="117">
        <v>1119</v>
      </c>
      <c r="E116" s="117">
        <f t="shared" si="16"/>
        <v>-2932</v>
      </c>
      <c r="F116" s="98">
        <f t="shared" si="17"/>
        <v>-0.72377190817082204</v>
      </c>
    </row>
    <row r="117" spans="1:6" ht="18" customHeight="1" x14ac:dyDescent="0.25">
      <c r="A117" s="99">
        <v>5</v>
      </c>
      <c r="B117" s="100" t="s">
        <v>116</v>
      </c>
      <c r="C117" s="117">
        <v>97</v>
      </c>
      <c r="D117" s="117">
        <v>102</v>
      </c>
      <c r="E117" s="117">
        <f t="shared" si="16"/>
        <v>5</v>
      </c>
      <c r="F117" s="98">
        <f t="shared" si="17"/>
        <v>5.1546391752577317E-2</v>
      </c>
    </row>
    <row r="118" spans="1:6" ht="18" customHeight="1" x14ac:dyDescent="0.25">
      <c r="A118" s="99">
        <v>6</v>
      </c>
      <c r="B118" s="100" t="s">
        <v>117</v>
      </c>
      <c r="C118" s="117">
        <v>14073</v>
      </c>
      <c r="D118" s="117">
        <v>12728</v>
      </c>
      <c r="E118" s="117">
        <f t="shared" si="16"/>
        <v>-1345</v>
      </c>
      <c r="F118" s="98">
        <f t="shared" si="17"/>
        <v>-9.5573083208981738E-2</v>
      </c>
    </row>
    <row r="119" spans="1:6" ht="18" customHeight="1" x14ac:dyDescent="0.25">
      <c r="A119" s="99">
        <v>7</v>
      </c>
      <c r="B119" s="100" t="s">
        <v>118</v>
      </c>
      <c r="C119" s="117">
        <v>15104</v>
      </c>
      <c r="D119" s="117">
        <v>14068</v>
      </c>
      <c r="E119" s="117">
        <f t="shared" si="16"/>
        <v>-1036</v>
      </c>
      <c r="F119" s="98">
        <f t="shared" si="17"/>
        <v>-6.8591101694915252E-2</v>
      </c>
    </row>
    <row r="120" spans="1:6" ht="18" customHeight="1" x14ac:dyDescent="0.25">
      <c r="A120" s="99">
        <v>8</v>
      </c>
      <c r="B120" s="100" t="s">
        <v>119</v>
      </c>
      <c r="C120" s="117">
        <v>254</v>
      </c>
      <c r="D120" s="117">
        <v>317</v>
      </c>
      <c r="E120" s="117">
        <f t="shared" si="16"/>
        <v>63</v>
      </c>
      <c r="F120" s="98">
        <f t="shared" si="17"/>
        <v>0.24803149606299213</v>
      </c>
    </row>
    <row r="121" spans="1:6" ht="18" customHeight="1" x14ac:dyDescent="0.25">
      <c r="A121" s="99">
        <v>9</v>
      </c>
      <c r="B121" s="100" t="s">
        <v>120</v>
      </c>
      <c r="C121" s="117">
        <v>960</v>
      </c>
      <c r="D121" s="117">
        <v>751</v>
      </c>
      <c r="E121" s="117">
        <f t="shared" si="16"/>
        <v>-209</v>
      </c>
      <c r="F121" s="98">
        <f t="shared" si="17"/>
        <v>-0.21770833333333334</v>
      </c>
    </row>
    <row r="122" spans="1:6" ht="18" customHeight="1" x14ac:dyDescent="0.25">
      <c r="A122" s="99">
        <v>10</v>
      </c>
      <c r="B122" s="100" t="s">
        <v>121</v>
      </c>
      <c r="C122" s="117">
        <v>0</v>
      </c>
      <c r="D122" s="117">
        <v>0</v>
      </c>
      <c r="E122" s="117">
        <f t="shared" si="16"/>
        <v>0</v>
      </c>
      <c r="F122" s="98">
        <f t="shared" si="17"/>
        <v>0</v>
      </c>
    </row>
    <row r="123" spans="1:6" ht="18" customHeight="1" x14ac:dyDescent="0.25">
      <c r="A123" s="99">
        <v>11</v>
      </c>
      <c r="B123" s="100" t="s">
        <v>122</v>
      </c>
      <c r="C123" s="117">
        <v>537</v>
      </c>
      <c r="D123" s="117">
        <v>252</v>
      </c>
      <c r="E123" s="117">
        <f t="shared" si="16"/>
        <v>-285</v>
      </c>
      <c r="F123" s="98">
        <f t="shared" si="17"/>
        <v>-0.53072625698324027</v>
      </c>
    </row>
    <row r="124" spans="1:6" ht="18" customHeight="1" x14ac:dyDescent="0.25">
      <c r="A124" s="101"/>
      <c r="B124" s="102" t="s">
        <v>140</v>
      </c>
      <c r="C124" s="118">
        <f>SUM(C113:C123)</f>
        <v>96663</v>
      </c>
      <c r="D124" s="118">
        <f>SUM(D113:D123)</f>
        <v>92010</v>
      </c>
      <c r="E124" s="118">
        <f t="shared" si="16"/>
        <v>-4653</v>
      </c>
      <c r="F124" s="104">
        <f t="shared" si="17"/>
        <v>-4.8136308618602776E-2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51641</v>
      </c>
      <c r="D126" s="117">
        <v>53584</v>
      </c>
      <c r="E126" s="117">
        <f t="shared" ref="E126:E137" si="18">D126-C126</f>
        <v>1943</v>
      </c>
      <c r="F126" s="98">
        <f t="shared" ref="F126:F137" si="19">IF(C126=0,0,E126/C126)</f>
        <v>3.7625142812881235E-2</v>
      </c>
    </row>
    <row r="127" spans="1:6" ht="18" customHeight="1" x14ac:dyDescent="0.25">
      <c r="A127" s="99">
        <v>2</v>
      </c>
      <c r="B127" s="100" t="s">
        <v>113</v>
      </c>
      <c r="C127" s="117">
        <v>5060</v>
      </c>
      <c r="D127" s="117">
        <v>6695</v>
      </c>
      <c r="E127" s="117">
        <f t="shared" si="18"/>
        <v>1635</v>
      </c>
      <c r="F127" s="98">
        <f t="shared" si="19"/>
        <v>0.3231225296442688</v>
      </c>
    </row>
    <row r="128" spans="1:6" ht="18" customHeight="1" x14ac:dyDescent="0.25">
      <c r="A128" s="99">
        <v>3</v>
      </c>
      <c r="B128" s="100" t="s">
        <v>114</v>
      </c>
      <c r="C128" s="117">
        <v>11668</v>
      </c>
      <c r="D128" s="117">
        <v>31387</v>
      </c>
      <c r="E128" s="117">
        <f t="shared" si="18"/>
        <v>19719</v>
      </c>
      <c r="F128" s="98">
        <f t="shared" si="19"/>
        <v>1.6900068563592732</v>
      </c>
    </row>
    <row r="129" spans="1:6" ht="18" customHeight="1" x14ac:dyDescent="0.25">
      <c r="A129" s="99">
        <v>4</v>
      </c>
      <c r="B129" s="100" t="s">
        <v>115</v>
      </c>
      <c r="C129" s="117">
        <v>22441</v>
      </c>
      <c r="D129" s="117">
        <v>4820</v>
      </c>
      <c r="E129" s="117">
        <f t="shared" si="18"/>
        <v>-17621</v>
      </c>
      <c r="F129" s="98">
        <f t="shared" si="19"/>
        <v>-0.78521456263089884</v>
      </c>
    </row>
    <row r="130" spans="1:6" ht="18" customHeight="1" x14ac:dyDescent="0.25">
      <c r="A130" s="99">
        <v>5</v>
      </c>
      <c r="B130" s="100" t="s">
        <v>116</v>
      </c>
      <c r="C130" s="117">
        <v>278</v>
      </c>
      <c r="D130" s="117">
        <v>314</v>
      </c>
      <c r="E130" s="117">
        <f t="shared" si="18"/>
        <v>36</v>
      </c>
      <c r="F130" s="98">
        <f t="shared" si="19"/>
        <v>0.12949640287769784</v>
      </c>
    </row>
    <row r="131" spans="1:6" ht="18" customHeight="1" x14ac:dyDescent="0.25">
      <c r="A131" s="99">
        <v>6</v>
      </c>
      <c r="B131" s="100" t="s">
        <v>117</v>
      </c>
      <c r="C131" s="117">
        <v>42989</v>
      </c>
      <c r="D131" s="117">
        <v>42151</v>
      </c>
      <c r="E131" s="117">
        <f t="shared" si="18"/>
        <v>-838</v>
      </c>
      <c r="F131" s="98">
        <f t="shared" si="19"/>
        <v>-1.9493358766196005E-2</v>
      </c>
    </row>
    <row r="132" spans="1:6" ht="18" customHeight="1" x14ac:dyDescent="0.25">
      <c r="A132" s="99">
        <v>7</v>
      </c>
      <c r="B132" s="100" t="s">
        <v>118</v>
      </c>
      <c r="C132" s="117">
        <v>39448</v>
      </c>
      <c r="D132" s="117">
        <v>43469</v>
      </c>
      <c r="E132" s="117">
        <f t="shared" si="18"/>
        <v>4021</v>
      </c>
      <c r="F132" s="98">
        <f t="shared" si="19"/>
        <v>0.10193165686473332</v>
      </c>
    </row>
    <row r="133" spans="1:6" ht="18" customHeight="1" x14ac:dyDescent="0.25">
      <c r="A133" s="99">
        <v>8</v>
      </c>
      <c r="B133" s="100" t="s">
        <v>119</v>
      </c>
      <c r="C133" s="117">
        <v>1525</v>
      </c>
      <c r="D133" s="117">
        <v>1573</v>
      </c>
      <c r="E133" s="117">
        <f t="shared" si="18"/>
        <v>48</v>
      </c>
      <c r="F133" s="98">
        <f t="shared" si="19"/>
        <v>3.1475409836065574E-2</v>
      </c>
    </row>
    <row r="134" spans="1:6" ht="18" customHeight="1" x14ac:dyDescent="0.25">
      <c r="A134" s="99">
        <v>9</v>
      </c>
      <c r="B134" s="100" t="s">
        <v>120</v>
      </c>
      <c r="C134" s="117">
        <v>12584</v>
      </c>
      <c r="D134" s="117">
        <v>14012</v>
      </c>
      <c r="E134" s="117">
        <f t="shared" si="18"/>
        <v>1428</v>
      </c>
      <c r="F134" s="98">
        <f t="shared" si="19"/>
        <v>0.11347743165924984</v>
      </c>
    </row>
    <row r="135" spans="1:6" ht="18" customHeight="1" x14ac:dyDescent="0.25">
      <c r="A135" s="99">
        <v>10</v>
      </c>
      <c r="B135" s="100" t="s">
        <v>121</v>
      </c>
      <c r="C135" s="117">
        <v>0</v>
      </c>
      <c r="D135" s="117">
        <v>0</v>
      </c>
      <c r="E135" s="117">
        <f t="shared" si="18"/>
        <v>0</v>
      </c>
      <c r="F135" s="98">
        <f t="shared" si="19"/>
        <v>0</v>
      </c>
    </row>
    <row r="136" spans="1:6" ht="18" customHeight="1" x14ac:dyDescent="0.25">
      <c r="A136" s="99">
        <v>11</v>
      </c>
      <c r="B136" s="100" t="s">
        <v>122</v>
      </c>
      <c r="C136" s="117">
        <v>681</v>
      </c>
      <c r="D136" s="117">
        <v>606</v>
      </c>
      <c r="E136" s="117">
        <f t="shared" si="18"/>
        <v>-75</v>
      </c>
      <c r="F136" s="98">
        <f t="shared" si="19"/>
        <v>-0.11013215859030837</v>
      </c>
    </row>
    <row r="137" spans="1:6" ht="18" customHeight="1" x14ac:dyDescent="0.25">
      <c r="A137" s="101"/>
      <c r="B137" s="102" t="s">
        <v>143</v>
      </c>
      <c r="C137" s="118">
        <f>SUM(C126:C136)</f>
        <v>188315</v>
      </c>
      <c r="D137" s="118">
        <f>SUM(D126:D136)</f>
        <v>198611</v>
      </c>
      <c r="E137" s="118">
        <f t="shared" si="18"/>
        <v>10296</v>
      </c>
      <c r="F137" s="104">
        <f t="shared" si="19"/>
        <v>5.4674348830417122E-2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18094150</v>
      </c>
      <c r="D142" s="97">
        <v>19482193</v>
      </c>
      <c r="E142" s="97">
        <f t="shared" ref="E142:E153" si="20">D142-C142</f>
        <v>1388043</v>
      </c>
      <c r="F142" s="98">
        <f t="shared" ref="F142:F153" si="21">IF(C142=0,0,E142/C142)</f>
        <v>7.6712252302539766E-2</v>
      </c>
    </row>
    <row r="143" spans="1:6" ht="18" customHeight="1" x14ac:dyDescent="0.25">
      <c r="A143" s="99">
        <v>2</v>
      </c>
      <c r="B143" s="100" t="s">
        <v>113</v>
      </c>
      <c r="C143" s="97">
        <v>1726648</v>
      </c>
      <c r="D143" s="97">
        <v>2151990</v>
      </c>
      <c r="E143" s="97">
        <f t="shared" si="20"/>
        <v>425342</v>
      </c>
      <c r="F143" s="98">
        <f t="shared" si="21"/>
        <v>0.24633972876926855</v>
      </c>
    </row>
    <row r="144" spans="1:6" ht="18" customHeight="1" x14ac:dyDescent="0.25">
      <c r="A144" s="99">
        <v>3</v>
      </c>
      <c r="B144" s="100" t="s">
        <v>114</v>
      </c>
      <c r="C144" s="97">
        <v>10076697</v>
      </c>
      <c r="D144" s="97">
        <v>23017268</v>
      </c>
      <c r="E144" s="97">
        <f t="shared" si="20"/>
        <v>12940571</v>
      </c>
      <c r="F144" s="98">
        <f t="shared" si="21"/>
        <v>1.2842076128715589</v>
      </c>
    </row>
    <row r="145" spans="1:6" ht="18" customHeight="1" x14ac:dyDescent="0.25">
      <c r="A145" s="99">
        <v>4</v>
      </c>
      <c r="B145" s="100" t="s">
        <v>115</v>
      </c>
      <c r="C145" s="97">
        <v>15691850</v>
      </c>
      <c r="D145" s="97">
        <v>4131508</v>
      </c>
      <c r="E145" s="97">
        <f t="shared" si="20"/>
        <v>-11560342</v>
      </c>
      <c r="F145" s="98">
        <f t="shared" si="21"/>
        <v>-0.73670994815780166</v>
      </c>
    </row>
    <row r="146" spans="1:6" ht="18" customHeight="1" x14ac:dyDescent="0.25">
      <c r="A146" s="99">
        <v>5</v>
      </c>
      <c r="B146" s="100" t="s">
        <v>116</v>
      </c>
      <c r="C146" s="97">
        <v>290028</v>
      </c>
      <c r="D146" s="97">
        <v>322117</v>
      </c>
      <c r="E146" s="97">
        <f t="shared" si="20"/>
        <v>32089</v>
      </c>
      <c r="F146" s="98">
        <f t="shared" si="21"/>
        <v>0.11064104155460852</v>
      </c>
    </row>
    <row r="147" spans="1:6" ht="18" customHeight="1" x14ac:dyDescent="0.25">
      <c r="A147" s="99">
        <v>6</v>
      </c>
      <c r="B147" s="100" t="s">
        <v>117</v>
      </c>
      <c r="C147" s="97">
        <v>27027564</v>
      </c>
      <c r="D147" s="97">
        <v>25504326</v>
      </c>
      <c r="E147" s="97">
        <f t="shared" si="20"/>
        <v>-1523238</v>
      </c>
      <c r="F147" s="98">
        <f t="shared" si="21"/>
        <v>-5.6358686265621273E-2</v>
      </c>
    </row>
    <row r="148" spans="1:6" ht="18" customHeight="1" x14ac:dyDescent="0.25">
      <c r="A148" s="99">
        <v>7</v>
      </c>
      <c r="B148" s="100" t="s">
        <v>118</v>
      </c>
      <c r="C148" s="97">
        <v>22069944</v>
      </c>
      <c r="D148" s="97">
        <v>22799084</v>
      </c>
      <c r="E148" s="97">
        <f t="shared" si="20"/>
        <v>729140</v>
      </c>
      <c r="F148" s="98">
        <f t="shared" si="21"/>
        <v>3.3037691441355717E-2</v>
      </c>
    </row>
    <row r="149" spans="1:6" ht="18" customHeight="1" x14ac:dyDescent="0.25">
      <c r="A149" s="99">
        <v>8</v>
      </c>
      <c r="B149" s="100" t="s">
        <v>119</v>
      </c>
      <c r="C149" s="97">
        <v>1964289</v>
      </c>
      <c r="D149" s="97">
        <v>2172979</v>
      </c>
      <c r="E149" s="97">
        <f t="shared" si="20"/>
        <v>208690</v>
      </c>
      <c r="F149" s="98">
        <f t="shared" si="21"/>
        <v>0.10624200410428404</v>
      </c>
    </row>
    <row r="150" spans="1:6" ht="18" customHeight="1" x14ac:dyDescent="0.25">
      <c r="A150" s="99">
        <v>9</v>
      </c>
      <c r="B150" s="100" t="s">
        <v>120</v>
      </c>
      <c r="C150" s="97">
        <v>10701566</v>
      </c>
      <c r="D150" s="97">
        <v>12066037</v>
      </c>
      <c r="E150" s="97">
        <f t="shared" si="20"/>
        <v>1364471</v>
      </c>
      <c r="F150" s="98">
        <f t="shared" si="21"/>
        <v>0.12750199363345513</v>
      </c>
    </row>
    <row r="151" spans="1:6" ht="18" customHeight="1" x14ac:dyDescent="0.25">
      <c r="A151" s="99">
        <v>10</v>
      </c>
      <c r="B151" s="100" t="s">
        <v>121</v>
      </c>
      <c r="C151" s="97">
        <v>0</v>
      </c>
      <c r="D151" s="97">
        <v>0</v>
      </c>
      <c r="E151" s="97">
        <f t="shared" si="20"/>
        <v>0</v>
      </c>
      <c r="F151" s="98">
        <f t="shared" si="21"/>
        <v>0</v>
      </c>
    </row>
    <row r="152" spans="1:6" ht="18" customHeight="1" x14ac:dyDescent="0.25">
      <c r="A152" s="99">
        <v>11</v>
      </c>
      <c r="B152" s="100" t="s">
        <v>122</v>
      </c>
      <c r="C152" s="97">
        <v>224466</v>
      </c>
      <c r="D152" s="97">
        <v>174677</v>
      </c>
      <c r="E152" s="97">
        <f t="shared" si="20"/>
        <v>-49789</v>
      </c>
      <c r="F152" s="98">
        <f t="shared" si="21"/>
        <v>-0.22181087558917609</v>
      </c>
    </row>
    <row r="153" spans="1:6" ht="33.75" customHeight="1" x14ac:dyDescent="0.25">
      <c r="A153" s="101"/>
      <c r="B153" s="102" t="s">
        <v>147</v>
      </c>
      <c r="C153" s="103">
        <f>SUM(C142:C152)</f>
        <v>107867202</v>
      </c>
      <c r="D153" s="103">
        <f>SUM(D142:D152)</f>
        <v>111822179</v>
      </c>
      <c r="E153" s="103">
        <f t="shared" si="20"/>
        <v>3954977</v>
      </c>
      <c r="F153" s="104">
        <f t="shared" si="21"/>
        <v>3.6665241395619032E-2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3175362</v>
      </c>
      <c r="D155" s="97">
        <v>3720817</v>
      </c>
      <c r="E155" s="97">
        <f t="shared" ref="E155:E166" si="22">D155-C155</f>
        <v>545455</v>
      </c>
      <c r="F155" s="98">
        <f t="shared" ref="F155:F166" si="23">IF(C155=0,0,E155/C155)</f>
        <v>0.17177726508032784</v>
      </c>
    </row>
    <row r="156" spans="1:6" ht="18" customHeight="1" x14ac:dyDescent="0.25">
      <c r="A156" s="99">
        <v>2</v>
      </c>
      <c r="B156" s="100" t="s">
        <v>113</v>
      </c>
      <c r="C156" s="97">
        <v>385171</v>
      </c>
      <c r="D156" s="97">
        <v>624704</v>
      </c>
      <c r="E156" s="97">
        <f t="shared" si="22"/>
        <v>239533</v>
      </c>
      <c r="F156" s="98">
        <f t="shared" si="23"/>
        <v>0.62188742143100073</v>
      </c>
    </row>
    <row r="157" spans="1:6" ht="18" customHeight="1" x14ac:dyDescent="0.25">
      <c r="A157" s="99">
        <v>3</v>
      </c>
      <c r="B157" s="100" t="s">
        <v>114</v>
      </c>
      <c r="C157" s="97">
        <v>1224281</v>
      </c>
      <c r="D157" s="97">
        <v>3315492</v>
      </c>
      <c r="E157" s="97">
        <f t="shared" si="22"/>
        <v>2091211</v>
      </c>
      <c r="F157" s="98">
        <f t="shared" si="23"/>
        <v>1.7081135785003607</v>
      </c>
    </row>
    <row r="158" spans="1:6" ht="18" customHeight="1" x14ac:dyDescent="0.25">
      <c r="A158" s="99">
        <v>4</v>
      </c>
      <c r="B158" s="100" t="s">
        <v>115</v>
      </c>
      <c r="C158" s="97">
        <v>3029757</v>
      </c>
      <c r="D158" s="97">
        <v>1013449</v>
      </c>
      <c r="E158" s="97">
        <f t="shared" si="22"/>
        <v>-2016308</v>
      </c>
      <c r="F158" s="98">
        <f t="shared" si="23"/>
        <v>-0.66550155672550637</v>
      </c>
    </row>
    <row r="159" spans="1:6" ht="18" customHeight="1" x14ac:dyDescent="0.25">
      <c r="A159" s="99">
        <v>5</v>
      </c>
      <c r="B159" s="100" t="s">
        <v>116</v>
      </c>
      <c r="C159" s="97">
        <v>92026</v>
      </c>
      <c r="D159" s="97">
        <v>105963</v>
      </c>
      <c r="E159" s="97">
        <f t="shared" si="22"/>
        <v>13937</v>
      </c>
      <c r="F159" s="98">
        <f t="shared" si="23"/>
        <v>0.15144633038489122</v>
      </c>
    </row>
    <row r="160" spans="1:6" ht="18" customHeight="1" x14ac:dyDescent="0.25">
      <c r="A160" s="99">
        <v>6</v>
      </c>
      <c r="B160" s="100" t="s">
        <v>117</v>
      </c>
      <c r="C160" s="97">
        <v>16689049</v>
      </c>
      <c r="D160" s="97">
        <v>16457065</v>
      </c>
      <c r="E160" s="97">
        <f t="shared" si="22"/>
        <v>-231984</v>
      </c>
      <c r="F160" s="98">
        <f t="shared" si="23"/>
        <v>-1.3900372633575466E-2</v>
      </c>
    </row>
    <row r="161" spans="1:6" ht="18" customHeight="1" x14ac:dyDescent="0.25">
      <c r="A161" s="99">
        <v>7</v>
      </c>
      <c r="B161" s="100" t="s">
        <v>118</v>
      </c>
      <c r="C161" s="97">
        <v>14413621</v>
      </c>
      <c r="D161" s="97">
        <v>14867571</v>
      </c>
      <c r="E161" s="97">
        <f t="shared" si="22"/>
        <v>453950</v>
      </c>
      <c r="F161" s="98">
        <f t="shared" si="23"/>
        <v>3.1494514806515307E-2</v>
      </c>
    </row>
    <row r="162" spans="1:6" ht="18" customHeight="1" x14ac:dyDescent="0.25">
      <c r="A162" s="99">
        <v>8</v>
      </c>
      <c r="B162" s="100" t="s">
        <v>119</v>
      </c>
      <c r="C162" s="97">
        <v>1311265</v>
      </c>
      <c r="D162" s="97">
        <v>1503097</v>
      </c>
      <c r="E162" s="97">
        <f t="shared" si="22"/>
        <v>191832</v>
      </c>
      <c r="F162" s="98">
        <f t="shared" si="23"/>
        <v>0.1462953712636271</v>
      </c>
    </row>
    <row r="163" spans="1:6" ht="18" customHeight="1" x14ac:dyDescent="0.25">
      <c r="A163" s="99">
        <v>9</v>
      </c>
      <c r="B163" s="100" t="s">
        <v>120</v>
      </c>
      <c r="C163" s="97">
        <v>1518749</v>
      </c>
      <c r="D163" s="97">
        <v>1759626</v>
      </c>
      <c r="E163" s="97">
        <f t="shared" si="22"/>
        <v>240877</v>
      </c>
      <c r="F163" s="98">
        <f t="shared" si="23"/>
        <v>0.15860224434715678</v>
      </c>
    </row>
    <row r="164" spans="1:6" ht="18" customHeight="1" x14ac:dyDescent="0.25">
      <c r="A164" s="99">
        <v>10</v>
      </c>
      <c r="B164" s="100" t="s">
        <v>121</v>
      </c>
      <c r="C164" s="97">
        <v>0</v>
      </c>
      <c r="D164" s="97">
        <v>0</v>
      </c>
      <c r="E164" s="97">
        <f t="shared" si="22"/>
        <v>0</v>
      </c>
      <c r="F164" s="98">
        <f t="shared" si="23"/>
        <v>0</v>
      </c>
    </row>
    <row r="165" spans="1:6" ht="18" customHeight="1" x14ac:dyDescent="0.25">
      <c r="A165" s="99">
        <v>11</v>
      </c>
      <c r="B165" s="100" t="s">
        <v>122</v>
      </c>
      <c r="C165" s="97">
        <v>41382</v>
      </c>
      <c r="D165" s="97">
        <v>19222</v>
      </c>
      <c r="E165" s="97">
        <f t="shared" si="22"/>
        <v>-22160</v>
      </c>
      <c r="F165" s="98">
        <f t="shared" si="23"/>
        <v>-0.53549852592914793</v>
      </c>
    </row>
    <row r="166" spans="1:6" ht="33.75" customHeight="1" x14ac:dyDescent="0.25">
      <c r="A166" s="101"/>
      <c r="B166" s="102" t="s">
        <v>149</v>
      </c>
      <c r="C166" s="103">
        <f>SUM(C155:C165)</f>
        <v>41880663</v>
      </c>
      <c r="D166" s="103">
        <f>SUM(D155:D165)</f>
        <v>43387006</v>
      </c>
      <c r="E166" s="103">
        <f t="shared" si="22"/>
        <v>1506343</v>
      </c>
      <c r="F166" s="104">
        <f t="shared" si="23"/>
        <v>3.5967506054046951E-2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7689</v>
      </c>
      <c r="D168" s="117">
        <v>8051</v>
      </c>
      <c r="E168" s="117">
        <f t="shared" ref="E168:E179" si="24">D168-C168</f>
        <v>362</v>
      </c>
      <c r="F168" s="98">
        <f t="shared" ref="F168:F179" si="25">IF(C168=0,0,E168/C168)</f>
        <v>4.708024450513721E-2</v>
      </c>
    </row>
    <row r="169" spans="1:6" ht="18" customHeight="1" x14ac:dyDescent="0.25">
      <c r="A169" s="99">
        <v>2</v>
      </c>
      <c r="B169" s="100" t="s">
        <v>113</v>
      </c>
      <c r="C169" s="117">
        <v>700</v>
      </c>
      <c r="D169" s="117">
        <v>916</v>
      </c>
      <c r="E169" s="117">
        <f t="shared" si="24"/>
        <v>216</v>
      </c>
      <c r="F169" s="98">
        <f t="shared" si="25"/>
        <v>0.30857142857142855</v>
      </c>
    </row>
    <row r="170" spans="1:6" ht="18" customHeight="1" x14ac:dyDescent="0.25">
      <c r="A170" s="99">
        <v>3</v>
      </c>
      <c r="B170" s="100" t="s">
        <v>114</v>
      </c>
      <c r="C170" s="117">
        <v>5254</v>
      </c>
      <c r="D170" s="117">
        <v>14196</v>
      </c>
      <c r="E170" s="117">
        <f t="shared" si="24"/>
        <v>8942</v>
      </c>
      <c r="F170" s="98">
        <f t="shared" si="25"/>
        <v>1.7019413779977159</v>
      </c>
    </row>
    <row r="171" spans="1:6" ht="18" customHeight="1" x14ac:dyDescent="0.25">
      <c r="A171" s="99">
        <v>4</v>
      </c>
      <c r="B171" s="100" t="s">
        <v>115</v>
      </c>
      <c r="C171" s="117">
        <v>11351</v>
      </c>
      <c r="D171" s="117">
        <v>3002</v>
      </c>
      <c r="E171" s="117">
        <f t="shared" si="24"/>
        <v>-8349</v>
      </c>
      <c r="F171" s="98">
        <f t="shared" si="25"/>
        <v>-0.73552990925909612</v>
      </c>
    </row>
    <row r="172" spans="1:6" ht="18" customHeight="1" x14ac:dyDescent="0.25">
      <c r="A172" s="99">
        <v>5</v>
      </c>
      <c r="B172" s="100" t="s">
        <v>116</v>
      </c>
      <c r="C172" s="117">
        <v>155</v>
      </c>
      <c r="D172" s="117">
        <v>179</v>
      </c>
      <c r="E172" s="117">
        <f t="shared" si="24"/>
        <v>24</v>
      </c>
      <c r="F172" s="98">
        <f t="shared" si="25"/>
        <v>0.15483870967741936</v>
      </c>
    </row>
    <row r="173" spans="1:6" ht="18" customHeight="1" x14ac:dyDescent="0.25">
      <c r="A173" s="99">
        <v>6</v>
      </c>
      <c r="B173" s="100" t="s">
        <v>117</v>
      </c>
      <c r="C173" s="117">
        <v>12501</v>
      </c>
      <c r="D173" s="117">
        <v>11704</v>
      </c>
      <c r="E173" s="117">
        <f t="shared" si="24"/>
        <v>-797</v>
      </c>
      <c r="F173" s="98">
        <f t="shared" si="25"/>
        <v>-6.3754899608031351E-2</v>
      </c>
    </row>
    <row r="174" spans="1:6" ht="18" customHeight="1" x14ac:dyDescent="0.25">
      <c r="A174" s="99">
        <v>7</v>
      </c>
      <c r="B174" s="100" t="s">
        <v>118</v>
      </c>
      <c r="C174" s="117">
        <v>10297</v>
      </c>
      <c r="D174" s="117">
        <v>10607</v>
      </c>
      <c r="E174" s="117">
        <f t="shared" si="24"/>
        <v>310</v>
      </c>
      <c r="F174" s="98">
        <f t="shared" si="25"/>
        <v>3.0105856074584832E-2</v>
      </c>
    </row>
    <row r="175" spans="1:6" ht="18" customHeight="1" x14ac:dyDescent="0.25">
      <c r="A175" s="99">
        <v>8</v>
      </c>
      <c r="B175" s="100" t="s">
        <v>119</v>
      </c>
      <c r="C175" s="117">
        <v>1295</v>
      </c>
      <c r="D175" s="117">
        <v>1344</v>
      </c>
      <c r="E175" s="117">
        <f t="shared" si="24"/>
        <v>49</v>
      </c>
      <c r="F175" s="98">
        <f t="shared" si="25"/>
        <v>3.783783783783784E-2</v>
      </c>
    </row>
    <row r="176" spans="1:6" ht="18" customHeight="1" x14ac:dyDescent="0.25">
      <c r="A176" s="99">
        <v>9</v>
      </c>
      <c r="B176" s="100" t="s">
        <v>120</v>
      </c>
      <c r="C176" s="117">
        <v>5619</v>
      </c>
      <c r="D176" s="117">
        <v>6256</v>
      </c>
      <c r="E176" s="117">
        <f t="shared" si="24"/>
        <v>637</v>
      </c>
      <c r="F176" s="98">
        <f t="shared" si="25"/>
        <v>0.11336536750311443</v>
      </c>
    </row>
    <row r="177" spans="1:6" ht="18" customHeight="1" x14ac:dyDescent="0.25">
      <c r="A177" s="99">
        <v>10</v>
      </c>
      <c r="B177" s="100" t="s">
        <v>121</v>
      </c>
      <c r="C177" s="117">
        <v>0</v>
      </c>
      <c r="D177" s="117">
        <v>0</v>
      </c>
      <c r="E177" s="117">
        <f t="shared" si="24"/>
        <v>0</v>
      </c>
      <c r="F177" s="98">
        <f t="shared" si="25"/>
        <v>0</v>
      </c>
    </row>
    <row r="178" spans="1:6" ht="18" customHeight="1" x14ac:dyDescent="0.25">
      <c r="A178" s="99">
        <v>11</v>
      </c>
      <c r="B178" s="100" t="s">
        <v>122</v>
      </c>
      <c r="C178" s="117">
        <v>131</v>
      </c>
      <c r="D178" s="117">
        <v>107</v>
      </c>
      <c r="E178" s="117">
        <f t="shared" si="24"/>
        <v>-24</v>
      </c>
      <c r="F178" s="98">
        <f t="shared" si="25"/>
        <v>-0.18320610687022901</v>
      </c>
    </row>
    <row r="179" spans="1:6" ht="33.75" customHeight="1" x14ac:dyDescent="0.25">
      <c r="A179" s="101"/>
      <c r="B179" s="102" t="s">
        <v>151</v>
      </c>
      <c r="C179" s="118">
        <f>SUM(C168:C178)</f>
        <v>54992</v>
      </c>
      <c r="D179" s="118">
        <f>SUM(D168:D178)</f>
        <v>56362</v>
      </c>
      <c r="E179" s="118">
        <f t="shared" si="24"/>
        <v>1370</v>
      </c>
      <c r="F179" s="104">
        <f t="shared" si="25"/>
        <v>2.4912714576665697E-2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5" fitToHeight="2" orientation="portrait" horizontalDpi="1200" verticalDpi="1200" r:id="rId1"/>
  <headerFooter>
    <oddHeader>&amp;LOFFICE OF HEALTH CARE ACCESS&amp;CTWELVE MONTHS ACTUAL FILING&amp;RDANBURY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58301687</v>
      </c>
      <c r="D15" s="146">
        <v>51198252</v>
      </c>
      <c r="E15" s="146">
        <f>+D15-C15</f>
        <v>-7103435</v>
      </c>
      <c r="F15" s="150">
        <f>IF(C15=0,0,E15/C15)</f>
        <v>-0.12183927027703333</v>
      </c>
    </row>
    <row r="16" spans="1:7" ht="15" customHeight="1" x14ac:dyDescent="0.2">
      <c r="A16" s="141">
        <v>2</v>
      </c>
      <c r="B16" s="149" t="s">
        <v>158</v>
      </c>
      <c r="C16" s="146">
        <v>7419911</v>
      </c>
      <c r="D16" s="146">
        <v>7349665</v>
      </c>
      <c r="E16" s="146">
        <f>+D16-C16</f>
        <v>-70246</v>
      </c>
      <c r="F16" s="150">
        <f>IF(C16=0,0,E16/C16)</f>
        <v>-9.4672294586821866E-3</v>
      </c>
    </row>
    <row r="17" spans="1:7" ht="15" customHeight="1" x14ac:dyDescent="0.2">
      <c r="A17" s="141">
        <v>3</v>
      </c>
      <c r="B17" s="149" t="s">
        <v>159</v>
      </c>
      <c r="C17" s="146">
        <v>128541073</v>
      </c>
      <c r="D17" s="146">
        <v>132952743</v>
      </c>
      <c r="E17" s="146">
        <f>+D17-C17</f>
        <v>4411670</v>
      </c>
      <c r="F17" s="150">
        <f>IF(C17=0,0,E17/C17)</f>
        <v>3.432109206058985E-2</v>
      </c>
    </row>
    <row r="18" spans="1:7" ht="15.75" customHeight="1" x14ac:dyDescent="0.25">
      <c r="A18" s="141"/>
      <c r="B18" s="151" t="s">
        <v>160</v>
      </c>
      <c r="C18" s="147">
        <f>SUM(C15:C17)</f>
        <v>194262671</v>
      </c>
      <c r="D18" s="147">
        <f>SUM(D15:D17)</f>
        <v>191500660</v>
      </c>
      <c r="E18" s="147">
        <f>+D18-C18</f>
        <v>-2762011</v>
      </c>
      <c r="F18" s="148">
        <f>IF(C18=0,0,E18/C18)</f>
        <v>-1.4217919406657391E-2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20247827</v>
      </c>
      <c r="D21" s="146">
        <v>17759434</v>
      </c>
      <c r="E21" s="146">
        <f>+D21-C21</f>
        <v>-2488393</v>
      </c>
      <c r="F21" s="150">
        <f>IF(C21=0,0,E21/C21)</f>
        <v>-0.12289679282621291</v>
      </c>
    </row>
    <row r="22" spans="1:7" ht="15" customHeight="1" x14ac:dyDescent="0.2">
      <c r="A22" s="141">
        <v>2</v>
      </c>
      <c r="B22" s="149" t="s">
        <v>163</v>
      </c>
      <c r="C22" s="146">
        <v>2576891</v>
      </c>
      <c r="D22" s="146">
        <v>2523856</v>
      </c>
      <c r="E22" s="146">
        <f>+D22-C22</f>
        <v>-53035</v>
      </c>
      <c r="F22" s="150">
        <f>IF(C22=0,0,E22/C22)</f>
        <v>-2.0581002456060423E-2</v>
      </c>
    </row>
    <row r="23" spans="1:7" ht="15" customHeight="1" x14ac:dyDescent="0.2">
      <c r="A23" s="141">
        <v>3</v>
      </c>
      <c r="B23" s="149" t="s">
        <v>164</v>
      </c>
      <c r="C23" s="146">
        <v>44641545</v>
      </c>
      <c r="D23" s="146">
        <v>45843656</v>
      </c>
      <c r="E23" s="146">
        <f>+D23-C23</f>
        <v>1202111</v>
      </c>
      <c r="F23" s="150">
        <f>IF(C23=0,0,E23/C23)</f>
        <v>2.6928077870064758E-2</v>
      </c>
    </row>
    <row r="24" spans="1:7" ht="15.75" customHeight="1" x14ac:dyDescent="0.25">
      <c r="A24" s="141"/>
      <c r="B24" s="151" t="s">
        <v>165</v>
      </c>
      <c r="C24" s="147">
        <f>SUM(C21:C23)</f>
        <v>67466263</v>
      </c>
      <c r="D24" s="147">
        <f>SUM(D21:D23)</f>
        <v>66126946</v>
      </c>
      <c r="E24" s="147">
        <f>+D24-C24</f>
        <v>-1339317</v>
      </c>
      <c r="F24" s="148">
        <f>IF(C24=0,0,E24/C24)</f>
        <v>-1.9851655337720424E-2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412766</v>
      </c>
      <c r="D27" s="146">
        <v>518598</v>
      </c>
      <c r="E27" s="146">
        <f>+D27-C27</f>
        <v>105832</v>
      </c>
      <c r="F27" s="150">
        <f>IF(C27=0,0,E27/C27)</f>
        <v>0.25639708696937247</v>
      </c>
    </row>
    <row r="28" spans="1:7" ht="15" customHeight="1" x14ac:dyDescent="0.2">
      <c r="A28" s="141">
        <v>2</v>
      </c>
      <c r="B28" s="149" t="s">
        <v>168</v>
      </c>
      <c r="C28" s="146">
        <v>45908952</v>
      </c>
      <c r="D28" s="146">
        <v>55286603</v>
      </c>
      <c r="E28" s="146">
        <f>+D28-C28</f>
        <v>9377651</v>
      </c>
      <c r="F28" s="150">
        <f>IF(C28=0,0,E28/C28)</f>
        <v>0.20426628340372482</v>
      </c>
    </row>
    <row r="29" spans="1:7" ht="15" customHeight="1" x14ac:dyDescent="0.2">
      <c r="A29" s="141">
        <v>3</v>
      </c>
      <c r="B29" s="149" t="s">
        <v>169</v>
      </c>
      <c r="C29" s="146">
        <v>490035</v>
      </c>
      <c r="D29" s="146">
        <v>547540</v>
      </c>
      <c r="E29" s="146">
        <f>+D29-C29</f>
        <v>57505</v>
      </c>
      <c r="F29" s="150">
        <f>IF(C29=0,0,E29/C29)</f>
        <v>0.1173487608027998</v>
      </c>
    </row>
    <row r="30" spans="1:7" ht="15.75" customHeight="1" x14ac:dyDescent="0.25">
      <c r="A30" s="141"/>
      <c r="B30" s="151" t="s">
        <v>170</v>
      </c>
      <c r="C30" s="147">
        <f>SUM(C27:C29)</f>
        <v>46811753</v>
      </c>
      <c r="D30" s="147">
        <f>SUM(D27:D29)</f>
        <v>56352741</v>
      </c>
      <c r="E30" s="147">
        <f>+D30-C30</f>
        <v>9540988</v>
      </c>
      <c r="F30" s="148">
        <f>IF(C30=0,0,E30/C30)</f>
        <v>0.20381608011987928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51736677</v>
      </c>
      <c r="D33" s="146">
        <v>48662830</v>
      </c>
      <c r="E33" s="146">
        <f>+D33-C33</f>
        <v>-3073847</v>
      </c>
      <c r="F33" s="150">
        <f>IF(C33=0,0,E33/C33)</f>
        <v>-5.941330557430273E-2</v>
      </c>
    </row>
    <row r="34" spans="1:7" ht="15" customHeight="1" x14ac:dyDescent="0.2">
      <c r="A34" s="141">
        <v>2</v>
      </c>
      <c r="B34" s="149" t="s">
        <v>174</v>
      </c>
      <c r="C34" s="146">
        <v>19855665</v>
      </c>
      <c r="D34" s="146">
        <v>23316383</v>
      </c>
      <c r="E34" s="146">
        <f>+D34-C34</f>
        <v>3460718</v>
      </c>
      <c r="F34" s="150">
        <f>IF(C34=0,0,E34/C34)</f>
        <v>0.17429373430706047</v>
      </c>
    </row>
    <row r="35" spans="1:7" ht="15.75" customHeight="1" x14ac:dyDescent="0.25">
      <c r="A35" s="141"/>
      <c r="B35" s="151" t="s">
        <v>175</v>
      </c>
      <c r="C35" s="147">
        <f>SUM(C33:C34)</f>
        <v>71592342</v>
      </c>
      <c r="D35" s="147">
        <f>SUM(D33:D34)</f>
        <v>71979213</v>
      </c>
      <c r="E35" s="147">
        <f>+D35-C35</f>
        <v>386871</v>
      </c>
      <c r="F35" s="148">
        <f>IF(C35=0,0,E35/C35)</f>
        <v>5.4038042225242472E-3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9652053</v>
      </c>
      <c r="D38" s="146">
        <v>11276350</v>
      </c>
      <c r="E38" s="146">
        <f>+D38-C38</f>
        <v>1624297</v>
      </c>
      <c r="F38" s="150">
        <f>IF(C38=0,0,E38/C38)</f>
        <v>0.16828513063490222</v>
      </c>
    </row>
    <row r="39" spans="1:7" ht="15" customHeight="1" x14ac:dyDescent="0.2">
      <c r="A39" s="141">
        <v>2</v>
      </c>
      <c r="B39" s="149" t="s">
        <v>179</v>
      </c>
      <c r="C39" s="146">
        <v>17629693</v>
      </c>
      <c r="D39" s="146">
        <v>20152532</v>
      </c>
      <c r="E39" s="146">
        <f>+D39-C39</f>
        <v>2522839</v>
      </c>
      <c r="F39" s="150">
        <f>IF(C39=0,0,E39/C39)</f>
        <v>0.14310169780040979</v>
      </c>
    </row>
    <row r="40" spans="1:7" ht="15" customHeight="1" x14ac:dyDescent="0.2">
      <c r="A40" s="141">
        <v>3</v>
      </c>
      <c r="B40" s="149" t="s">
        <v>180</v>
      </c>
      <c r="C40" s="146">
        <v>88203</v>
      </c>
      <c r="D40" s="146">
        <v>234617</v>
      </c>
      <c r="E40" s="146">
        <f>+D40-C40</f>
        <v>146414</v>
      </c>
      <c r="F40" s="150">
        <f>IF(C40=0,0,E40/C40)</f>
        <v>1.6599662143011009</v>
      </c>
    </row>
    <row r="41" spans="1:7" ht="15.75" customHeight="1" x14ac:dyDescent="0.25">
      <c r="A41" s="141"/>
      <c r="B41" s="151" t="s">
        <v>181</v>
      </c>
      <c r="C41" s="147">
        <f>SUM(C38:C40)</f>
        <v>27369949</v>
      </c>
      <c r="D41" s="147">
        <f>SUM(D38:D40)</f>
        <v>31663499</v>
      </c>
      <c r="E41" s="147">
        <f>+D41-C41</f>
        <v>4293550</v>
      </c>
      <c r="F41" s="148">
        <f>IF(C41=0,0,E41/C41)</f>
        <v>0.1568709536141262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18183085</v>
      </c>
      <c r="D44" s="146">
        <v>19413218</v>
      </c>
      <c r="E44" s="146">
        <f>+D44-C44</f>
        <v>1230133</v>
      </c>
      <c r="F44" s="150">
        <f>IF(C44=0,0,E44/C44)</f>
        <v>6.765260130500407E-2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4587742</v>
      </c>
      <c r="D47" s="146">
        <v>4156056</v>
      </c>
      <c r="E47" s="146">
        <f>+D47-C47</f>
        <v>-431686</v>
      </c>
      <c r="F47" s="150">
        <f>IF(C47=0,0,E47/C47)</f>
        <v>-9.4095526731886842E-2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6373521</v>
      </c>
      <c r="D50" s="146">
        <v>6798516</v>
      </c>
      <c r="E50" s="146">
        <f>+D50-C50</f>
        <v>424995</v>
      </c>
      <c r="F50" s="150">
        <f>IF(C50=0,0,E50/C50)</f>
        <v>6.6681352426704171E-2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462231</v>
      </c>
      <c r="D53" s="146">
        <v>588064</v>
      </c>
      <c r="E53" s="146">
        <f t="shared" ref="E53:E59" si="0">+D53-C53</f>
        <v>125833</v>
      </c>
      <c r="F53" s="150">
        <f t="shared" ref="F53:F59" si="1">IF(C53=0,0,E53/C53)</f>
        <v>0.27222968602278946</v>
      </c>
    </row>
    <row r="54" spans="1:7" ht="15" customHeight="1" x14ac:dyDescent="0.2">
      <c r="A54" s="141">
        <v>2</v>
      </c>
      <c r="B54" s="149" t="s">
        <v>193</v>
      </c>
      <c r="C54" s="146">
        <v>141222</v>
      </c>
      <c r="D54" s="146">
        <v>124288</v>
      </c>
      <c r="E54" s="146">
        <f t="shared" si="0"/>
        <v>-16934</v>
      </c>
      <c r="F54" s="150">
        <f t="shared" si="1"/>
        <v>-0.11991049553185765</v>
      </c>
    </row>
    <row r="55" spans="1:7" ht="15" customHeight="1" x14ac:dyDescent="0.2">
      <c r="A55" s="141">
        <v>3</v>
      </c>
      <c r="B55" s="149" t="s">
        <v>194</v>
      </c>
      <c r="C55" s="146">
        <v>1838684</v>
      </c>
      <c r="D55" s="146">
        <v>2451108</v>
      </c>
      <c r="E55" s="146">
        <f t="shared" si="0"/>
        <v>612424</v>
      </c>
      <c r="F55" s="150">
        <f t="shared" si="1"/>
        <v>0.33307735315040538</v>
      </c>
    </row>
    <row r="56" spans="1:7" ht="15" customHeight="1" x14ac:dyDescent="0.2">
      <c r="A56" s="141">
        <v>4</v>
      </c>
      <c r="B56" s="149" t="s">
        <v>195</v>
      </c>
      <c r="C56" s="146">
        <v>3002549</v>
      </c>
      <c r="D56" s="146">
        <v>1764549</v>
      </c>
      <c r="E56" s="146">
        <f t="shared" si="0"/>
        <v>-1238000</v>
      </c>
      <c r="F56" s="150">
        <f t="shared" si="1"/>
        <v>-0.41231633522050765</v>
      </c>
    </row>
    <row r="57" spans="1:7" ht="15" customHeight="1" x14ac:dyDescent="0.2">
      <c r="A57" s="141">
        <v>5</v>
      </c>
      <c r="B57" s="149" t="s">
        <v>196</v>
      </c>
      <c r="C57" s="146">
        <v>781414</v>
      </c>
      <c r="D57" s="146">
        <v>803386</v>
      </c>
      <c r="E57" s="146">
        <f t="shared" si="0"/>
        <v>21972</v>
      </c>
      <c r="F57" s="150">
        <f t="shared" si="1"/>
        <v>2.8118257415403358E-2</v>
      </c>
    </row>
    <row r="58" spans="1:7" ht="15" customHeight="1" x14ac:dyDescent="0.2">
      <c r="A58" s="141">
        <v>6</v>
      </c>
      <c r="B58" s="149" t="s">
        <v>197</v>
      </c>
      <c r="C58" s="146">
        <v>20157</v>
      </c>
      <c r="D58" s="146">
        <v>23392</v>
      </c>
      <c r="E58" s="146">
        <f t="shared" si="0"/>
        <v>3235</v>
      </c>
      <c r="F58" s="150">
        <f t="shared" si="1"/>
        <v>0.16049015230441038</v>
      </c>
    </row>
    <row r="59" spans="1:7" ht="15.75" customHeight="1" x14ac:dyDescent="0.25">
      <c r="A59" s="141"/>
      <c r="B59" s="151" t="s">
        <v>198</v>
      </c>
      <c r="C59" s="147">
        <f>SUM(C53:C58)</f>
        <v>6246257</v>
      </c>
      <c r="D59" s="147">
        <f>SUM(D53:D58)</f>
        <v>5754787</v>
      </c>
      <c r="E59" s="147">
        <f t="shared" si="0"/>
        <v>-491470</v>
      </c>
      <c r="F59" s="148">
        <f t="shared" si="1"/>
        <v>-7.8682321268561312E-2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440724</v>
      </c>
      <c r="D62" s="146">
        <v>528456</v>
      </c>
      <c r="E62" s="146">
        <f t="shared" ref="E62:E90" si="2">+D62-C62</f>
        <v>87732</v>
      </c>
      <c r="F62" s="150">
        <f t="shared" ref="F62:F90" si="3">IF(C62=0,0,E62/C62)</f>
        <v>0.19906335938138153</v>
      </c>
    </row>
    <row r="63" spans="1:7" ht="15" customHeight="1" x14ac:dyDescent="0.2">
      <c r="A63" s="141">
        <v>2</v>
      </c>
      <c r="B63" s="149" t="s">
        <v>202</v>
      </c>
      <c r="C63" s="146">
        <v>1759483</v>
      </c>
      <c r="D63" s="146">
        <v>1575129</v>
      </c>
      <c r="E63" s="146">
        <f t="shared" si="2"/>
        <v>-184354</v>
      </c>
      <c r="F63" s="150">
        <f t="shared" si="3"/>
        <v>-0.10477736926131143</v>
      </c>
    </row>
    <row r="64" spans="1:7" ht="15" customHeight="1" x14ac:dyDescent="0.2">
      <c r="A64" s="141">
        <v>3</v>
      </c>
      <c r="B64" s="149" t="s">
        <v>203</v>
      </c>
      <c r="C64" s="146">
        <v>3631996</v>
      </c>
      <c r="D64" s="146">
        <v>3144608</v>
      </c>
      <c r="E64" s="146">
        <f t="shared" si="2"/>
        <v>-487388</v>
      </c>
      <c r="F64" s="150">
        <f t="shared" si="3"/>
        <v>-0.13419287906704744</v>
      </c>
    </row>
    <row r="65" spans="1:6" ht="15" customHeight="1" x14ac:dyDescent="0.2">
      <c r="A65" s="141">
        <v>4</v>
      </c>
      <c r="B65" s="149" t="s">
        <v>204</v>
      </c>
      <c r="C65" s="146">
        <v>1231947</v>
      </c>
      <c r="D65" s="146">
        <v>2379562</v>
      </c>
      <c r="E65" s="146">
        <f t="shared" si="2"/>
        <v>1147615</v>
      </c>
      <c r="F65" s="150">
        <f t="shared" si="3"/>
        <v>0.93154575643270365</v>
      </c>
    </row>
    <row r="66" spans="1:6" ht="15" customHeight="1" x14ac:dyDescent="0.2">
      <c r="A66" s="141">
        <v>5</v>
      </c>
      <c r="B66" s="149" t="s">
        <v>205</v>
      </c>
      <c r="C66" s="146">
        <v>5858538</v>
      </c>
      <c r="D66" s="146">
        <v>7154556</v>
      </c>
      <c r="E66" s="146">
        <f t="shared" si="2"/>
        <v>1296018</v>
      </c>
      <c r="F66" s="150">
        <f t="shared" si="3"/>
        <v>0.22121867264494999</v>
      </c>
    </row>
    <row r="67" spans="1:6" ht="15" customHeight="1" x14ac:dyDescent="0.2">
      <c r="A67" s="141">
        <v>6</v>
      </c>
      <c r="B67" s="149" t="s">
        <v>206</v>
      </c>
      <c r="C67" s="146">
        <v>0</v>
      </c>
      <c r="D67" s="146">
        <v>0</v>
      </c>
      <c r="E67" s="146">
        <f t="shared" si="2"/>
        <v>0</v>
      </c>
      <c r="F67" s="150">
        <f t="shared" si="3"/>
        <v>0</v>
      </c>
    </row>
    <row r="68" spans="1:6" ht="15" customHeight="1" x14ac:dyDescent="0.2">
      <c r="A68" s="141">
        <v>7</v>
      </c>
      <c r="B68" s="149" t="s">
        <v>207</v>
      </c>
      <c r="C68" s="146">
        <v>7767449</v>
      </c>
      <c r="D68" s="146">
        <v>9325869</v>
      </c>
      <c r="E68" s="146">
        <f t="shared" si="2"/>
        <v>1558420</v>
      </c>
      <c r="F68" s="150">
        <f t="shared" si="3"/>
        <v>0.2006347257638898</v>
      </c>
    </row>
    <row r="69" spans="1:6" ht="15" customHeight="1" x14ac:dyDescent="0.2">
      <c r="A69" s="141">
        <v>8</v>
      </c>
      <c r="B69" s="149" t="s">
        <v>208</v>
      </c>
      <c r="C69" s="146">
        <v>848225</v>
      </c>
      <c r="D69" s="146">
        <v>803571</v>
      </c>
      <c r="E69" s="146">
        <f t="shared" si="2"/>
        <v>-44654</v>
      </c>
      <c r="F69" s="150">
        <f t="shared" si="3"/>
        <v>-5.2644050811989744E-2</v>
      </c>
    </row>
    <row r="70" spans="1:6" ht="15" customHeight="1" x14ac:dyDescent="0.2">
      <c r="A70" s="141">
        <v>9</v>
      </c>
      <c r="B70" s="149" t="s">
        <v>209</v>
      </c>
      <c r="C70" s="146">
        <v>510240</v>
      </c>
      <c r="D70" s="146">
        <v>509660</v>
      </c>
      <c r="E70" s="146">
        <f t="shared" si="2"/>
        <v>-580</v>
      </c>
      <c r="F70" s="150">
        <f t="shared" si="3"/>
        <v>-1.136719974913766E-3</v>
      </c>
    </row>
    <row r="71" spans="1:6" ht="15" customHeight="1" x14ac:dyDescent="0.2">
      <c r="A71" s="141">
        <v>10</v>
      </c>
      <c r="B71" s="149" t="s">
        <v>210</v>
      </c>
      <c r="C71" s="146">
        <v>362374</v>
      </c>
      <c r="D71" s="146">
        <v>346826</v>
      </c>
      <c r="E71" s="146">
        <f t="shared" si="2"/>
        <v>-15548</v>
      </c>
      <c r="F71" s="150">
        <f t="shared" si="3"/>
        <v>-4.2905947998476711E-2</v>
      </c>
    </row>
    <row r="72" spans="1:6" ht="15" customHeight="1" x14ac:dyDescent="0.2">
      <c r="A72" s="141">
        <v>11</v>
      </c>
      <c r="B72" s="149" t="s">
        <v>211</v>
      </c>
      <c r="C72" s="146">
        <v>216077</v>
      </c>
      <c r="D72" s="146">
        <v>205513</v>
      </c>
      <c r="E72" s="146">
        <f t="shared" si="2"/>
        <v>-10564</v>
      </c>
      <c r="F72" s="150">
        <f t="shared" si="3"/>
        <v>-4.8889979035251323E-2</v>
      </c>
    </row>
    <row r="73" spans="1:6" ht="15" customHeight="1" x14ac:dyDescent="0.2">
      <c r="A73" s="141">
        <v>12</v>
      </c>
      <c r="B73" s="149" t="s">
        <v>212</v>
      </c>
      <c r="C73" s="146">
        <v>9571824</v>
      </c>
      <c r="D73" s="146">
        <v>1574038</v>
      </c>
      <c r="E73" s="146">
        <f t="shared" si="2"/>
        <v>-7997786</v>
      </c>
      <c r="F73" s="150">
        <f t="shared" si="3"/>
        <v>-0.83555506244159938</v>
      </c>
    </row>
    <row r="74" spans="1:6" ht="15" customHeight="1" x14ac:dyDescent="0.2">
      <c r="A74" s="141">
        <v>13</v>
      </c>
      <c r="B74" s="149" t="s">
        <v>213</v>
      </c>
      <c r="C74" s="146">
        <v>304487</v>
      </c>
      <c r="D74" s="146">
        <v>371813</v>
      </c>
      <c r="E74" s="146">
        <f t="shared" si="2"/>
        <v>67326</v>
      </c>
      <c r="F74" s="150">
        <f t="shared" si="3"/>
        <v>0.22111288823496569</v>
      </c>
    </row>
    <row r="75" spans="1:6" ht="15" customHeight="1" x14ac:dyDescent="0.2">
      <c r="A75" s="141">
        <v>14</v>
      </c>
      <c r="B75" s="149" t="s">
        <v>214</v>
      </c>
      <c r="C75" s="146">
        <v>632087</v>
      </c>
      <c r="D75" s="146">
        <v>662491</v>
      </c>
      <c r="E75" s="146">
        <f t="shared" si="2"/>
        <v>30404</v>
      </c>
      <c r="F75" s="150">
        <f t="shared" si="3"/>
        <v>4.8100973441947074E-2</v>
      </c>
    </row>
    <row r="76" spans="1:6" ht="15" customHeight="1" x14ac:dyDescent="0.2">
      <c r="A76" s="141">
        <v>15</v>
      </c>
      <c r="B76" s="149" t="s">
        <v>215</v>
      </c>
      <c r="C76" s="146">
        <v>1702716</v>
      </c>
      <c r="D76" s="146">
        <v>753853</v>
      </c>
      <c r="E76" s="146">
        <f t="shared" si="2"/>
        <v>-948863</v>
      </c>
      <c r="F76" s="150">
        <f t="shared" si="3"/>
        <v>-0.55726439406219241</v>
      </c>
    </row>
    <row r="77" spans="1:6" ht="15" customHeight="1" x14ac:dyDescent="0.2">
      <c r="A77" s="141">
        <v>16</v>
      </c>
      <c r="B77" s="149" t="s">
        <v>216</v>
      </c>
      <c r="C77" s="146">
        <v>0</v>
      </c>
      <c r="D77" s="146">
        <v>0</v>
      </c>
      <c r="E77" s="146">
        <f t="shared" si="2"/>
        <v>0</v>
      </c>
      <c r="F77" s="150">
        <f t="shared" si="3"/>
        <v>0</v>
      </c>
    </row>
    <row r="78" spans="1:6" ht="15" customHeight="1" x14ac:dyDescent="0.2">
      <c r="A78" s="141">
        <v>17</v>
      </c>
      <c r="B78" s="149" t="s">
        <v>217</v>
      </c>
      <c r="C78" s="146">
        <v>0</v>
      </c>
      <c r="D78" s="146">
        <v>8756216</v>
      </c>
      <c r="E78" s="146">
        <f t="shared" si="2"/>
        <v>8756216</v>
      </c>
      <c r="F78" s="150">
        <f t="shared" si="3"/>
        <v>0</v>
      </c>
    </row>
    <row r="79" spans="1:6" ht="15" customHeight="1" x14ac:dyDescent="0.2">
      <c r="A79" s="141">
        <v>18</v>
      </c>
      <c r="B79" s="149" t="s">
        <v>218</v>
      </c>
      <c r="C79" s="146">
        <v>0</v>
      </c>
      <c r="D79" s="146">
        <v>326425</v>
      </c>
      <c r="E79" s="146">
        <f t="shared" si="2"/>
        <v>326425</v>
      </c>
      <c r="F79" s="150">
        <f t="shared" si="3"/>
        <v>0</v>
      </c>
    </row>
    <row r="80" spans="1:6" ht="15" customHeight="1" x14ac:dyDescent="0.2">
      <c r="A80" s="141">
        <v>19</v>
      </c>
      <c r="B80" s="149" t="s">
        <v>219</v>
      </c>
      <c r="C80" s="146">
        <v>0</v>
      </c>
      <c r="D80" s="146">
        <v>5779814</v>
      </c>
      <c r="E80" s="146">
        <f t="shared" si="2"/>
        <v>5779814</v>
      </c>
      <c r="F80" s="150">
        <f t="shared" si="3"/>
        <v>0</v>
      </c>
    </row>
    <row r="81" spans="1:7" ht="15" customHeight="1" x14ac:dyDescent="0.2">
      <c r="A81" s="141">
        <v>20</v>
      </c>
      <c r="B81" s="149" t="s">
        <v>220</v>
      </c>
      <c r="C81" s="146">
        <v>0</v>
      </c>
      <c r="D81" s="146">
        <v>4293697</v>
      </c>
      <c r="E81" s="146">
        <f t="shared" si="2"/>
        <v>4293697</v>
      </c>
      <c r="F81" s="150">
        <f t="shared" si="3"/>
        <v>0</v>
      </c>
    </row>
    <row r="82" spans="1:7" ht="15" customHeight="1" x14ac:dyDescent="0.2">
      <c r="A82" s="141">
        <v>21</v>
      </c>
      <c r="B82" s="149" t="s">
        <v>221</v>
      </c>
      <c r="C82" s="146">
        <v>0</v>
      </c>
      <c r="D82" s="146">
        <v>1254247</v>
      </c>
      <c r="E82" s="146">
        <f t="shared" si="2"/>
        <v>1254247</v>
      </c>
      <c r="F82" s="150">
        <f t="shared" si="3"/>
        <v>0</v>
      </c>
    </row>
    <row r="83" spans="1:7" ht="15" customHeight="1" x14ac:dyDescent="0.2">
      <c r="A83" s="141">
        <v>22</v>
      </c>
      <c r="B83" s="149" t="s">
        <v>222</v>
      </c>
      <c r="C83" s="146">
        <v>0</v>
      </c>
      <c r="D83" s="146">
        <v>846262</v>
      </c>
      <c r="E83" s="146">
        <f t="shared" si="2"/>
        <v>846262</v>
      </c>
      <c r="F83" s="150">
        <f t="shared" si="3"/>
        <v>0</v>
      </c>
    </row>
    <row r="84" spans="1:7" ht="15" customHeight="1" x14ac:dyDescent="0.2">
      <c r="A84" s="141">
        <v>23</v>
      </c>
      <c r="B84" s="149" t="s">
        <v>223</v>
      </c>
      <c r="C84" s="146">
        <v>0</v>
      </c>
      <c r="D84" s="146">
        <v>1427496</v>
      </c>
      <c r="E84" s="146">
        <f t="shared" si="2"/>
        <v>1427496</v>
      </c>
      <c r="F84" s="150">
        <f t="shared" si="3"/>
        <v>0</v>
      </c>
    </row>
    <row r="85" spans="1:7" ht="15" customHeight="1" x14ac:dyDescent="0.2">
      <c r="A85" s="141">
        <v>24</v>
      </c>
      <c r="B85" s="149" t="s">
        <v>224</v>
      </c>
      <c r="C85" s="146">
        <v>0</v>
      </c>
      <c r="D85" s="146">
        <v>132876</v>
      </c>
      <c r="E85" s="146">
        <f t="shared" si="2"/>
        <v>132876</v>
      </c>
      <c r="F85" s="150">
        <f t="shared" si="3"/>
        <v>0</v>
      </c>
    </row>
    <row r="86" spans="1:7" ht="15" customHeight="1" x14ac:dyDescent="0.2">
      <c r="A86" s="141">
        <v>25</v>
      </c>
      <c r="B86" s="149" t="s">
        <v>225</v>
      </c>
      <c r="C86" s="146">
        <v>0</v>
      </c>
      <c r="D86" s="146">
        <v>471665</v>
      </c>
      <c r="E86" s="146">
        <f t="shared" si="2"/>
        <v>471665</v>
      </c>
      <c r="F86" s="150">
        <f t="shared" si="3"/>
        <v>0</v>
      </c>
    </row>
    <row r="87" spans="1:7" ht="15" customHeight="1" x14ac:dyDescent="0.2">
      <c r="A87" s="141">
        <v>26</v>
      </c>
      <c r="B87" s="149" t="s">
        <v>226</v>
      </c>
      <c r="C87" s="146">
        <v>0</v>
      </c>
      <c r="D87" s="146">
        <v>287936</v>
      </c>
      <c r="E87" s="146">
        <f t="shared" si="2"/>
        <v>287936</v>
      </c>
      <c r="F87" s="150">
        <f t="shared" si="3"/>
        <v>0</v>
      </c>
    </row>
    <row r="88" spans="1:7" ht="15" customHeight="1" x14ac:dyDescent="0.2">
      <c r="A88" s="141">
        <v>27</v>
      </c>
      <c r="B88" s="149" t="s">
        <v>227</v>
      </c>
      <c r="C88" s="146">
        <v>0</v>
      </c>
      <c r="D88" s="146">
        <v>8138981</v>
      </c>
      <c r="E88" s="146">
        <f t="shared" si="2"/>
        <v>8138981</v>
      </c>
      <c r="F88" s="150">
        <f t="shared" si="3"/>
        <v>0</v>
      </c>
    </row>
    <row r="89" spans="1:7" ht="15" customHeight="1" x14ac:dyDescent="0.2">
      <c r="A89" s="141">
        <v>28</v>
      </c>
      <c r="B89" s="149" t="s">
        <v>228</v>
      </c>
      <c r="C89" s="146">
        <v>17740218</v>
      </c>
      <c r="D89" s="146">
        <v>0</v>
      </c>
      <c r="E89" s="146">
        <f t="shared" si="2"/>
        <v>-17740218</v>
      </c>
      <c r="F89" s="150">
        <f t="shared" si="3"/>
        <v>-1</v>
      </c>
    </row>
    <row r="90" spans="1:7" ht="15.75" customHeight="1" x14ac:dyDescent="0.25">
      <c r="A90" s="141"/>
      <c r="B90" s="151" t="s">
        <v>229</v>
      </c>
      <c r="C90" s="147">
        <f>SUM(C62:C89)</f>
        <v>52578385</v>
      </c>
      <c r="D90" s="147">
        <f>SUM(D62:D89)</f>
        <v>61051560</v>
      </c>
      <c r="E90" s="147">
        <f t="shared" si="2"/>
        <v>8473175</v>
      </c>
      <c r="F90" s="148">
        <f t="shared" si="3"/>
        <v>0.16115320012206538</v>
      </c>
      <c r="G90" s="124"/>
    </row>
    <row r="91" spans="1:7" ht="15.75" customHeight="1" x14ac:dyDescent="0.25">
      <c r="A91" s="141"/>
      <c r="B91" s="152"/>
      <c r="C91" s="146"/>
      <c r="D91" s="146"/>
      <c r="E91" s="147"/>
      <c r="F91" s="148"/>
      <c r="G91" s="124"/>
    </row>
    <row r="92" spans="1:7" ht="15.75" customHeight="1" x14ac:dyDescent="0.25">
      <c r="A92" s="144" t="s">
        <v>230</v>
      </c>
      <c r="B92" s="145" t="s">
        <v>231</v>
      </c>
      <c r="C92" s="146"/>
      <c r="D92" s="146"/>
      <c r="E92" s="147"/>
      <c r="F92" s="148"/>
      <c r="G92" s="124"/>
    </row>
    <row r="93" spans="1:7" ht="15" customHeight="1" x14ac:dyDescent="0.2">
      <c r="A93" s="141">
        <v>1</v>
      </c>
      <c r="B93" s="149" t="s">
        <v>232</v>
      </c>
      <c r="C93" s="146">
        <v>0</v>
      </c>
      <c r="D93" s="146">
        <v>0</v>
      </c>
      <c r="E93" s="146">
        <f>+D93-C93</f>
        <v>0</v>
      </c>
      <c r="F93" s="150">
        <f>IF(C93=0,0,E93/C93)</f>
        <v>0</v>
      </c>
    </row>
    <row r="94" spans="1:7" ht="15.75" customHeight="1" x14ac:dyDescent="0.25">
      <c r="A94" s="141"/>
      <c r="B94" s="152"/>
      <c r="C94" s="146"/>
      <c r="D94" s="146"/>
      <c r="E94" s="147"/>
      <c r="F94" s="148"/>
      <c r="G94" s="124"/>
    </row>
    <row r="95" spans="1:7" ht="15.75" customHeight="1" x14ac:dyDescent="0.25">
      <c r="A95" s="153"/>
      <c r="B95" s="154" t="s">
        <v>233</v>
      </c>
      <c r="C95" s="147">
        <f>+C93+C90+C59+C50+C47+C44+C41+C35+C30+C24+C18</f>
        <v>495471968</v>
      </c>
      <c r="D95" s="147">
        <f>+D93+D90+D59+D50+D47+D44+D41+D35+D30+D24+D18</f>
        <v>514797196</v>
      </c>
      <c r="E95" s="147">
        <f>+D95-C95</f>
        <v>19325228</v>
      </c>
      <c r="F95" s="148">
        <f>IF(C95=0,0,E95/C95)</f>
        <v>3.9003675784136389E-2</v>
      </c>
      <c r="G95" s="155"/>
    </row>
    <row r="96" spans="1:7" ht="15.75" customHeight="1" x14ac:dyDescent="0.25">
      <c r="A96" s="153"/>
      <c r="B96" s="154"/>
      <c r="C96" s="146"/>
      <c r="D96" s="146"/>
      <c r="E96" s="146"/>
      <c r="F96" s="156"/>
      <c r="G96" s="124"/>
    </row>
    <row r="97" spans="1:7" ht="15.75" customHeight="1" x14ac:dyDescent="0.25">
      <c r="A97" s="153"/>
      <c r="B97" s="157" t="s">
        <v>234</v>
      </c>
      <c r="C97" s="146"/>
      <c r="D97" s="146"/>
      <c r="E97" s="146"/>
      <c r="F97" s="156"/>
      <c r="G97" s="124"/>
    </row>
    <row r="98" spans="1:7" ht="15.75" customHeight="1" x14ac:dyDescent="0.25">
      <c r="A98" s="153"/>
      <c r="B98" s="157"/>
      <c r="C98" s="146"/>
      <c r="D98" s="146"/>
      <c r="E98" s="146"/>
      <c r="F98" s="156"/>
      <c r="G98" s="124"/>
    </row>
    <row r="99" spans="1:7" ht="15.75" customHeight="1" x14ac:dyDescent="0.25">
      <c r="A99" s="153"/>
      <c r="B99" s="157"/>
      <c r="C99" s="146"/>
      <c r="D99" s="146"/>
      <c r="E99" s="146"/>
      <c r="F99" s="156"/>
      <c r="G99" s="124"/>
    </row>
    <row r="100" spans="1:7" ht="15.75" customHeight="1" x14ac:dyDescent="0.25">
      <c r="A100" s="158" t="s">
        <v>44</v>
      </c>
      <c r="B100" s="142" t="s">
        <v>235</v>
      </c>
      <c r="C100" s="143"/>
      <c r="D100" s="143"/>
      <c r="E100" s="159"/>
      <c r="F100" s="160"/>
      <c r="G100" s="155"/>
    </row>
    <row r="101" spans="1:7" ht="15.75" customHeight="1" x14ac:dyDescent="0.25">
      <c r="A101" s="141"/>
      <c r="B101" s="142"/>
      <c r="C101" s="143"/>
      <c r="D101" s="143"/>
      <c r="E101" s="159"/>
      <c r="F101" s="160"/>
      <c r="G101" s="155"/>
    </row>
    <row r="102" spans="1:7" ht="15.75" customHeight="1" x14ac:dyDescent="0.25">
      <c r="A102" s="144" t="s">
        <v>110</v>
      </c>
      <c r="B102" s="145" t="s">
        <v>236</v>
      </c>
      <c r="C102" s="146"/>
      <c r="D102" s="146"/>
      <c r="E102" s="147"/>
      <c r="F102" s="160"/>
      <c r="G102" s="155"/>
    </row>
    <row r="103" spans="1:7" ht="15" customHeight="1" x14ac:dyDescent="0.2">
      <c r="A103" s="141">
        <v>1</v>
      </c>
      <c r="B103" s="161" t="s">
        <v>237</v>
      </c>
      <c r="C103" s="146">
        <v>46845167</v>
      </c>
      <c r="D103" s="146">
        <v>54474769</v>
      </c>
      <c r="E103" s="146">
        <f t="shared" ref="E103:E121" si="4">D103-C103</f>
        <v>7629602</v>
      </c>
      <c r="F103" s="150">
        <f t="shared" ref="F103:F121" si="5">IF(C103=0,0,E103/C103)</f>
        <v>0.16286849825938288</v>
      </c>
      <c r="G103" s="155"/>
    </row>
    <row r="104" spans="1:7" ht="15" customHeight="1" x14ac:dyDescent="0.2">
      <c r="A104" s="141">
        <v>2</v>
      </c>
      <c r="B104" s="161" t="s">
        <v>238</v>
      </c>
      <c r="C104" s="146">
        <v>1099748</v>
      </c>
      <c r="D104" s="146">
        <v>1159533</v>
      </c>
      <c r="E104" s="146">
        <f t="shared" si="4"/>
        <v>59785</v>
      </c>
      <c r="F104" s="150">
        <f t="shared" si="5"/>
        <v>5.4362453943994443E-2</v>
      </c>
      <c r="G104" s="155"/>
    </row>
    <row r="105" spans="1:7" ht="15" customHeight="1" x14ac:dyDescent="0.2">
      <c r="A105" s="141">
        <v>3</v>
      </c>
      <c r="B105" s="161" t="s">
        <v>239</v>
      </c>
      <c r="C105" s="146">
        <v>5580340</v>
      </c>
      <c r="D105" s="146">
        <v>5397233</v>
      </c>
      <c r="E105" s="146">
        <f t="shared" si="4"/>
        <v>-183107</v>
      </c>
      <c r="F105" s="150">
        <f t="shared" si="5"/>
        <v>-3.2812875201152621E-2</v>
      </c>
      <c r="G105" s="155"/>
    </row>
    <row r="106" spans="1:7" ht="15" customHeight="1" x14ac:dyDescent="0.2">
      <c r="A106" s="141">
        <v>4</v>
      </c>
      <c r="B106" s="161" t="s">
        <v>240</v>
      </c>
      <c r="C106" s="146">
        <v>2710264</v>
      </c>
      <c r="D106" s="146">
        <v>2264136</v>
      </c>
      <c r="E106" s="146">
        <f t="shared" si="4"/>
        <v>-446128</v>
      </c>
      <c r="F106" s="150">
        <f t="shared" si="5"/>
        <v>-0.16460684272823606</v>
      </c>
      <c r="G106" s="155"/>
    </row>
    <row r="107" spans="1:7" ht="15" customHeight="1" x14ac:dyDescent="0.2">
      <c r="A107" s="141">
        <v>5</v>
      </c>
      <c r="B107" s="161" t="s">
        <v>241</v>
      </c>
      <c r="C107" s="146">
        <v>19705104</v>
      </c>
      <c r="D107" s="146">
        <v>23983097</v>
      </c>
      <c r="E107" s="146">
        <f t="shared" si="4"/>
        <v>4277993</v>
      </c>
      <c r="F107" s="150">
        <f t="shared" si="5"/>
        <v>0.21710075724543246</v>
      </c>
      <c r="G107" s="155"/>
    </row>
    <row r="108" spans="1:7" ht="15" customHeight="1" x14ac:dyDescent="0.2">
      <c r="A108" s="141">
        <v>6</v>
      </c>
      <c r="B108" s="161" t="s">
        <v>242</v>
      </c>
      <c r="C108" s="146">
        <v>2245393</v>
      </c>
      <c r="D108" s="146">
        <v>2421315</v>
      </c>
      <c r="E108" s="146">
        <f t="shared" si="4"/>
        <v>175922</v>
      </c>
      <c r="F108" s="150">
        <f t="shared" si="5"/>
        <v>7.8347977391930945E-2</v>
      </c>
      <c r="G108" s="155"/>
    </row>
    <row r="109" spans="1:7" ht="15" customHeight="1" x14ac:dyDescent="0.2">
      <c r="A109" s="141">
        <v>7</v>
      </c>
      <c r="B109" s="161" t="s">
        <v>243</v>
      </c>
      <c r="C109" s="146">
        <v>5014584</v>
      </c>
      <c r="D109" s="146">
        <v>3652357</v>
      </c>
      <c r="E109" s="146">
        <f t="shared" si="4"/>
        <v>-1362227</v>
      </c>
      <c r="F109" s="150">
        <f t="shared" si="5"/>
        <v>-0.27165304240591043</v>
      </c>
      <c r="G109" s="155"/>
    </row>
    <row r="110" spans="1:7" ht="15" customHeight="1" x14ac:dyDescent="0.2">
      <c r="A110" s="141">
        <v>8</v>
      </c>
      <c r="B110" s="161" t="s">
        <v>244</v>
      </c>
      <c r="C110" s="146">
        <v>238047</v>
      </c>
      <c r="D110" s="146">
        <v>224908</v>
      </c>
      <c r="E110" s="146">
        <f t="shared" si="4"/>
        <v>-13139</v>
      </c>
      <c r="F110" s="150">
        <f t="shared" si="5"/>
        <v>-5.5194982503455198E-2</v>
      </c>
      <c r="G110" s="155"/>
    </row>
    <row r="111" spans="1:7" ht="15" customHeight="1" x14ac:dyDescent="0.2">
      <c r="A111" s="141">
        <v>9</v>
      </c>
      <c r="B111" s="161" t="s">
        <v>245</v>
      </c>
      <c r="C111" s="146">
        <v>1553035</v>
      </c>
      <c r="D111" s="146">
        <v>1434172</v>
      </c>
      <c r="E111" s="146">
        <f t="shared" si="4"/>
        <v>-118863</v>
      </c>
      <c r="F111" s="150">
        <f t="shared" si="5"/>
        <v>-7.6535944135193351E-2</v>
      </c>
      <c r="G111" s="155"/>
    </row>
    <row r="112" spans="1:7" ht="15" customHeight="1" x14ac:dyDescent="0.2">
      <c r="A112" s="141">
        <v>10</v>
      </c>
      <c r="B112" s="161" t="s">
        <v>246</v>
      </c>
      <c r="C112" s="146">
        <v>7665837</v>
      </c>
      <c r="D112" s="146">
        <v>5396526</v>
      </c>
      <c r="E112" s="146">
        <f t="shared" si="4"/>
        <v>-2269311</v>
      </c>
      <c r="F112" s="150">
        <f t="shared" si="5"/>
        <v>-0.29602912245590401</v>
      </c>
      <c r="G112" s="155"/>
    </row>
    <row r="113" spans="1:7" ht="15" customHeight="1" x14ac:dyDescent="0.2">
      <c r="A113" s="141">
        <v>11</v>
      </c>
      <c r="B113" s="161" t="s">
        <v>247</v>
      </c>
      <c r="C113" s="146">
        <v>6740127</v>
      </c>
      <c r="D113" s="146">
        <v>5725970</v>
      </c>
      <c r="E113" s="146">
        <f t="shared" si="4"/>
        <v>-1014157</v>
      </c>
      <c r="F113" s="150">
        <f t="shared" si="5"/>
        <v>-0.1504655624441498</v>
      </c>
      <c r="G113" s="155"/>
    </row>
    <row r="114" spans="1:7" ht="15" customHeight="1" x14ac:dyDescent="0.2">
      <c r="A114" s="141">
        <v>12</v>
      </c>
      <c r="B114" s="161" t="s">
        <v>248</v>
      </c>
      <c r="C114" s="146">
        <v>0</v>
      </c>
      <c r="D114" s="146">
        <v>108195</v>
      </c>
      <c r="E114" s="146">
        <f t="shared" si="4"/>
        <v>108195</v>
      </c>
      <c r="F114" s="150">
        <f t="shared" si="5"/>
        <v>0</v>
      </c>
      <c r="G114" s="155"/>
    </row>
    <row r="115" spans="1:7" ht="15" customHeight="1" x14ac:dyDescent="0.2">
      <c r="A115" s="141">
        <v>13</v>
      </c>
      <c r="B115" s="161" t="s">
        <v>249</v>
      </c>
      <c r="C115" s="146">
        <v>9626613</v>
      </c>
      <c r="D115" s="146">
        <v>13100462</v>
      </c>
      <c r="E115" s="146">
        <f t="shared" si="4"/>
        <v>3473849</v>
      </c>
      <c r="F115" s="150">
        <f t="shared" si="5"/>
        <v>0.36085890229512707</v>
      </c>
      <c r="G115" s="155"/>
    </row>
    <row r="116" spans="1:7" ht="15" customHeight="1" x14ac:dyDescent="0.2">
      <c r="A116" s="141">
        <v>14</v>
      </c>
      <c r="B116" s="161" t="s">
        <v>250</v>
      </c>
      <c r="C116" s="146">
        <v>6727095</v>
      </c>
      <c r="D116" s="146">
        <v>3401797</v>
      </c>
      <c r="E116" s="146">
        <f t="shared" si="4"/>
        <v>-3325298</v>
      </c>
      <c r="F116" s="150">
        <f t="shared" si="5"/>
        <v>-0.49431411329853375</v>
      </c>
      <c r="G116" s="155"/>
    </row>
    <row r="117" spans="1:7" ht="15" customHeight="1" x14ac:dyDescent="0.2">
      <c r="A117" s="141">
        <v>15</v>
      </c>
      <c r="B117" s="161" t="s">
        <v>207</v>
      </c>
      <c r="C117" s="146">
        <v>2045789</v>
      </c>
      <c r="D117" s="146">
        <v>1988884</v>
      </c>
      <c r="E117" s="146">
        <f t="shared" si="4"/>
        <v>-56905</v>
      </c>
      <c r="F117" s="150">
        <f t="shared" si="5"/>
        <v>-2.7815674050451929E-2</v>
      </c>
      <c r="G117" s="155"/>
    </row>
    <row r="118" spans="1:7" ht="15" customHeight="1" x14ac:dyDescent="0.2">
      <c r="A118" s="141">
        <v>16</v>
      </c>
      <c r="B118" s="161" t="s">
        <v>251</v>
      </c>
      <c r="C118" s="146">
        <v>2291251</v>
      </c>
      <c r="D118" s="146">
        <v>3321930</v>
      </c>
      <c r="E118" s="146">
        <f t="shared" si="4"/>
        <v>1030679</v>
      </c>
      <c r="F118" s="150">
        <f t="shared" si="5"/>
        <v>0.44983242778726557</v>
      </c>
      <c r="G118" s="155"/>
    </row>
    <row r="119" spans="1:7" ht="15" customHeight="1" x14ac:dyDescent="0.2">
      <c r="A119" s="141">
        <v>17</v>
      </c>
      <c r="B119" s="161" t="s">
        <v>252</v>
      </c>
      <c r="C119" s="146">
        <v>12048321</v>
      </c>
      <c r="D119" s="146">
        <v>11762899</v>
      </c>
      <c r="E119" s="146">
        <f t="shared" si="4"/>
        <v>-285422</v>
      </c>
      <c r="F119" s="150">
        <f t="shared" si="5"/>
        <v>-2.3689773869736704E-2</v>
      </c>
      <c r="G119" s="155"/>
    </row>
    <row r="120" spans="1:7" ht="15" customHeight="1" x14ac:dyDescent="0.2">
      <c r="A120" s="141">
        <v>18</v>
      </c>
      <c r="B120" s="161" t="s">
        <v>253</v>
      </c>
      <c r="C120" s="146">
        <v>185369</v>
      </c>
      <c r="D120" s="146">
        <v>252303</v>
      </c>
      <c r="E120" s="146">
        <f t="shared" si="4"/>
        <v>66934</v>
      </c>
      <c r="F120" s="150">
        <f t="shared" si="5"/>
        <v>0.36108518684353913</v>
      </c>
      <c r="G120" s="155"/>
    </row>
    <row r="121" spans="1:7" ht="15.75" customHeight="1" x14ac:dyDescent="0.25">
      <c r="A121" s="141"/>
      <c r="B121" s="154" t="s">
        <v>254</v>
      </c>
      <c r="C121" s="147">
        <f>SUM(C103:C120)</f>
        <v>132322084</v>
      </c>
      <c r="D121" s="147">
        <f>SUM(D103:D120)</f>
        <v>140070486</v>
      </c>
      <c r="E121" s="147">
        <f t="shared" si="4"/>
        <v>7748402</v>
      </c>
      <c r="F121" s="148">
        <f t="shared" si="5"/>
        <v>5.8557133970169331E-2</v>
      </c>
      <c r="G121" s="155"/>
    </row>
    <row r="122" spans="1:7" ht="15.75" customHeight="1" x14ac:dyDescent="0.25">
      <c r="A122" s="141"/>
      <c r="B122" s="162"/>
      <c r="C122" s="146"/>
      <c r="D122" s="146"/>
      <c r="E122" s="147"/>
      <c r="F122" s="160"/>
      <c r="G122" s="155"/>
    </row>
    <row r="123" spans="1:7" ht="15.75" customHeight="1" x14ac:dyDescent="0.25">
      <c r="A123" s="144" t="s">
        <v>124</v>
      </c>
      <c r="B123" s="145" t="s">
        <v>255</v>
      </c>
      <c r="C123" s="146"/>
      <c r="D123" s="146"/>
      <c r="E123" s="147"/>
      <c r="F123" s="160"/>
      <c r="G123" s="155"/>
    </row>
    <row r="124" spans="1:7" ht="15" customHeight="1" x14ac:dyDescent="0.2">
      <c r="A124" s="141">
        <v>1</v>
      </c>
      <c r="B124" s="161" t="s">
        <v>256</v>
      </c>
      <c r="C124" s="146">
        <v>0</v>
      </c>
      <c r="D124" s="146">
        <v>0</v>
      </c>
      <c r="E124" s="146">
        <f t="shared" ref="E124:E130" si="6">D124-C124</f>
        <v>0</v>
      </c>
      <c r="F124" s="150">
        <f t="shared" ref="F124:F130" si="7">IF(C124=0,0,E124/C124)</f>
        <v>0</v>
      </c>
      <c r="G124" s="155"/>
    </row>
    <row r="125" spans="1:7" ht="15" customHeight="1" x14ac:dyDescent="0.2">
      <c r="A125" s="141">
        <v>2</v>
      </c>
      <c r="B125" s="161" t="s">
        <v>257</v>
      </c>
      <c r="C125" s="146">
        <v>13127183</v>
      </c>
      <c r="D125" s="146">
        <v>13223128</v>
      </c>
      <c r="E125" s="146">
        <f t="shared" si="6"/>
        <v>95945</v>
      </c>
      <c r="F125" s="150">
        <f t="shared" si="7"/>
        <v>7.3088795973972479E-3</v>
      </c>
      <c r="G125" s="155"/>
    </row>
    <row r="126" spans="1:7" ht="15" customHeight="1" x14ac:dyDescent="0.2">
      <c r="A126" s="141">
        <v>3</v>
      </c>
      <c r="B126" s="161" t="s">
        <v>258</v>
      </c>
      <c r="C126" s="146">
        <v>7555521</v>
      </c>
      <c r="D126" s="146">
        <v>7673335</v>
      </c>
      <c r="E126" s="146">
        <f t="shared" si="6"/>
        <v>117814</v>
      </c>
      <c r="F126" s="150">
        <f t="shared" si="7"/>
        <v>1.5593100727269502E-2</v>
      </c>
      <c r="G126" s="155"/>
    </row>
    <row r="127" spans="1:7" ht="15" customHeight="1" x14ac:dyDescent="0.2">
      <c r="A127" s="141">
        <v>4</v>
      </c>
      <c r="B127" s="161" t="s">
        <v>259</v>
      </c>
      <c r="C127" s="146">
        <v>2301068</v>
      </c>
      <c r="D127" s="146">
        <v>2132344</v>
      </c>
      <c r="E127" s="146">
        <f t="shared" si="6"/>
        <v>-168724</v>
      </c>
      <c r="F127" s="150">
        <f t="shared" si="7"/>
        <v>-7.3324212930691315E-2</v>
      </c>
      <c r="G127" s="155"/>
    </row>
    <row r="128" spans="1:7" ht="15" customHeight="1" x14ac:dyDescent="0.2">
      <c r="A128" s="141">
        <v>5</v>
      </c>
      <c r="B128" s="161" t="s">
        <v>260</v>
      </c>
      <c r="C128" s="146">
        <v>4176394</v>
      </c>
      <c r="D128" s="146">
        <v>4258857</v>
      </c>
      <c r="E128" s="146">
        <f t="shared" si="6"/>
        <v>82463</v>
      </c>
      <c r="F128" s="150">
        <f t="shared" si="7"/>
        <v>1.9745024056638333E-2</v>
      </c>
      <c r="G128" s="155"/>
    </row>
    <row r="129" spans="1:7" ht="15" customHeight="1" x14ac:dyDescent="0.2">
      <c r="A129" s="141">
        <v>6</v>
      </c>
      <c r="B129" s="161" t="s">
        <v>261</v>
      </c>
      <c r="C129" s="146">
        <v>511860</v>
      </c>
      <c r="D129" s="146">
        <v>563112</v>
      </c>
      <c r="E129" s="146">
        <f t="shared" si="6"/>
        <v>51252</v>
      </c>
      <c r="F129" s="150">
        <f t="shared" si="7"/>
        <v>0.10012894150744345</v>
      </c>
      <c r="G129" s="155"/>
    </row>
    <row r="130" spans="1:7" ht="15.75" customHeight="1" x14ac:dyDescent="0.25">
      <c r="A130" s="141"/>
      <c r="B130" s="154" t="s">
        <v>262</v>
      </c>
      <c r="C130" s="147">
        <f>SUM(C124:C129)</f>
        <v>27672026</v>
      </c>
      <c r="D130" s="147">
        <f>SUM(D124:D129)</f>
        <v>27850776</v>
      </c>
      <c r="E130" s="147">
        <f t="shared" si="6"/>
        <v>178750</v>
      </c>
      <c r="F130" s="148">
        <f t="shared" si="7"/>
        <v>6.4595920804642205E-3</v>
      </c>
      <c r="G130" s="155"/>
    </row>
    <row r="131" spans="1:7" ht="15.75" customHeight="1" x14ac:dyDescent="0.25">
      <c r="A131" s="141"/>
      <c r="B131" s="162"/>
      <c r="C131" s="146"/>
      <c r="D131" s="146"/>
      <c r="E131" s="147"/>
      <c r="F131" s="160"/>
      <c r="G131" s="155"/>
    </row>
    <row r="132" spans="1:7" ht="15.75" customHeight="1" x14ac:dyDescent="0.25">
      <c r="A132" s="144" t="s">
        <v>141</v>
      </c>
      <c r="B132" s="145" t="s">
        <v>263</v>
      </c>
      <c r="C132" s="146"/>
      <c r="D132" s="146"/>
      <c r="E132" s="147"/>
      <c r="F132" s="160"/>
      <c r="G132" s="155"/>
    </row>
    <row r="133" spans="1:7" ht="15" customHeight="1" x14ac:dyDescent="0.2">
      <c r="A133" s="141">
        <v>1</v>
      </c>
      <c r="B133" s="161" t="s">
        <v>264</v>
      </c>
      <c r="C133" s="146">
        <v>44206484</v>
      </c>
      <c r="D133" s="146">
        <v>46195071</v>
      </c>
      <c r="E133" s="146">
        <f t="shared" ref="E133:E167" si="8">D133-C133</f>
        <v>1988587</v>
      </c>
      <c r="F133" s="150">
        <f t="shared" ref="F133:F167" si="9">IF(C133=0,0,E133/C133)</f>
        <v>4.4984057089905632E-2</v>
      </c>
      <c r="G133" s="155"/>
    </row>
    <row r="134" spans="1:7" ht="15" customHeight="1" x14ac:dyDescent="0.2">
      <c r="A134" s="141">
        <v>2</v>
      </c>
      <c r="B134" s="161" t="s">
        <v>265</v>
      </c>
      <c r="C134" s="146">
        <v>4221166</v>
      </c>
      <c r="D134" s="146">
        <v>4162608</v>
      </c>
      <c r="E134" s="146">
        <f t="shared" si="8"/>
        <v>-58558</v>
      </c>
      <c r="F134" s="150">
        <f t="shared" si="9"/>
        <v>-1.387247030796704E-2</v>
      </c>
      <c r="G134" s="155"/>
    </row>
    <row r="135" spans="1:7" ht="15" customHeight="1" x14ac:dyDescent="0.2">
      <c r="A135" s="141">
        <v>3</v>
      </c>
      <c r="B135" s="161" t="s">
        <v>266</v>
      </c>
      <c r="C135" s="146">
        <v>2812014</v>
      </c>
      <c r="D135" s="146">
        <v>2797652</v>
      </c>
      <c r="E135" s="146">
        <f t="shared" si="8"/>
        <v>-14362</v>
      </c>
      <c r="F135" s="150">
        <f t="shared" si="9"/>
        <v>-5.1073714426741832E-3</v>
      </c>
      <c r="G135" s="155"/>
    </row>
    <row r="136" spans="1:7" ht="15" customHeight="1" x14ac:dyDescent="0.2">
      <c r="A136" s="141">
        <v>4</v>
      </c>
      <c r="B136" s="161" t="s">
        <v>267</v>
      </c>
      <c r="C136" s="146">
        <v>5265671</v>
      </c>
      <c r="D136" s="146">
        <v>5665172</v>
      </c>
      <c r="E136" s="146">
        <f t="shared" si="8"/>
        <v>399501</v>
      </c>
      <c r="F136" s="150">
        <f t="shared" si="9"/>
        <v>7.5868963328700176E-2</v>
      </c>
      <c r="G136" s="155"/>
    </row>
    <row r="137" spans="1:7" ht="15" customHeight="1" x14ac:dyDescent="0.2">
      <c r="A137" s="141">
        <v>5</v>
      </c>
      <c r="B137" s="161" t="s">
        <v>268</v>
      </c>
      <c r="C137" s="146">
        <v>9615624</v>
      </c>
      <c r="D137" s="146">
        <v>8723006</v>
      </c>
      <c r="E137" s="146">
        <f t="shared" si="8"/>
        <v>-892618</v>
      </c>
      <c r="F137" s="150">
        <f t="shared" si="9"/>
        <v>-9.2829960905293302E-2</v>
      </c>
      <c r="G137" s="155"/>
    </row>
    <row r="138" spans="1:7" ht="15" customHeight="1" x14ac:dyDescent="0.2">
      <c r="A138" s="141">
        <v>6</v>
      </c>
      <c r="B138" s="161" t="s">
        <v>269</v>
      </c>
      <c r="C138" s="146">
        <v>2120683</v>
      </c>
      <c r="D138" s="146">
        <v>1969424</v>
      </c>
      <c r="E138" s="146">
        <f t="shared" si="8"/>
        <v>-151259</v>
      </c>
      <c r="F138" s="150">
        <f t="shared" si="9"/>
        <v>-7.1325605948649562E-2</v>
      </c>
      <c r="G138" s="155"/>
    </row>
    <row r="139" spans="1:7" ht="15" customHeight="1" x14ac:dyDescent="0.2">
      <c r="A139" s="141">
        <v>7</v>
      </c>
      <c r="B139" s="161" t="s">
        <v>270</v>
      </c>
      <c r="C139" s="146">
        <v>4310049</v>
      </c>
      <c r="D139" s="146">
        <v>4530084</v>
      </c>
      <c r="E139" s="146">
        <f t="shared" si="8"/>
        <v>220035</v>
      </c>
      <c r="F139" s="150">
        <f t="shared" si="9"/>
        <v>5.105162377504293E-2</v>
      </c>
      <c r="G139" s="155"/>
    </row>
    <row r="140" spans="1:7" ht="15" customHeight="1" x14ac:dyDescent="0.2">
      <c r="A140" s="141">
        <v>8</v>
      </c>
      <c r="B140" s="161" t="s">
        <v>271</v>
      </c>
      <c r="C140" s="146">
        <v>2659783</v>
      </c>
      <c r="D140" s="146">
        <v>2487354</v>
      </c>
      <c r="E140" s="146">
        <f t="shared" si="8"/>
        <v>-172429</v>
      </c>
      <c r="F140" s="150">
        <f t="shared" si="9"/>
        <v>-6.4828220948851836E-2</v>
      </c>
      <c r="G140" s="155"/>
    </row>
    <row r="141" spans="1:7" ht="15" customHeight="1" x14ac:dyDescent="0.2">
      <c r="A141" s="141">
        <v>9</v>
      </c>
      <c r="B141" s="161" t="s">
        <v>272</v>
      </c>
      <c r="C141" s="146">
        <v>2494825</v>
      </c>
      <c r="D141" s="146">
        <v>2481204</v>
      </c>
      <c r="E141" s="146">
        <f t="shared" si="8"/>
        <v>-13621</v>
      </c>
      <c r="F141" s="150">
        <f t="shared" si="9"/>
        <v>-5.4597015822753095E-3</v>
      </c>
      <c r="G141" s="155"/>
    </row>
    <row r="142" spans="1:7" ht="15" customHeight="1" x14ac:dyDescent="0.2">
      <c r="A142" s="141">
        <v>10</v>
      </c>
      <c r="B142" s="161" t="s">
        <v>273</v>
      </c>
      <c r="C142" s="146">
        <v>29815094</v>
      </c>
      <c r="D142" s="146">
        <v>28384765</v>
      </c>
      <c r="E142" s="146">
        <f t="shared" si="8"/>
        <v>-1430329</v>
      </c>
      <c r="F142" s="150">
        <f t="shared" si="9"/>
        <v>-4.797331848090098E-2</v>
      </c>
      <c r="G142" s="155"/>
    </row>
    <row r="143" spans="1:7" ht="15" customHeight="1" x14ac:dyDescent="0.2">
      <c r="A143" s="141">
        <v>11</v>
      </c>
      <c r="B143" s="161" t="s">
        <v>274</v>
      </c>
      <c r="C143" s="146">
        <v>0</v>
      </c>
      <c r="D143" s="146">
        <v>0</v>
      </c>
      <c r="E143" s="146">
        <f t="shared" si="8"/>
        <v>0</v>
      </c>
      <c r="F143" s="150">
        <f t="shared" si="9"/>
        <v>0</v>
      </c>
      <c r="G143" s="155"/>
    </row>
    <row r="144" spans="1:7" ht="15" customHeight="1" x14ac:dyDescent="0.2">
      <c r="A144" s="141">
        <v>12</v>
      </c>
      <c r="B144" s="161" t="s">
        <v>275</v>
      </c>
      <c r="C144" s="146">
        <v>16649748</v>
      </c>
      <c r="D144" s="146">
        <v>18297366</v>
      </c>
      <c r="E144" s="146">
        <f t="shared" si="8"/>
        <v>1647618</v>
      </c>
      <c r="F144" s="150">
        <f t="shared" si="9"/>
        <v>9.8957533771682316E-2</v>
      </c>
      <c r="G144" s="155"/>
    </row>
    <row r="145" spans="1:7" ht="15" customHeight="1" x14ac:dyDescent="0.2">
      <c r="A145" s="141">
        <v>13</v>
      </c>
      <c r="B145" s="161" t="s">
        <v>276</v>
      </c>
      <c r="C145" s="146">
        <v>265550</v>
      </c>
      <c r="D145" s="146">
        <v>204337</v>
      </c>
      <c r="E145" s="146">
        <f t="shared" si="8"/>
        <v>-61213</v>
      </c>
      <c r="F145" s="150">
        <f t="shared" si="9"/>
        <v>-0.23051402749011485</v>
      </c>
      <c r="G145" s="155"/>
    </row>
    <row r="146" spans="1:7" ht="15" customHeight="1" x14ac:dyDescent="0.2">
      <c r="A146" s="141">
        <v>14</v>
      </c>
      <c r="B146" s="161" t="s">
        <v>277</v>
      </c>
      <c r="C146" s="146">
        <v>151650</v>
      </c>
      <c r="D146" s="146">
        <v>154114</v>
      </c>
      <c r="E146" s="146">
        <f t="shared" si="8"/>
        <v>2464</v>
      </c>
      <c r="F146" s="150">
        <f t="shared" si="9"/>
        <v>1.6247939333992746E-2</v>
      </c>
      <c r="G146" s="155"/>
    </row>
    <row r="147" spans="1:7" ht="15" customHeight="1" x14ac:dyDescent="0.2">
      <c r="A147" s="141">
        <v>15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16</v>
      </c>
      <c r="B148" s="161" t="s">
        <v>279</v>
      </c>
      <c r="C148" s="146">
        <v>0</v>
      </c>
      <c r="D148" s="146">
        <v>0</v>
      </c>
      <c r="E148" s="146">
        <f t="shared" si="8"/>
        <v>0</v>
      </c>
      <c r="F148" s="150">
        <f t="shared" si="9"/>
        <v>0</v>
      </c>
      <c r="G148" s="155"/>
    </row>
    <row r="149" spans="1:7" ht="15" customHeight="1" x14ac:dyDescent="0.2">
      <c r="A149" s="141">
        <v>17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18</v>
      </c>
      <c r="B150" s="161" t="s">
        <v>281</v>
      </c>
      <c r="C150" s="146">
        <v>3451552</v>
      </c>
      <c r="D150" s="146">
        <v>3166891</v>
      </c>
      <c r="E150" s="146">
        <f t="shared" si="8"/>
        <v>-284661</v>
      </c>
      <c r="F150" s="150">
        <f t="shared" si="9"/>
        <v>-8.2473333735084975E-2</v>
      </c>
      <c r="G150" s="155"/>
    </row>
    <row r="151" spans="1:7" ht="15" customHeight="1" x14ac:dyDescent="0.2">
      <c r="A151" s="141">
        <v>19</v>
      </c>
      <c r="B151" s="161" t="s">
        <v>282</v>
      </c>
      <c r="C151" s="146">
        <v>991968</v>
      </c>
      <c r="D151" s="146">
        <v>1491887</v>
      </c>
      <c r="E151" s="146">
        <f t="shared" si="8"/>
        <v>499919</v>
      </c>
      <c r="F151" s="150">
        <f t="shared" si="9"/>
        <v>0.50396686183425277</v>
      </c>
      <c r="G151" s="155"/>
    </row>
    <row r="152" spans="1:7" ht="15" customHeight="1" x14ac:dyDescent="0.2">
      <c r="A152" s="141">
        <v>20</v>
      </c>
      <c r="B152" s="161" t="s">
        <v>283</v>
      </c>
      <c r="C152" s="146">
        <v>14908187</v>
      </c>
      <c r="D152" s="146">
        <v>19549254</v>
      </c>
      <c r="E152" s="146">
        <f t="shared" si="8"/>
        <v>4641067</v>
      </c>
      <c r="F152" s="150">
        <f t="shared" si="9"/>
        <v>0.31130995338333228</v>
      </c>
      <c r="G152" s="155"/>
    </row>
    <row r="153" spans="1:7" ht="15" customHeight="1" x14ac:dyDescent="0.2">
      <c r="A153" s="141">
        <v>21</v>
      </c>
      <c r="B153" s="161" t="s">
        <v>284</v>
      </c>
      <c r="C153" s="146">
        <v>66784</v>
      </c>
      <c r="D153" s="146">
        <v>87172</v>
      </c>
      <c r="E153" s="146">
        <f t="shared" si="8"/>
        <v>20388</v>
      </c>
      <c r="F153" s="150">
        <f t="shared" si="9"/>
        <v>0.30528270244369909</v>
      </c>
      <c r="G153" s="155"/>
    </row>
    <row r="154" spans="1:7" ht="15" customHeight="1" x14ac:dyDescent="0.2">
      <c r="A154" s="141">
        <v>22</v>
      </c>
      <c r="B154" s="161" t="s">
        <v>285</v>
      </c>
      <c r="C154" s="146">
        <v>3868528</v>
      </c>
      <c r="D154" s="146">
        <v>3296015</v>
      </c>
      <c r="E154" s="146">
        <f t="shared" si="8"/>
        <v>-572513</v>
      </c>
      <c r="F154" s="150">
        <f t="shared" si="9"/>
        <v>-0.14799246638514701</v>
      </c>
      <c r="G154" s="155"/>
    </row>
    <row r="155" spans="1:7" ht="15" customHeight="1" x14ac:dyDescent="0.2">
      <c r="A155" s="141">
        <v>23</v>
      </c>
      <c r="B155" s="161" t="s">
        <v>286</v>
      </c>
      <c r="C155" s="146">
        <v>4249545</v>
      </c>
      <c r="D155" s="146">
        <v>3091076</v>
      </c>
      <c r="E155" s="146">
        <f t="shared" si="8"/>
        <v>-1158469</v>
      </c>
      <c r="F155" s="150">
        <f t="shared" si="9"/>
        <v>-0.27261012649589544</v>
      </c>
      <c r="G155" s="155"/>
    </row>
    <row r="156" spans="1:7" ht="15" customHeight="1" x14ac:dyDescent="0.2">
      <c r="A156" s="141">
        <v>24</v>
      </c>
      <c r="B156" s="161" t="s">
        <v>287</v>
      </c>
      <c r="C156" s="146">
        <v>26228686</v>
      </c>
      <c r="D156" s="146">
        <v>25227059</v>
      </c>
      <c r="E156" s="146">
        <f t="shared" si="8"/>
        <v>-1001627</v>
      </c>
      <c r="F156" s="150">
        <f t="shared" si="9"/>
        <v>-3.8188226432692818E-2</v>
      </c>
      <c r="G156" s="155"/>
    </row>
    <row r="157" spans="1:7" ht="15" customHeight="1" x14ac:dyDescent="0.2">
      <c r="A157" s="141">
        <v>25</v>
      </c>
      <c r="B157" s="161" t="s">
        <v>288</v>
      </c>
      <c r="C157" s="146">
        <v>2126746</v>
      </c>
      <c r="D157" s="146">
        <v>2125839</v>
      </c>
      <c r="E157" s="146">
        <f t="shared" si="8"/>
        <v>-907</v>
      </c>
      <c r="F157" s="150">
        <f t="shared" si="9"/>
        <v>-4.264731190278482E-4</v>
      </c>
      <c r="G157" s="155"/>
    </row>
    <row r="158" spans="1:7" ht="15" customHeight="1" x14ac:dyDescent="0.2">
      <c r="A158" s="141">
        <v>26</v>
      </c>
      <c r="B158" s="161" t="s">
        <v>289</v>
      </c>
      <c r="C158" s="146">
        <v>1211296</v>
      </c>
      <c r="D158" s="146">
        <v>1038432</v>
      </c>
      <c r="E158" s="146">
        <f t="shared" si="8"/>
        <v>-172864</v>
      </c>
      <c r="F158" s="150">
        <f t="shared" si="9"/>
        <v>-0.14270995693868385</v>
      </c>
      <c r="G158" s="155"/>
    </row>
    <row r="159" spans="1:7" ht="15" customHeight="1" x14ac:dyDescent="0.2">
      <c r="A159" s="141">
        <v>27</v>
      </c>
      <c r="B159" s="161" t="s">
        <v>290</v>
      </c>
      <c r="C159" s="146">
        <v>0</v>
      </c>
      <c r="D159" s="146">
        <v>0</v>
      </c>
      <c r="E159" s="146">
        <f t="shared" si="8"/>
        <v>0</v>
      </c>
      <c r="F159" s="150">
        <f t="shared" si="9"/>
        <v>0</v>
      </c>
      <c r="G159" s="155"/>
    </row>
    <row r="160" spans="1:7" ht="15" customHeight="1" x14ac:dyDescent="0.2">
      <c r="A160" s="141">
        <v>28</v>
      </c>
      <c r="B160" s="161" t="s">
        <v>291</v>
      </c>
      <c r="C160" s="146">
        <v>5444516</v>
      </c>
      <c r="D160" s="146">
        <v>5492210</v>
      </c>
      <c r="E160" s="146">
        <f t="shared" si="8"/>
        <v>47694</v>
      </c>
      <c r="F160" s="150">
        <f t="shared" si="9"/>
        <v>8.7600073174548473E-3</v>
      </c>
      <c r="G160" s="155"/>
    </row>
    <row r="161" spans="1:7" ht="15" customHeight="1" x14ac:dyDescent="0.2">
      <c r="A161" s="141">
        <v>29</v>
      </c>
      <c r="B161" s="161" t="s">
        <v>292</v>
      </c>
      <c r="C161" s="146">
        <v>1416685</v>
      </c>
      <c r="D161" s="146">
        <v>1300453</v>
      </c>
      <c r="E161" s="146">
        <f t="shared" si="8"/>
        <v>-116232</v>
      </c>
      <c r="F161" s="150">
        <f t="shared" si="9"/>
        <v>-8.2045055887512042E-2</v>
      </c>
      <c r="G161" s="155"/>
    </row>
    <row r="162" spans="1:7" ht="15" customHeight="1" x14ac:dyDescent="0.2">
      <c r="A162" s="141">
        <v>30</v>
      </c>
      <c r="B162" s="161" t="s">
        <v>293</v>
      </c>
      <c r="C162" s="146">
        <v>0</v>
      </c>
      <c r="D162" s="146">
        <v>0</v>
      </c>
      <c r="E162" s="146">
        <f t="shared" si="8"/>
        <v>0</v>
      </c>
      <c r="F162" s="150">
        <f t="shared" si="9"/>
        <v>0</v>
      </c>
      <c r="G162" s="155"/>
    </row>
    <row r="163" spans="1:7" ht="15" customHeight="1" x14ac:dyDescent="0.2">
      <c r="A163" s="141">
        <v>31</v>
      </c>
      <c r="B163" s="161" t="s">
        <v>294</v>
      </c>
      <c r="C163" s="146">
        <v>656768</v>
      </c>
      <c r="D163" s="146">
        <v>616136</v>
      </c>
      <c r="E163" s="146">
        <f t="shared" si="8"/>
        <v>-40632</v>
      </c>
      <c r="F163" s="150">
        <f t="shared" si="9"/>
        <v>-6.186659520561294E-2</v>
      </c>
      <c r="G163" s="155"/>
    </row>
    <row r="164" spans="1:7" ht="15" customHeight="1" x14ac:dyDescent="0.2">
      <c r="A164" s="141">
        <v>32</v>
      </c>
      <c r="B164" s="161" t="s">
        <v>295</v>
      </c>
      <c r="C164" s="146">
        <v>8555682</v>
      </c>
      <c r="D164" s="146">
        <v>8556360</v>
      </c>
      <c r="E164" s="146">
        <f t="shared" si="8"/>
        <v>678</v>
      </c>
      <c r="F164" s="150">
        <f t="shared" si="9"/>
        <v>7.9245582058800224E-5</v>
      </c>
      <c r="G164" s="155"/>
    </row>
    <row r="165" spans="1:7" ht="15" customHeight="1" x14ac:dyDescent="0.2">
      <c r="A165" s="141">
        <v>33</v>
      </c>
      <c r="B165" s="161" t="s">
        <v>296</v>
      </c>
      <c r="C165" s="146">
        <v>1900889</v>
      </c>
      <c r="D165" s="146">
        <v>1886155</v>
      </c>
      <c r="E165" s="146">
        <f t="shared" si="8"/>
        <v>-14734</v>
      </c>
      <c r="F165" s="150">
        <f t="shared" si="9"/>
        <v>-7.7511101384667913E-3</v>
      </c>
      <c r="G165" s="155"/>
    </row>
    <row r="166" spans="1:7" ht="15" customHeight="1" x14ac:dyDescent="0.2">
      <c r="A166" s="141">
        <v>34</v>
      </c>
      <c r="B166" s="161" t="s">
        <v>297</v>
      </c>
      <c r="C166" s="146">
        <v>11152333</v>
      </c>
      <c r="D166" s="146">
        <v>11506752</v>
      </c>
      <c r="E166" s="146">
        <f t="shared" si="8"/>
        <v>354419</v>
      </c>
      <c r="F166" s="150">
        <f t="shared" si="9"/>
        <v>3.1779807866210597E-2</v>
      </c>
      <c r="G166" s="155"/>
    </row>
    <row r="167" spans="1:7" ht="15.75" customHeight="1" x14ac:dyDescent="0.25">
      <c r="A167" s="141"/>
      <c r="B167" s="154" t="s">
        <v>298</v>
      </c>
      <c r="C167" s="147">
        <f>SUM(C133:C166)</f>
        <v>210818506</v>
      </c>
      <c r="D167" s="147">
        <f>SUM(D133:D166)</f>
        <v>214483848</v>
      </c>
      <c r="E167" s="147">
        <f t="shared" si="8"/>
        <v>3665342</v>
      </c>
      <c r="F167" s="148">
        <f t="shared" si="9"/>
        <v>1.7386244071002002E-2</v>
      </c>
      <c r="G167" s="155"/>
    </row>
    <row r="168" spans="1:7" ht="15.75" customHeight="1" x14ac:dyDescent="0.25">
      <c r="A168" s="141"/>
      <c r="B168" s="162"/>
      <c r="C168" s="146"/>
      <c r="D168" s="146"/>
      <c r="E168" s="147"/>
      <c r="F168" s="160"/>
      <c r="G168" s="155"/>
    </row>
    <row r="169" spans="1:7" ht="15.75" customHeight="1" x14ac:dyDescent="0.25">
      <c r="A169" s="144" t="s">
        <v>171</v>
      </c>
      <c r="B169" s="145" t="s">
        <v>299</v>
      </c>
      <c r="C169" s="146"/>
      <c r="D169" s="146"/>
      <c r="E169" s="147"/>
      <c r="F169" s="160"/>
      <c r="G169" s="155"/>
    </row>
    <row r="170" spans="1:7" ht="15" customHeight="1" x14ac:dyDescent="0.2">
      <c r="A170" s="141">
        <v>1</v>
      </c>
      <c r="B170" s="161" t="s">
        <v>300</v>
      </c>
      <c r="C170" s="146">
        <v>55429799</v>
      </c>
      <c r="D170" s="146">
        <v>55912506</v>
      </c>
      <c r="E170" s="146">
        <f t="shared" ref="E170:E183" si="10">D170-C170</f>
        <v>482707</v>
      </c>
      <c r="F170" s="150">
        <f t="shared" ref="F170:F183" si="11">IF(C170=0,0,E170/C170)</f>
        <v>8.7084385783177745E-3</v>
      </c>
      <c r="G170" s="155"/>
    </row>
    <row r="171" spans="1:7" ht="15" customHeight="1" x14ac:dyDescent="0.2">
      <c r="A171" s="141">
        <v>2</v>
      </c>
      <c r="B171" s="161" t="s">
        <v>301</v>
      </c>
      <c r="C171" s="146">
        <v>6514626</v>
      </c>
      <c r="D171" s="146">
        <v>6688478</v>
      </c>
      <c r="E171" s="146">
        <f t="shared" si="10"/>
        <v>173852</v>
      </c>
      <c r="F171" s="150">
        <f t="shared" si="11"/>
        <v>2.6686413003601434E-2</v>
      </c>
      <c r="G171" s="155"/>
    </row>
    <row r="172" spans="1:7" ht="15" customHeight="1" x14ac:dyDescent="0.2">
      <c r="A172" s="141">
        <v>3</v>
      </c>
      <c r="B172" s="161" t="s">
        <v>302</v>
      </c>
      <c r="C172" s="146">
        <v>0</v>
      </c>
      <c r="D172" s="146">
        <v>0</v>
      </c>
      <c r="E172" s="146">
        <f t="shared" si="10"/>
        <v>0</v>
      </c>
      <c r="F172" s="150">
        <f t="shared" si="11"/>
        <v>0</v>
      </c>
      <c r="G172" s="155"/>
    </row>
    <row r="173" spans="1:7" ht="15" customHeight="1" x14ac:dyDescent="0.2">
      <c r="A173" s="141">
        <v>4</v>
      </c>
      <c r="B173" s="161" t="s">
        <v>303</v>
      </c>
      <c r="C173" s="146">
        <v>4708667</v>
      </c>
      <c r="D173" s="146">
        <v>4834656</v>
      </c>
      <c r="E173" s="146">
        <f t="shared" si="10"/>
        <v>125989</v>
      </c>
      <c r="F173" s="150">
        <f t="shared" si="11"/>
        <v>2.6756829480615214E-2</v>
      </c>
      <c r="G173" s="155"/>
    </row>
    <row r="174" spans="1:7" ht="15" customHeight="1" x14ac:dyDescent="0.2">
      <c r="A174" s="141">
        <v>5</v>
      </c>
      <c r="B174" s="161" t="s">
        <v>304</v>
      </c>
      <c r="C174" s="146">
        <v>3108965</v>
      </c>
      <c r="D174" s="146">
        <v>2955134</v>
      </c>
      <c r="E174" s="146">
        <f t="shared" si="10"/>
        <v>-153831</v>
      </c>
      <c r="F174" s="150">
        <f t="shared" si="11"/>
        <v>-4.947981080520366E-2</v>
      </c>
      <c r="G174" s="155"/>
    </row>
    <row r="175" spans="1:7" ht="15" customHeight="1" x14ac:dyDescent="0.2">
      <c r="A175" s="141">
        <v>6</v>
      </c>
      <c r="B175" s="161" t="s">
        <v>305</v>
      </c>
      <c r="C175" s="146">
        <v>5053829</v>
      </c>
      <c r="D175" s="146">
        <v>5147778</v>
      </c>
      <c r="E175" s="146">
        <f t="shared" si="10"/>
        <v>93949</v>
      </c>
      <c r="F175" s="150">
        <f t="shared" si="11"/>
        <v>1.8589667359144919E-2</v>
      </c>
      <c r="G175" s="155"/>
    </row>
    <row r="176" spans="1:7" ht="15" customHeight="1" x14ac:dyDescent="0.2">
      <c r="A176" s="141">
        <v>7</v>
      </c>
      <c r="B176" s="161" t="s">
        <v>306</v>
      </c>
      <c r="C176" s="146">
        <v>0</v>
      </c>
      <c r="D176" s="146">
        <v>0</v>
      </c>
      <c r="E176" s="146">
        <f t="shared" si="10"/>
        <v>0</v>
      </c>
      <c r="F176" s="150">
        <f t="shared" si="11"/>
        <v>0</v>
      </c>
      <c r="G176" s="155"/>
    </row>
    <row r="177" spans="1:7" ht="15" customHeight="1" x14ac:dyDescent="0.2">
      <c r="A177" s="141">
        <v>8</v>
      </c>
      <c r="B177" s="161" t="s">
        <v>307</v>
      </c>
      <c r="C177" s="146">
        <v>5350508</v>
      </c>
      <c r="D177" s="146">
        <v>5438980</v>
      </c>
      <c r="E177" s="146">
        <f t="shared" si="10"/>
        <v>88472</v>
      </c>
      <c r="F177" s="150">
        <f t="shared" si="11"/>
        <v>1.6535252353608292E-2</v>
      </c>
      <c r="G177" s="155"/>
    </row>
    <row r="178" spans="1:7" ht="15" customHeight="1" x14ac:dyDescent="0.2">
      <c r="A178" s="141">
        <v>9</v>
      </c>
      <c r="B178" s="161" t="s">
        <v>308</v>
      </c>
      <c r="C178" s="146">
        <v>3457111</v>
      </c>
      <c r="D178" s="146">
        <v>3365750</v>
      </c>
      <c r="E178" s="146">
        <f t="shared" si="10"/>
        <v>-91361</v>
      </c>
      <c r="F178" s="150">
        <f t="shared" si="11"/>
        <v>-2.6426979058526034E-2</v>
      </c>
      <c r="G178" s="155"/>
    </row>
    <row r="179" spans="1:7" ht="15" customHeight="1" x14ac:dyDescent="0.2">
      <c r="A179" s="141">
        <v>10</v>
      </c>
      <c r="B179" s="161" t="s">
        <v>309</v>
      </c>
      <c r="C179" s="146">
        <v>6121279</v>
      </c>
      <c r="D179" s="146">
        <v>9375458</v>
      </c>
      <c r="E179" s="146">
        <f t="shared" si="10"/>
        <v>3254179</v>
      </c>
      <c r="F179" s="150">
        <f t="shared" si="11"/>
        <v>0.53161749366431432</v>
      </c>
      <c r="G179" s="155"/>
    </row>
    <row r="180" spans="1:7" ht="15" customHeight="1" x14ac:dyDescent="0.2">
      <c r="A180" s="141">
        <v>11</v>
      </c>
      <c r="B180" s="161" t="s">
        <v>310</v>
      </c>
      <c r="C180" s="146">
        <v>0</v>
      </c>
      <c r="D180" s="146">
        <v>0</v>
      </c>
      <c r="E180" s="146">
        <f t="shared" si="10"/>
        <v>0</v>
      </c>
      <c r="F180" s="150">
        <f t="shared" si="11"/>
        <v>0</v>
      </c>
      <c r="G180" s="155"/>
    </row>
    <row r="181" spans="1:7" ht="15" customHeight="1" x14ac:dyDescent="0.2">
      <c r="A181" s="141">
        <v>12</v>
      </c>
      <c r="B181" s="161" t="s">
        <v>311</v>
      </c>
      <c r="C181" s="146">
        <v>7134176</v>
      </c>
      <c r="D181" s="146">
        <v>7659224</v>
      </c>
      <c r="E181" s="146">
        <f t="shared" si="10"/>
        <v>525048</v>
      </c>
      <c r="F181" s="150">
        <f t="shared" si="11"/>
        <v>7.3596165836110575E-2</v>
      </c>
      <c r="G181" s="155"/>
    </row>
    <row r="182" spans="1:7" ht="15" customHeight="1" x14ac:dyDescent="0.2">
      <c r="A182" s="141">
        <v>13</v>
      </c>
      <c r="B182" s="161" t="s">
        <v>312</v>
      </c>
      <c r="C182" s="146">
        <v>0</v>
      </c>
      <c r="D182" s="146">
        <v>0</v>
      </c>
      <c r="E182" s="146">
        <f t="shared" si="10"/>
        <v>0</v>
      </c>
      <c r="F182" s="150">
        <f t="shared" si="11"/>
        <v>0</v>
      </c>
      <c r="G182" s="155"/>
    </row>
    <row r="183" spans="1:7" ht="15.75" customHeight="1" x14ac:dyDescent="0.25">
      <c r="A183" s="141"/>
      <c r="B183" s="154" t="s">
        <v>313</v>
      </c>
      <c r="C183" s="147">
        <f>SUM(C170:C182)</f>
        <v>96878960</v>
      </c>
      <c r="D183" s="147">
        <f>SUM(D170:D182)</f>
        <v>101377964</v>
      </c>
      <c r="E183" s="147">
        <f t="shared" si="10"/>
        <v>4499004</v>
      </c>
      <c r="F183" s="148">
        <f t="shared" si="11"/>
        <v>4.6439433288714083E-2</v>
      </c>
      <c r="G183" s="155"/>
    </row>
    <row r="184" spans="1:7" ht="15.75" customHeight="1" x14ac:dyDescent="0.25">
      <c r="A184" s="141"/>
      <c r="B184" s="162"/>
      <c r="C184" s="146"/>
      <c r="D184" s="146"/>
      <c r="E184" s="147"/>
      <c r="F184" s="160"/>
      <c r="G184" s="155"/>
    </row>
    <row r="185" spans="1:7" ht="15.75" customHeight="1" x14ac:dyDescent="0.25">
      <c r="A185" s="144" t="s">
        <v>176</v>
      </c>
      <c r="B185" s="145" t="s">
        <v>314</v>
      </c>
      <c r="C185" s="146"/>
      <c r="D185" s="146"/>
      <c r="E185" s="147"/>
      <c r="F185" s="160"/>
      <c r="G185" s="155"/>
    </row>
    <row r="186" spans="1:7" ht="15" customHeight="1" x14ac:dyDescent="0.2">
      <c r="A186" s="141">
        <v>1</v>
      </c>
      <c r="B186" s="161" t="s">
        <v>315</v>
      </c>
      <c r="C186" s="146">
        <v>27780392</v>
      </c>
      <c r="D186" s="146">
        <v>31014122</v>
      </c>
      <c r="E186" s="146">
        <f>D186-C186</f>
        <v>3233730</v>
      </c>
      <c r="F186" s="150">
        <f>IF(C186=0,0,E186/C186)</f>
        <v>0.11640332505027287</v>
      </c>
      <c r="G186" s="155"/>
    </row>
    <row r="187" spans="1:7" ht="15.75" customHeight="1" x14ac:dyDescent="0.25">
      <c r="A187" s="141"/>
      <c r="B187" s="162"/>
      <c r="C187" s="146"/>
      <c r="D187" s="146"/>
      <c r="E187" s="147"/>
      <c r="F187" s="160"/>
      <c r="G187" s="155"/>
    </row>
    <row r="188" spans="1:7" ht="15.75" customHeight="1" x14ac:dyDescent="0.25">
      <c r="A188" s="153"/>
      <c r="B188" s="154" t="s">
        <v>316</v>
      </c>
      <c r="C188" s="147">
        <f>+C186+C183+C167+C130+C121</f>
        <v>495471968</v>
      </c>
      <c r="D188" s="147">
        <f>+D186+D183+D167+D130+D121</f>
        <v>514797196</v>
      </c>
      <c r="E188" s="147">
        <f>D188-C188</f>
        <v>19325228</v>
      </c>
      <c r="F188" s="148">
        <f>IF(C188=0,0,E188/C188)</f>
        <v>3.9003675784136389E-2</v>
      </c>
      <c r="G188" s="155"/>
    </row>
    <row r="189" spans="1:7" ht="15.75" customHeight="1" x14ac:dyDescent="0.25">
      <c r="A189" s="153"/>
      <c r="B189" s="162"/>
      <c r="C189" s="146"/>
      <c r="D189" s="146"/>
      <c r="E189" s="147"/>
      <c r="F189" s="148"/>
      <c r="G189" s="155"/>
    </row>
    <row r="190" spans="1:7" ht="15.75" customHeight="1" x14ac:dyDescent="0.25">
      <c r="A190" s="153"/>
      <c r="B190" s="157" t="s">
        <v>317</v>
      </c>
      <c r="C190" s="146"/>
      <c r="D190" s="146"/>
      <c r="E190" s="147"/>
      <c r="F190" s="148"/>
      <c r="G190" s="155"/>
    </row>
    <row r="191" spans="1:7" ht="15" customHeight="1" x14ac:dyDescent="0.2">
      <c r="A191" s="153"/>
      <c r="B191" s="162"/>
      <c r="C191" s="163"/>
      <c r="D191" s="163"/>
      <c r="E191" s="163"/>
      <c r="F191" s="163"/>
      <c r="G191" s="155"/>
    </row>
  </sheetData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FILING&amp;RDANBURY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318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319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320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471020724</v>
      </c>
      <c r="D11" s="164">
        <v>497720490</v>
      </c>
      <c r="E11" s="51">
        <v>521836000</v>
      </c>
      <c r="F11" s="13"/>
    </row>
    <row r="12" spans="1:6" ht="24" customHeight="1" x14ac:dyDescent="0.25">
      <c r="A12" s="44">
        <v>2</v>
      </c>
      <c r="B12" s="165" t="s">
        <v>321</v>
      </c>
      <c r="C12" s="49">
        <v>10083592</v>
      </c>
      <c r="D12" s="49">
        <v>13930894</v>
      </c>
      <c r="E12" s="49">
        <v>22126583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481104316</v>
      </c>
      <c r="D13" s="51">
        <f>+D11+D12</f>
        <v>511651384</v>
      </c>
      <c r="E13" s="51">
        <f>+E11+E12</f>
        <v>543962583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460314702</v>
      </c>
      <c r="D14" s="49">
        <v>495471968</v>
      </c>
      <c r="E14" s="49">
        <v>514797196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20789614</v>
      </c>
      <c r="D15" s="51">
        <f>+D13-D14</f>
        <v>16179416</v>
      </c>
      <c r="E15" s="51">
        <f>+E13-E14</f>
        <v>29165387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23790084</v>
      </c>
      <c r="D16" s="49">
        <v>7506504</v>
      </c>
      <c r="E16" s="49">
        <v>24210874</v>
      </c>
      <c r="F16" s="13"/>
    </row>
    <row r="17" spans="1:6" ht="24" customHeight="1" x14ac:dyDescent="0.25">
      <c r="A17" s="44">
        <v>7</v>
      </c>
      <c r="B17" s="45" t="s">
        <v>322</v>
      </c>
      <c r="C17" s="51">
        <f>C15+C16</f>
        <v>44579698</v>
      </c>
      <c r="D17" s="51">
        <f>D15+D16</f>
        <v>23685920</v>
      </c>
      <c r="E17" s="51">
        <f>E15+E16</f>
        <v>53376261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323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324</v>
      </c>
      <c r="C20" s="169">
        <f>IF(+C27=0,0,+C24/+C27)</f>
        <v>4.1176162777800666E-2</v>
      </c>
      <c r="D20" s="169">
        <f>IF(+D27=0,0,+D24/+D27)</f>
        <v>3.116473114244582E-2</v>
      </c>
      <c r="E20" s="169">
        <f>IF(+E27=0,0,+E24/+E27)</f>
        <v>5.1331836502879792E-2</v>
      </c>
      <c r="F20" s="13"/>
    </row>
    <row r="21" spans="1:6" ht="24" customHeight="1" x14ac:dyDescent="0.25">
      <c r="A21" s="25">
        <v>2</v>
      </c>
      <c r="B21" s="48" t="s">
        <v>325</v>
      </c>
      <c r="C21" s="169">
        <f>IF(C27=0,0,+C26/C27)</f>
        <v>4.711893021590257E-2</v>
      </c>
      <c r="D21" s="169">
        <f>IF(D27=0,0,+D26/D27)</f>
        <v>1.4459000187626929E-2</v>
      </c>
      <c r="E21" s="169">
        <f>IF(E27=0,0,+E26/E27)</f>
        <v>4.2611765301102403E-2</v>
      </c>
      <c r="F21" s="13"/>
    </row>
    <row r="22" spans="1:6" ht="24" customHeight="1" x14ac:dyDescent="0.25">
      <c r="A22" s="25">
        <v>3</v>
      </c>
      <c r="B22" s="48" t="s">
        <v>326</v>
      </c>
      <c r="C22" s="169">
        <f>IF(C27=0,0,+C28/C27)</f>
        <v>8.8295092993703236E-2</v>
      </c>
      <c r="D22" s="169">
        <f>IF(D27=0,0,+D28/D27)</f>
        <v>4.5623731330072748E-2</v>
      </c>
      <c r="E22" s="169">
        <f>IF(E27=0,0,+E28/E27)</f>
        <v>9.3943601803982188E-2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20789614</v>
      </c>
      <c r="D24" s="51">
        <f>+D15</f>
        <v>16179416</v>
      </c>
      <c r="E24" s="51">
        <f>+E15</f>
        <v>29165387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481104316</v>
      </c>
      <c r="D25" s="51">
        <f>+D13</f>
        <v>511651384</v>
      </c>
      <c r="E25" s="51">
        <f>+E13</f>
        <v>543962583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23790084</v>
      </c>
      <c r="D26" s="51">
        <f>+D16</f>
        <v>7506504</v>
      </c>
      <c r="E26" s="51">
        <f>+E16</f>
        <v>24210874</v>
      </c>
      <c r="F26" s="13"/>
    </row>
    <row r="27" spans="1:6" ht="24" customHeight="1" x14ac:dyDescent="0.25">
      <c r="A27" s="21">
        <v>7</v>
      </c>
      <c r="B27" s="48" t="s">
        <v>327</v>
      </c>
      <c r="C27" s="51">
        <f>+C25+C26</f>
        <v>504894400</v>
      </c>
      <c r="D27" s="51">
        <f>+D25+D26</f>
        <v>519157888</v>
      </c>
      <c r="E27" s="51">
        <f>+E25+E26</f>
        <v>568173457</v>
      </c>
      <c r="F27" s="13"/>
    </row>
    <row r="28" spans="1:6" ht="24" customHeight="1" x14ac:dyDescent="0.25">
      <c r="A28" s="21">
        <v>8</v>
      </c>
      <c r="B28" s="45" t="s">
        <v>322</v>
      </c>
      <c r="C28" s="51">
        <f>+C17</f>
        <v>44579698</v>
      </c>
      <c r="D28" s="51">
        <f>+D17</f>
        <v>23685920</v>
      </c>
      <c r="E28" s="51">
        <f>+E17</f>
        <v>53376261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328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329</v>
      </c>
      <c r="C31" s="51">
        <v>368034236</v>
      </c>
      <c r="D31" s="51">
        <v>332255763</v>
      </c>
      <c r="E31" s="51">
        <v>386002265</v>
      </c>
      <c r="F31" s="13"/>
    </row>
    <row r="32" spans="1:6" ht="24" customHeight="1" x14ac:dyDescent="0.25">
      <c r="A32" s="25">
        <v>2</v>
      </c>
      <c r="B32" s="48" t="s">
        <v>330</v>
      </c>
      <c r="C32" s="51">
        <v>424005127</v>
      </c>
      <c r="D32" s="51">
        <v>388241578</v>
      </c>
      <c r="E32" s="51">
        <v>444621099</v>
      </c>
      <c r="F32" s="13"/>
    </row>
    <row r="33" spans="1:6" ht="24" customHeight="1" x14ac:dyDescent="0.2">
      <c r="A33" s="25">
        <v>3</v>
      </c>
      <c r="B33" s="48" t="s">
        <v>331</v>
      </c>
      <c r="C33" s="51">
        <v>43338139</v>
      </c>
      <c r="D33" s="51">
        <f>+D32-C32</f>
        <v>-35763549</v>
      </c>
      <c r="E33" s="51">
        <f>+E32-D32</f>
        <v>56379521</v>
      </c>
      <c r="F33" s="5"/>
    </row>
    <row r="34" spans="1:6" ht="24" customHeight="1" x14ac:dyDescent="0.2">
      <c r="A34" s="25">
        <v>4</v>
      </c>
      <c r="B34" s="48" t="s">
        <v>332</v>
      </c>
      <c r="C34" s="171">
        <v>1.1137999999999999</v>
      </c>
      <c r="D34" s="171">
        <f>IF(C32=0,0,+D33/C32)</f>
        <v>-8.434697300252221E-2</v>
      </c>
      <c r="E34" s="171">
        <f>IF(D32=0,0,+E33/D32)</f>
        <v>0.14521762787601281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333</v>
      </c>
      <c r="B36" s="41" t="s">
        <v>334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335</v>
      </c>
      <c r="C38" s="172">
        <f>IF((C40+C41)=0,0,+C39/(C40+C41))</f>
        <v>0.4382568620528064</v>
      </c>
      <c r="D38" s="172">
        <f>IF((D40+D41)=0,0,+D39/(D40+D41))</f>
        <v>0.44043692926356071</v>
      </c>
      <c r="E38" s="172">
        <f>IF((E40+E41)=0,0,+E39/(E40+E41))</f>
        <v>0.4301891737028502</v>
      </c>
      <c r="F38" s="5"/>
    </row>
    <row r="39" spans="1:6" ht="24" customHeight="1" x14ac:dyDescent="0.2">
      <c r="A39" s="21">
        <v>2</v>
      </c>
      <c r="B39" s="48" t="s">
        <v>336</v>
      </c>
      <c r="C39" s="51">
        <v>460314702</v>
      </c>
      <c r="D39" s="51">
        <v>495471968</v>
      </c>
      <c r="E39" s="23">
        <v>514797196</v>
      </c>
      <c r="F39" s="5"/>
    </row>
    <row r="40" spans="1:6" ht="24" customHeight="1" x14ac:dyDescent="0.2">
      <c r="A40" s="21">
        <v>3</v>
      </c>
      <c r="B40" s="48" t="s">
        <v>337</v>
      </c>
      <c r="C40" s="51">
        <v>1042814916</v>
      </c>
      <c r="D40" s="51">
        <v>1113153089</v>
      </c>
      <c r="E40" s="23">
        <v>1177078060</v>
      </c>
      <c r="F40" s="5"/>
    </row>
    <row r="41" spans="1:6" ht="24" customHeight="1" x14ac:dyDescent="0.2">
      <c r="A41" s="21">
        <v>4</v>
      </c>
      <c r="B41" s="48" t="s">
        <v>338</v>
      </c>
      <c r="C41" s="51">
        <v>7515933</v>
      </c>
      <c r="D41" s="51">
        <v>11802461</v>
      </c>
      <c r="E41" s="23">
        <v>19598257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339</v>
      </c>
      <c r="C43" s="173">
        <f>IF(C38=0,0,IF((C46-C47)=0,0,((+C44-C45)/(C46-C47)/C38)))</f>
        <v>1.3717959473376626</v>
      </c>
      <c r="D43" s="173">
        <f>IF(D38=0,0,IF((D46-D47)=0,0,((+D44-D45)/(D46-D47)/D38)))</f>
        <v>1.3715529871159813</v>
      </c>
      <c r="E43" s="173">
        <f>IF(E38=0,0,IF((E46-E47)=0,0,((+E44-E45)/(E46-E47)/E38)))</f>
        <v>1.4038313141988148</v>
      </c>
      <c r="F43" s="5"/>
    </row>
    <row r="44" spans="1:6" ht="24" customHeight="1" x14ac:dyDescent="0.2">
      <c r="A44" s="21">
        <v>6</v>
      </c>
      <c r="B44" s="48" t="s">
        <v>340</v>
      </c>
      <c r="C44" s="51">
        <v>278426338</v>
      </c>
      <c r="D44" s="51">
        <v>284025912</v>
      </c>
      <c r="E44" s="23">
        <v>300340464</v>
      </c>
      <c r="F44" s="5"/>
    </row>
    <row r="45" spans="1:6" ht="24" customHeight="1" x14ac:dyDescent="0.2">
      <c r="A45" s="21">
        <v>7</v>
      </c>
      <c r="B45" s="48" t="s">
        <v>341</v>
      </c>
      <c r="C45" s="51">
        <v>8030434</v>
      </c>
      <c r="D45" s="51">
        <v>3211210</v>
      </c>
      <c r="E45" s="23">
        <v>7736655</v>
      </c>
      <c r="F45" s="5"/>
    </row>
    <row r="46" spans="1:6" ht="24" customHeight="1" x14ac:dyDescent="0.2">
      <c r="A46" s="21">
        <v>8</v>
      </c>
      <c r="B46" s="48" t="s">
        <v>342</v>
      </c>
      <c r="C46" s="51">
        <v>476971370</v>
      </c>
      <c r="D46" s="51">
        <v>493210518</v>
      </c>
      <c r="E46" s="23">
        <v>521061067</v>
      </c>
      <c r="F46" s="5"/>
    </row>
    <row r="47" spans="1:6" ht="24" customHeight="1" x14ac:dyDescent="0.2">
      <c r="A47" s="21">
        <v>9</v>
      </c>
      <c r="B47" s="48" t="s">
        <v>343</v>
      </c>
      <c r="C47" s="51">
        <v>27210293</v>
      </c>
      <c r="D47" s="51">
        <v>28349076</v>
      </c>
      <c r="E47" s="174">
        <v>36547912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344</v>
      </c>
      <c r="C49" s="175">
        <f>IF(C38=0,0,IF(C51=0,0,(C50/C51)/C38))</f>
        <v>0.78861315561695489</v>
      </c>
      <c r="D49" s="175">
        <f>IF(D38=0,0,IF(D51=0,0,(D50/D51)/D38))</f>
        <v>0.76935895962593148</v>
      </c>
      <c r="E49" s="175">
        <f>IF(E38=0,0,IF(E51=0,0,(E50/E51)/E38))</f>
        <v>0.77967507443163953</v>
      </c>
      <c r="F49" s="7"/>
    </row>
    <row r="50" spans="1:6" ht="24" customHeight="1" x14ac:dyDescent="0.25">
      <c r="A50" s="21">
        <v>11</v>
      </c>
      <c r="B50" s="48" t="s">
        <v>345</v>
      </c>
      <c r="C50" s="176">
        <v>156075045</v>
      </c>
      <c r="D50" s="176">
        <v>166023806</v>
      </c>
      <c r="E50" s="176">
        <v>170634278</v>
      </c>
      <c r="F50" s="11"/>
    </row>
    <row r="51" spans="1:6" ht="24" customHeight="1" x14ac:dyDescent="0.25">
      <c r="A51" s="21">
        <v>12</v>
      </c>
      <c r="B51" s="48" t="s">
        <v>346</v>
      </c>
      <c r="C51" s="176">
        <v>451586267</v>
      </c>
      <c r="D51" s="176">
        <v>489956613</v>
      </c>
      <c r="E51" s="176">
        <v>508736798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347</v>
      </c>
      <c r="C53" s="175">
        <f>IF(C38=0,0,IF(C55=0,0,(C54/C55)/C38))</f>
        <v>0.63890522957599671</v>
      </c>
      <c r="D53" s="175">
        <f>IF(D38=0,0,IF(D55=0,0,(D54/D55)/D38))</f>
        <v>0.55210107073335823</v>
      </c>
      <c r="E53" s="175">
        <f>IF(E38=0,0,IF(E55=0,0,(E54/E55)/E38))</f>
        <v>0.57138745541692637</v>
      </c>
      <c r="F53" s="13"/>
    </row>
    <row r="54" spans="1:6" ht="24" customHeight="1" x14ac:dyDescent="0.25">
      <c r="A54" s="21">
        <v>14</v>
      </c>
      <c r="B54" s="48" t="s">
        <v>348</v>
      </c>
      <c r="C54" s="176">
        <v>27587469</v>
      </c>
      <c r="D54" s="176">
        <v>30627225</v>
      </c>
      <c r="E54" s="176">
        <v>35364833</v>
      </c>
      <c r="F54" s="13"/>
    </row>
    <row r="55" spans="1:6" ht="24" customHeight="1" x14ac:dyDescent="0.25">
      <c r="A55" s="21">
        <v>15</v>
      </c>
      <c r="B55" s="48" t="s">
        <v>349</v>
      </c>
      <c r="C55" s="176">
        <v>98525056</v>
      </c>
      <c r="D55" s="176">
        <v>125952077</v>
      </c>
      <c r="E55" s="176">
        <v>143873707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350</v>
      </c>
      <c r="C57" s="53">
        <f>+C60*C38</f>
        <v>10279288.842293713</v>
      </c>
      <c r="D57" s="53">
        <f>+D60*D38</f>
        <v>13011699.593650028</v>
      </c>
      <c r="E57" s="53">
        <f>+E60*E38</f>
        <v>14361005.185722249</v>
      </c>
      <c r="F57" s="13"/>
    </row>
    <row r="58" spans="1:6" ht="24" customHeight="1" x14ac:dyDescent="0.25">
      <c r="A58" s="21">
        <v>17</v>
      </c>
      <c r="B58" s="48" t="s">
        <v>351</v>
      </c>
      <c r="C58" s="51">
        <v>12767832</v>
      </c>
      <c r="D58" s="51">
        <v>11359623</v>
      </c>
      <c r="E58" s="52">
        <v>13969782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10687109</v>
      </c>
      <c r="D59" s="51">
        <v>18183085</v>
      </c>
      <c r="E59" s="52">
        <v>19413218</v>
      </c>
      <c r="F59" s="28"/>
    </row>
    <row r="60" spans="1:6" ht="24" customHeight="1" x14ac:dyDescent="0.25">
      <c r="A60" s="21">
        <v>19</v>
      </c>
      <c r="B60" s="48" t="s">
        <v>352</v>
      </c>
      <c r="C60" s="51">
        <v>23454941</v>
      </c>
      <c r="D60" s="51">
        <v>29542708</v>
      </c>
      <c r="E60" s="52">
        <v>33383000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353</v>
      </c>
      <c r="C62" s="178">
        <f>IF(C63=0,0,+C57/C63)</f>
        <v>2.2331002676281481E-2</v>
      </c>
      <c r="D62" s="178">
        <f>IF(D63=0,0,+D57/D63)</f>
        <v>2.6261222498968961E-2</v>
      </c>
      <c r="E62" s="178">
        <f>IF(E63=0,0,+E57/E63)</f>
        <v>2.789643241514907E-2</v>
      </c>
      <c r="F62" s="13"/>
    </row>
    <row r="63" spans="1:6" ht="24" customHeight="1" x14ac:dyDescent="0.25">
      <c r="A63" s="21">
        <v>21</v>
      </c>
      <c r="B63" s="45" t="s">
        <v>336</v>
      </c>
      <c r="C63" s="176">
        <v>460314702</v>
      </c>
      <c r="D63" s="176">
        <v>495471968</v>
      </c>
      <c r="E63" s="176">
        <v>514797196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354</v>
      </c>
      <c r="B65" s="41" t="s">
        <v>355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356</v>
      </c>
      <c r="C67" s="179">
        <f>IF(C69=0,0,C68/C69)</f>
        <v>3.2111350898003712</v>
      </c>
      <c r="D67" s="179">
        <f>IF(D69=0,0,D68/D69)</f>
        <v>1.9628431874494192</v>
      </c>
      <c r="E67" s="179">
        <f>IF(E69=0,0,E68/E69)</f>
        <v>2.2572533888378175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269665576</v>
      </c>
      <c r="D68" s="180">
        <v>116037544</v>
      </c>
      <c r="E68" s="180">
        <v>142388783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83978272</v>
      </c>
      <c r="D69" s="180">
        <v>59117073</v>
      </c>
      <c r="E69" s="180">
        <v>63080549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357</v>
      </c>
      <c r="C71" s="181">
        <f>IF((C77/365)=0,0,+C74/(C77/365))</f>
        <v>167.56431260940207</v>
      </c>
      <c r="D71" s="181">
        <f>IF((D77/365)=0,0,+D74/(D77/365))</f>
        <v>28.541209795550998</v>
      </c>
      <c r="E71" s="181">
        <f>IF((E77/365)=0,0,+E74/(E77/365))</f>
        <v>40.432076237480906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26334940</v>
      </c>
      <c r="D72" s="182">
        <v>36603282</v>
      </c>
      <c r="E72" s="182">
        <v>53518078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173186305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358</v>
      </c>
      <c r="C74" s="180">
        <f>+C72+C73</f>
        <v>199521245</v>
      </c>
      <c r="D74" s="180">
        <f>+D72+D73</f>
        <v>36603282</v>
      </c>
      <c r="E74" s="180">
        <f>+E72+E73</f>
        <v>53518078</v>
      </c>
      <c r="F74" s="28"/>
    </row>
    <row r="75" spans="1:6" ht="24" customHeight="1" x14ac:dyDescent="0.25">
      <c r="A75" s="21">
        <v>8</v>
      </c>
      <c r="B75" s="48" t="s">
        <v>336</v>
      </c>
      <c r="C75" s="180">
        <f>+C14</f>
        <v>460314702</v>
      </c>
      <c r="D75" s="180">
        <f>+D14</f>
        <v>495471968</v>
      </c>
      <c r="E75" s="180">
        <f>+E14</f>
        <v>514797196</v>
      </c>
      <c r="F75" s="28"/>
    </row>
    <row r="76" spans="1:6" ht="24" customHeight="1" x14ac:dyDescent="0.25">
      <c r="A76" s="21">
        <v>9</v>
      </c>
      <c r="B76" s="45" t="s">
        <v>359</v>
      </c>
      <c r="C76" s="180">
        <v>25703935</v>
      </c>
      <c r="D76" s="180">
        <v>27369949</v>
      </c>
      <c r="E76" s="180">
        <v>31663499</v>
      </c>
      <c r="F76" s="28"/>
    </row>
    <row r="77" spans="1:6" ht="24" customHeight="1" x14ac:dyDescent="0.25">
      <c r="A77" s="21">
        <v>10</v>
      </c>
      <c r="B77" s="45" t="s">
        <v>360</v>
      </c>
      <c r="C77" s="180">
        <f>+C75-C76</f>
        <v>434610767</v>
      </c>
      <c r="D77" s="180">
        <f>+D75-D76</f>
        <v>468102019</v>
      </c>
      <c r="E77" s="180">
        <f>+E75-E76</f>
        <v>483133697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361</v>
      </c>
      <c r="C79" s="179">
        <f>IF((C84/365)=0,0,+C83/(C84/365))</f>
        <v>31.267466704925706</v>
      </c>
      <c r="D79" s="179">
        <f>IF((D84/365)=0,0,+D83/(D84/365))</f>
        <v>30.951474521372429</v>
      </c>
      <c r="E79" s="179">
        <f>IF((E84/365)=0,0,+E83/(E84/365))</f>
        <v>35.010152921607556</v>
      </c>
      <c r="F79" s="28"/>
    </row>
    <row r="80" spans="1:6" ht="24" customHeight="1" x14ac:dyDescent="0.25">
      <c r="A80" s="21">
        <v>12</v>
      </c>
      <c r="B80" s="188" t="s">
        <v>362</v>
      </c>
      <c r="C80" s="189">
        <v>51429630</v>
      </c>
      <c r="D80" s="189">
        <v>53313528</v>
      </c>
      <c r="E80" s="189">
        <v>60038935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11079973</v>
      </c>
      <c r="D82" s="190">
        <v>11107547</v>
      </c>
      <c r="E82" s="190">
        <v>9985351</v>
      </c>
      <c r="F82" s="28"/>
    </row>
    <row r="83" spans="1:6" ht="33.950000000000003" customHeight="1" x14ac:dyDescent="0.25">
      <c r="A83" s="21">
        <v>15</v>
      </c>
      <c r="B83" s="45" t="s">
        <v>363</v>
      </c>
      <c r="C83" s="191">
        <f>+C80+C81-C82</f>
        <v>40349657</v>
      </c>
      <c r="D83" s="191">
        <f>+D80+D81-D82</f>
        <v>42205981</v>
      </c>
      <c r="E83" s="191">
        <f>+E80+E81-E82</f>
        <v>50053584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471020724</v>
      </c>
      <c r="D84" s="191">
        <f>+D11</f>
        <v>497720490</v>
      </c>
      <c r="E84" s="191">
        <f>+E11</f>
        <v>521836000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364</v>
      </c>
      <c r="C86" s="179">
        <f>IF((C90/365)=0,0,+C87/(C90/365))</f>
        <v>70.527634397055792</v>
      </c>
      <c r="D86" s="179">
        <f>IF((D90/365)=0,0,+D87/(D90/365))</f>
        <v>46.096215716172757</v>
      </c>
      <c r="E86" s="179">
        <f>IF((E90/365)=0,0,+E87/(E90/365))</f>
        <v>47.656374473503142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83978272</v>
      </c>
      <c r="D87" s="51">
        <f>+D69</f>
        <v>59117073</v>
      </c>
      <c r="E87" s="51">
        <f>+E69</f>
        <v>63080549</v>
      </c>
      <c r="F87" s="28"/>
    </row>
    <row r="88" spans="1:6" ht="24" customHeight="1" x14ac:dyDescent="0.25">
      <c r="A88" s="21">
        <v>19</v>
      </c>
      <c r="B88" s="48" t="s">
        <v>336</v>
      </c>
      <c r="C88" s="51">
        <f t="shared" ref="C88:E89" si="0">+C75</f>
        <v>460314702</v>
      </c>
      <c r="D88" s="51">
        <f t="shared" si="0"/>
        <v>495471968</v>
      </c>
      <c r="E88" s="51">
        <f t="shared" si="0"/>
        <v>514797196</v>
      </c>
      <c r="F88" s="28"/>
    </row>
    <row r="89" spans="1:6" ht="24" customHeight="1" x14ac:dyDescent="0.25">
      <c r="A89" s="21">
        <v>20</v>
      </c>
      <c r="B89" s="48" t="s">
        <v>359</v>
      </c>
      <c r="C89" s="52">
        <f t="shared" si="0"/>
        <v>25703935</v>
      </c>
      <c r="D89" s="52">
        <f t="shared" si="0"/>
        <v>27369949</v>
      </c>
      <c r="E89" s="52">
        <f t="shared" si="0"/>
        <v>31663499</v>
      </c>
      <c r="F89" s="28"/>
    </row>
    <row r="90" spans="1:6" ht="24" customHeight="1" x14ac:dyDescent="0.25">
      <c r="A90" s="21">
        <v>21</v>
      </c>
      <c r="B90" s="48" t="s">
        <v>365</v>
      </c>
      <c r="C90" s="51">
        <f>+C88-C89</f>
        <v>434610767</v>
      </c>
      <c r="D90" s="51">
        <f>+D88-D89</f>
        <v>468102019</v>
      </c>
      <c r="E90" s="51">
        <f>+E88-E89</f>
        <v>483133697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366</v>
      </c>
      <c r="B92" s="41" t="s">
        <v>367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368</v>
      </c>
      <c r="C94" s="192">
        <f>IF(C96=0,0,(C95/C96)*100)</f>
        <v>70.266786870472885</v>
      </c>
      <c r="D94" s="192">
        <f>IF(D96=0,0,(D95/D96)*100)</f>
        <v>54.291475705630354</v>
      </c>
      <c r="E94" s="192">
        <f>IF(E96=0,0,(E95/E96)*100)</f>
        <v>57.45320560261208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424005127</v>
      </c>
      <c r="D95" s="51">
        <f>+D32</f>
        <v>388241578</v>
      </c>
      <c r="E95" s="51">
        <f>+E32</f>
        <v>444621099</v>
      </c>
      <c r="F95" s="28"/>
    </row>
    <row r="96" spans="1:6" ht="24" customHeight="1" x14ac:dyDescent="0.25">
      <c r="A96" s="21">
        <v>3</v>
      </c>
      <c r="B96" s="48" t="s">
        <v>43</v>
      </c>
      <c r="C96" s="51">
        <v>603421824</v>
      </c>
      <c r="D96" s="51">
        <v>715105959</v>
      </c>
      <c r="E96" s="51">
        <v>773883884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369</v>
      </c>
      <c r="C98" s="192">
        <f>IF(C104=0,0,(C101/C104)*100)</f>
        <v>42.534717985915513</v>
      </c>
      <c r="D98" s="192">
        <f>IF(D104=0,0,(D101/D104)*100)</f>
        <v>16.405227549967993</v>
      </c>
      <c r="E98" s="192">
        <f>IF(E104=0,0,(E101/E104)*100)</f>
        <v>27.198749657412009</v>
      </c>
      <c r="F98" s="28"/>
    </row>
    <row r="99" spans="1:6" ht="24" customHeight="1" x14ac:dyDescent="0.25">
      <c r="A99" s="21">
        <v>5</v>
      </c>
      <c r="B99" s="48" t="s">
        <v>370</v>
      </c>
      <c r="C99" s="51">
        <f>+C28</f>
        <v>44579698</v>
      </c>
      <c r="D99" s="51">
        <f>+D28</f>
        <v>23685920</v>
      </c>
      <c r="E99" s="51">
        <f>+E28</f>
        <v>53376261</v>
      </c>
      <c r="F99" s="28"/>
    </row>
    <row r="100" spans="1:6" ht="24" customHeight="1" x14ac:dyDescent="0.25">
      <c r="A100" s="21">
        <v>6</v>
      </c>
      <c r="B100" s="48" t="s">
        <v>359</v>
      </c>
      <c r="C100" s="52">
        <f>+C76</f>
        <v>25703935</v>
      </c>
      <c r="D100" s="52">
        <f>+D76</f>
        <v>27369949</v>
      </c>
      <c r="E100" s="52">
        <f>+E76</f>
        <v>31663499</v>
      </c>
      <c r="F100" s="28"/>
    </row>
    <row r="101" spans="1:6" ht="24" customHeight="1" x14ac:dyDescent="0.25">
      <c r="A101" s="21">
        <v>7</v>
      </c>
      <c r="B101" s="48" t="s">
        <v>371</v>
      </c>
      <c r="C101" s="51">
        <f>+C99+C100</f>
        <v>70283633</v>
      </c>
      <c r="D101" s="51">
        <f>+D99+D100</f>
        <v>51055869</v>
      </c>
      <c r="E101" s="51">
        <f>+E99+E100</f>
        <v>85039760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83978272</v>
      </c>
      <c r="D102" s="180">
        <f>+D69</f>
        <v>59117073</v>
      </c>
      <c r="E102" s="180">
        <f>+E69</f>
        <v>63080549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81260000</v>
      </c>
      <c r="D103" s="194">
        <v>252100000</v>
      </c>
      <c r="E103" s="194">
        <v>249580000</v>
      </c>
      <c r="F103" s="28"/>
    </row>
    <row r="104" spans="1:6" ht="24" customHeight="1" x14ac:dyDescent="0.25">
      <c r="A104" s="21">
        <v>10</v>
      </c>
      <c r="B104" s="195" t="s">
        <v>372</v>
      </c>
      <c r="C104" s="180">
        <f>+C102+C103</f>
        <v>165238272</v>
      </c>
      <c r="D104" s="180">
        <f>+D102+D103</f>
        <v>311217073</v>
      </c>
      <c r="E104" s="180">
        <f>+E102+E103</f>
        <v>312660549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373</v>
      </c>
      <c r="C106" s="197">
        <f>IF(C109=0,0,(C107/C109)*100)</f>
        <v>16.082645656247717</v>
      </c>
      <c r="D106" s="197">
        <f>IF(D109=0,0,(D107/D109)*100)</f>
        <v>39.369612822486438</v>
      </c>
      <c r="E106" s="197">
        <f>IF(E109=0,0,(E107/E109)*100)</f>
        <v>35.952118249239476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81260000</v>
      </c>
      <c r="D107" s="180">
        <f>+D103</f>
        <v>252100000</v>
      </c>
      <c r="E107" s="180">
        <f>+E103</f>
        <v>249580000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424005127</v>
      </c>
      <c r="D108" s="180">
        <f>+D32</f>
        <v>388241578</v>
      </c>
      <c r="E108" s="180">
        <f>+E32</f>
        <v>444621099</v>
      </c>
      <c r="F108" s="28"/>
    </row>
    <row r="109" spans="1:6" ht="24" customHeight="1" x14ac:dyDescent="0.25">
      <c r="A109" s="17">
        <v>14</v>
      </c>
      <c r="B109" s="48" t="s">
        <v>374</v>
      </c>
      <c r="C109" s="180">
        <f>+C107+C108</f>
        <v>505265127</v>
      </c>
      <c r="D109" s="180">
        <f>+D107+D108</f>
        <v>640341578</v>
      </c>
      <c r="E109" s="180">
        <f>+E107+E108</f>
        <v>694201099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375</v>
      </c>
      <c r="C111" s="197">
        <f>IF((+C113+C115)=0,0,((+C112+C113+C114)/(+C113+C115)))</f>
        <v>10.66523386988516</v>
      </c>
      <c r="D111" s="197">
        <f>IF((+D113+D115)=0,0,((+D112+D113+D114)/(+D113+D115)))</f>
        <v>1.4011525822115229</v>
      </c>
      <c r="E111" s="197">
        <f>IF((+E113+E115)=0,0,((+E112+E113+E114)/(+E113+E115)))</f>
        <v>1.8771721289325864</v>
      </c>
    </row>
    <row r="112" spans="1:6" ht="24" customHeight="1" x14ac:dyDescent="0.25">
      <c r="A112" s="17">
        <v>16</v>
      </c>
      <c r="B112" s="48" t="s">
        <v>376</v>
      </c>
      <c r="C112" s="180">
        <f>+C17</f>
        <v>44579698</v>
      </c>
      <c r="D112" s="180">
        <f>+D17</f>
        <v>23685920</v>
      </c>
      <c r="E112" s="180">
        <f>+E17</f>
        <v>53376261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4557278</v>
      </c>
      <c r="D113" s="180">
        <v>4587742</v>
      </c>
      <c r="E113" s="180">
        <v>4156056</v>
      </c>
      <c r="F113" s="28"/>
    </row>
    <row r="114" spans="1:8" ht="24" customHeight="1" x14ac:dyDescent="0.25">
      <c r="A114" s="17">
        <v>18</v>
      </c>
      <c r="B114" s="48" t="s">
        <v>377</v>
      </c>
      <c r="C114" s="180">
        <v>25703935</v>
      </c>
      <c r="D114" s="180">
        <v>27369949</v>
      </c>
      <c r="E114" s="180">
        <v>31663499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2460000</v>
      </c>
      <c r="D115" s="180">
        <v>35125000</v>
      </c>
      <c r="E115" s="180">
        <v>43360000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378</v>
      </c>
      <c r="B117" s="30" t="s">
        <v>379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380</v>
      </c>
      <c r="C119" s="197">
        <f>IF(+C121=0,0,(+C120)/(+C121))</f>
        <v>10.68731223448861</v>
      </c>
      <c r="D119" s="197">
        <f>IF(+D121=0,0,(+D120)/(+D121))</f>
        <v>10.954849897601198</v>
      </c>
      <c r="E119" s="197">
        <f>IF(+E121=0,0,(+E120)/(+E121))</f>
        <v>10.200325523088905</v>
      </c>
    </row>
    <row r="120" spans="1:8" ht="24" customHeight="1" x14ac:dyDescent="0.25">
      <c r="A120" s="17">
        <v>21</v>
      </c>
      <c r="B120" s="48" t="s">
        <v>381</v>
      </c>
      <c r="C120" s="180">
        <v>274705979</v>
      </c>
      <c r="D120" s="180">
        <v>299833683</v>
      </c>
      <c r="E120" s="180">
        <v>322977997</v>
      </c>
      <c r="F120" s="28"/>
    </row>
    <row r="121" spans="1:8" ht="24" customHeight="1" x14ac:dyDescent="0.25">
      <c r="A121" s="17">
        <v>22</v>
      </c>
      <c r="B121" s="48" t="s">
        <v>377</v>
      </c>
      <c r="C121" s="180">
        <v>25703935</v>
      </c>
      <c r="D121" s="180">
        <v>27369949</v>
      </c>
      <c r="E121" s="180">
        <v>31663499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382</v>
      </c>
      <c r="B123" s="30" t="s">
        <v>383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384</v>
      </c>
      <c r="C124" s="198">
        <v>95884</v>
      </c>
      <c r="D124" s="198">
        <v>96663</v>
      </c>
      <c r="E124" s="198">
        <v>92010</v>
      </c>
    </row>
    <row r="125" spans="1:8" ht="24" customHeight="1" x14ac:dyDescent="0.2">
      <c r="A125" s="44">
        <v>2</v>
      </c>
      <c r="B125" s="48" t="s">
        <v>385</v>
      </c>
      <c r="C125" s="198">
        <v>20715</v>
      </c>
      <c r="D125" s="198">
        <v>20763</v>
      </c>
      <c r="E125" s="198">
        <v>19668</v>
      </c>
    </row>
    <row r="126" spans="1:8" ht="24" customHeight="1" x14ac:dyDescent="0.2">
      <c r="A126" s="44">
        <v>3</v>
      </c>
      <c r="B126" s="48" t="s">
        <v>386</v>
      </c>
      <c r="C126" s="199">
        <f>IF(C125=0,0,C124/C125)</f>
        <v>4.6287231474776735</v>
      </c>
      <c r="D126" s="199">
        <f>IF(D125=0,0,D124/D125)</f>
        <v>4.6555411067764778</v>
      </c>
      <c r="E126" s="199">
        <f>IF(E125=0,0,E124/E125)</f>
        <v>4.6781574130567423</v>
      </c>
    </row>
    <row r="127" spans="1:8" ht="24" customHeight="1" x14ac:dyDescent="0.2">
      <c r="A127" s="44">
        <v>4</v>
      </c>
      <c r="B127" s="48" t="s">
        <v>387</v>
      </c>
      <c r="C127" s="198">
        <v>278</v>
      </c>
      <c r="D127" s="198">
        <v>286</v>
      </c>
      <c r="E127" s="198">
        <v>265</v>
      </c>
    </row>
    <row r="128" spans="1:8" ht="24" customHeight="1" x14ac:dyDescent="0.2">
      <c r="A128" s="44">
        <v>5</v>
      </c>
      <c r="B128" s="48" t="s">
        <v>388</v>
      </c>
      <c r="C128" s="198">
        <v>0</v>
      </c>
      <c r="D128" s="198">
        <v>371</v>
      </c>
      <c r="E128" s="198">
        <v>371</v>
      </c>
      <c r="G128" s="6"/>
      <c r="H128" s="12"/>
    </row>
    <row r="129" spans="1:8" ht="24" customHeight="1" x14ac:dyDescent="0.2">
      <c r="A129" s="44">
        <v>6</v>
      </c>
      <c r="B129" s="48" t="s">
        <v>389</v>
      </c>
      <c r="C129" s="198">
        <v>371</v>
      </c>
      <c r="D129" s="198">
        <v>371</v>
      </c>
      <c r="E129" s="198">
        <v>371</v>
      </c>
      <c r="G129" s="6"/>
      <c r="H129" s="12"/>
    </row>
    <row r="130" spans="1:8" ht="24" customHeight="1" x14ac:dyDescent="0.2">
      <c r="A130" s="44">
        <v>6</v>
      </c>
      <c r="B130" s="48" t="s">
        <v>390</v>
      </c>
      <c r="C130" s="171">
        <v>0.94489999999999996</v>
      </c>
      <c r="D130" s="171">
        <v>0.92589999999999995</v>
      </c>
      <c r="E130" s="171">
        <v>0.95120000000000005</v>
      </c>
    </row>
    <row r="131" spans="1:8" ht="24" customHeight="1" x14ac:dyDescent="0.2">
      <c r="A131" s="44">
        <v>7</v>
      </c>
      <c r="B131" s="48" t="s">
        <v>391</v>
      </c>
      <c r="C131" s="171">
        <v>0.71970000000000001</v>
      </c>
      <c r="D131" s="171">
        <v>0.71379999999999999</v>
      </c>
      <c r="E131" s="171">
        <v>0.6794</v>
      </c>
    </row>
    <row r="132" spans="1:8" ht="24" customHeight="1" x14ac:dyDescent="0.2">
      <c r="A132" s="44">
        <v>8</v>
      </c>
      <c r="B132" s="48" t="s">
        <v>392</v>
      </c>
      <c r="C132" s="199">
        <v>2492.8000000000002</v>
      </c>
      <c r="D132" s="199">
        <v>2541.3000000000002</v>
      </c>
      <c r="E132" s="199">
        <v>2403.9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393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394</v>
      </c>
      <c r="C135" s="203">
        <f>IF(C149=0,0,C143/C149)</f>
        <v>0.43129520886139683</v>
      </c>
      <c r="D135" s="203">
        <f>IF(D149=0,0,D143/D149)</f>
        <v>0.41760782644695155</v>
      </c>
      <c r="E135" s="203">
        <f>IF(E149=0,0,E143/E149)</f>
        <v>0.41162363947213493</v>
      </c>
      <c r="G135" s="6"/>
    </row>
    <row r="136" spans="1:8" ht="20.100000000000001" customHeight="1" x14ac:dyDescent="0.2">
      <c r="A136" s="202">
        <v>2</v>
      </c>
      <c r="B136" s="195" t="s">
        <v>395</v>
      </c>
      <c r="C136" s="203">
        <f>IF(C149=0,0,C144/C149)</f>
        <v>0.43304546192356153</v>
      </c>
      <c r="D136" s="203">
        <f>IF(D149=0,0,D144/D149)</f>
        <v>0.44015204902333072</v>
      </c>
      <c r="E136" s="203">
        <f>IF(E149=0,0,E144/E149)</f>
        <v>0.43220310979205578</v>
      </c>
    </row>
    <row r="137" spans="1:8" ht="20.100000000000001" customHeight="1" x14ac:dyDescent="0.2">
      <c r="A137" s="202">
        <v>3</v>
      </c>
      <c r="B137" s="195" t="s">
        <v>396</v>
      </c>
      <c r="C137" s="203">
        <f>IF(C149=0,0,C145/C149)</f>
        <v>9.4479906729680874E-2</v>
      </c>
      <c r="D137" s="203">
        <f>IF(D149=0,0,D145/D149)</f>
        <v>0.11314892645462532</v>
      </c>
      <c r="E137" s="203">
        <f>IF(E149=0,0,E145/E149)</f>
        <v>0.12222953760602759</v>
      </c>
      <c r="G137" s="6"/>
    </row>
    <row r="138" spans="1:8" ht="20.100000000000001" customHeight="1" x14ac:dyDescent="0.2">
      <c r="A138" s="202">
        <v>4</v>
      </c>
      <c r="B138" s="195" t="s">
        <v>397</v>
      </c>
      <c r="C138" s="203">
        <f>IF(C149=0,0,C146/C149)</f>
        <v>1.3114308004393754E-2</v>
      </c>
      <c r="D138" s="203">
        <f>IF(D149=0,0,D146/D149)</f>
        <v>2.4298113410706262E-3</v>
      </c>
      <c r="E138" s="203">
        <f>IF(E149=0,0,E146/E149)</f>
        <v>1.6345593936225437E-3</v>
      </c>
      <c r="G138" s="6"/>
    </row>
    <row r="139" spans="1:8" ht="20.100000000000001" customHeight="1" x14ac:dyDescent="0.2">
      <c r="A139" s="202">
        <v>5</v>
      </c>
      <c r="B139" s="195" t="s">
        <v>398</v>
      </c>
      <c r="C139" s="203">
        <f>IF(C149=0,0,C147/C149)</f>
        <v>2.6093118330501517E-2</v>
      </c>
      <c r="D139" s="203">
        <f>IF(D149=0,0,D147/D149)</f>
        <v>2.5467364983434007E-2</v>
      </c>
      <c r="E139" s="203">
        <f>IF(E149=0,0,E147/E149)</f>
        <v>3.1049692660145241E-2</v>
      </c>
    </row>
    <row r="140" spans="1:8" ht="20.100000000000001" customHeight="1" x14ac:dyDescent="0.2">
      <c r="A140" s="202">
        <v>6</v>
      </c>
      <c r="B140" s="195" t="s">
        <v>399</v>
      </c>
      <c r="C140" s="203">
        <f>IF(C149=0,0,C148/C149)</f>
        <v>1.9719961504654966E-3</v>
      </c>
      <c r="D140" s="203">
        <f>IF(D149=0,0,D148/D149)</f>
        <v>1.1940217505878026E-3</v>
      </c>
      <c r="E140" s="203">
        <f>IF(E149=0,0,E148/E149)</f>
        <v>1.2594610760139392E-3</v>
      </c>
    </row>
    <row r="141" spans="1:8" ht="20.100000000000001" customHeight="1" x14ac:dyDescent="0.2">
      <c r="A141" s="202">
        <v>7</v>
      </c>
      <c r="B141" s="195" t="s">
        <v>400</v>
      </c>
      <c r="C141" s="203">
        <f>SUM(C135:C140)</f>
        <v>1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401</v>
      </c>
      <c r="C143" s="204">
        <f>+C46-C147</f>
        <v>449761077</v>
      </c>
      <c r="D143" s="205">
        <f>+D46-D147</f>
        <v>464861442</v>
      </c>
      <c r="E143" s="205">
        <f>+E46-E147</f>
        <v>484513155</v>
      </c>
    </row>
    <row r="144" spans="1:8" ht="20.100000000000001" customHeight="1" x14ac:dyDescent="0.2">
      <c r="A144" s="202">
        <v>9</v>
      </c>
      <c r="B144" s="201" t="s">
        <v>402</v>
      </c>
      <c r="C144" s="206">
        <f>+C51</f>
        <v>451586267</v>
      </c>
      <c r="D144" s="205">
        <f>+D51</f>
        <v>489956613</v>
      </c>
      <c r="E144" s="205">
        <f>+E51</f>
        <v>508736798</v>
      </c>
    </row>
    <row r="145" spans="1:7" ht="20.100000000000001" customHeight="1" x14ac:dyDescent="0.2">
      <c r="A145" s="202">
        <v>10</v>
      </c>
      <c r="B145" s="201" t="s">
        <v>403</v>
      </c>
      <c r="C145" s="206">
        <f>+C55</f>
        <v>98525056</v>
      </c>
      <c r="D145" s="205">
        <f>+D55</f>
        <v>125952077</v>
      </c>
      <c r="E145" s="205">
        <f>+E55</f>
        <v>143873707</v>
      </c>
    </row>
    <row r="146" spans="1:7" ht="20.100000000000001" customHeight="1" x14ac:dyDescent="0.2">
      <c r="A146" s="202">
        <v>11</v>
      </c>
      <c r="B146" s="201" t="s">
        <v>404</v>
      </c>
      <c r="C146" s="204">
        <v>13675796</v>
      </c>
      <c r="D146" s="205">
        <v>2704752</v>
      </c>
      <c r="E146" s="205">
        <v>1924004</v>
      </c>
    </row>
    <row r="147" spans="1:7" ht="20.100000000000001" customHeight="1" x14ac:dyDescent="0.2">
      <c r="A147" s="202">
        <v>12</v>
      </c>
      <c r="B147" s="201" t="s">
        <v>405</v>
      </c>
      <c r="C147" s="206">
        <f>+C47</f>
        <v>27210293</v>
      </c>
      <c r="D147" s="205">
        <f>+D47</f>
        <v>28349076</v>
      </c>
      <c r="E147" s="205">
        <f>+E47</f>
        <v>36547912</v>
      </c>
    </row>
    <row r="148" spans="1:7" ht="20.100000000000001" customHeight="1" x14ac:dyDescent="0.2">
      <c r="A148" s="202">
        <v>13</v>
      </c>
      <c r="B148" s="201" t="s">
        <v>406</v>
      </c>
      <c r="C148" s="206">
        <v>2056427</v>
      </c>
      <c r="D148" s="205">
        <v>1329129</v>
      </c>
      <c r="E148" s="205">
        <v>1482484</v>
      </c>
    </row>
    <row r="149" spans="1:7" ht="20.100000000000001" customHeight="1" x14ac:dyDescent="0.2">
      <c r="A149" s="202">
        <v>14</v>
      </c>
      <c r="B149" s="201" t="s">
        <v>407</v>
      </c>
      <c r="C149" s="204">
        <f>SUM(C143:C148)</f>
        <v>1042814916</v>
      </c>
      <c r="D149" s="205">
        <f>SUM(D143:D148)</f>
        <v>1113153089</v>
      </c>
      <c r="E149" s="205">
        <f>SUM(E143:E148)</f>
        <v>1177078060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408</v>
      </c>
      <c r="B151" s="30" t="s">
        <v>409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410</v>
      </c>
      <c r="C152" s="203">
        <f>IF(C166=0,0,C160/C166)</f>
        <v>0.58246483097208013</v>
      </c>
      <c r="D152" s="203">
        <f>IF(D166=0,0,D160/D166)</f>
        <v>0.5830750815895378</v>
      </c>
      <c r="E152" s="203">
        <f>IF(E166=0,0,E160/E166)</f>
        <v>0.57686461429504421</v>
      </c>
    </row>
    <row r="153" spans="1:7" ht="20.100000000000001" customHeight="1" x14ac:dyDescent="0.2">
      <c r="A153" s="202">
        <v>2</v>
      </c>
      <c r="B153" s="195" t="s">
        <v>411</v>
      </c>
      <c r="C153" s="203">
        <f>IF(C166=0,0,C161/C166)</f>
        <v>0.33620414865783177</v>
      </c>
      <c r="D153" s="203">
        <f>IF(D166=0,0,D161/D166)</f>
        <v>0.34472676658238355</v>
      </c>
      <c r="E153" s="203">
        <f>IF(E166=0,0,E161/E166)</f>
        <v>0.33640326590548025</v>
      </c>
    </row>
    <row r="154" spans="1:7" ht="20.100000000000001" customHeight="1" x14ac:dyDescent="0.2">
      <c r="A154" s="202">
        <v>3</v>
      </c>
      <c r="B154" s="195" t="s">
        <v>412</v>
      </c>
      <c r="C154" s="203">
        <f>IF(C166=0,0,C162/C166)</f>
        <v>5.9426678549215378E-2</v>
      </c>
      <c r="D154" s="203">
        <f>IF(D166=0,0,D162/D166)</f>
        <v>6.3593435772946585E-2</v>
      </c>
      <c r="E154" s="203">
        <f>IF(E166=0,0,E162/E166)</f>
        <v>6.9721309568303164E-2</v>
      </c>
    </row>
    <row r="155" spans="1:7" ht="20.100000000000001" customHeight="1" x14ac:dyDescent="0.2">
      <c r="A155" s="202">
        <v>4</v>
      </c>
      <c r="B155" s="195" t="s">
        <v>413</v>
      </c>
      <c r="C155" s="203">
        <f>IF(C166=0,0,C163/C166)</f>
        <v>3.2981041247266518E-3</v>
      </c>
      <c r="D155" s="203">
        <f>IF(D166=0,0,D163/D166)</f>
        <v>1.1847349076949628E-3</v>
      </c>
      <c r="E155" s="203">
        <f>IF(E166=0,0,E163/E166)</f>
        <v>1.0364205889677131E-3</v>
      </c>
      <c r="G155" s="6"/>
    </row>
    <row r="156" spans="1:7" ht="20.100000000000001" customHeight="1" x14ac:dyDescent="0.2">
      <c r="A156" s="202">
        <v>5</v>
      </c>
      <c r="B156" s="195" t="s">
        <v>414</v>
      </c>
      <c r="C156" s="203">
        <f>IF(C166=0,0,C164/C166)</f>
        <v>1.7298506794106043E-2</v>
      </c>
      <c r="D156" s="203">
        <f>IF(D166=0,0,D164/D166)</f>
        <v>6.6676584930056111E-3</v>
      </c>
      <c r="E156" s="203">
        <f>IF(E166=0,0,E164/E166)</f>
        <v>1.5252714986047314E-2</v>
      </c>
    </row>
    <row r="157" spans="1:7" ht="20.100000000000001" customHeight="1" x14ac:dyDescent="0.2">
      <c r="A157" s="202">
        <v>6</v>
      </c>
      <c r="B157" s="195" t="s">
        <v>415</v>
      </c>
      <c r="C157" s="203">
        <f>IF(C166=0,0,C165/C166)</f>
        <v>1.3077309020400483E-3</v>
      </c>
      <c r="D157" s="203">
        <f>IF(D166=0,0,D165/D166)</f>
        <v>7.5232265443142966E-4</v>
      </c>
      <c r="E157" s="203">
        <f>IF(E166=0,0,E165/E166)</f>
        <v>7.2167465615728438E-4</v>
      </c>
    </row>
    <row r="158" spans="1:7" ht="20.100000000000001" customHeight="1" x14ac:dyDescent="0.2">
      <c r="A158" s="202">
        <v>7</v>
      </c>
      <c r="B158" s="195" t="s">
        <v>416</v>
      </c>
      <c r="C158" s="203">
        <f>SUM(C152:C157)</f>
        <v>1</v>
      </c>
      <c r="D158" s="203">
        <f>SUM(D152:D157)</f>
        <v>1</v>
      </c>
      <c r="E158" s="203">
        <f>SUM(E152:E157)</f>
        <v>0.99999999999999989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417</v>
      </c>
      <c r="C160" s="207">
        <f>+C44-C164</f>
        <v>270395904</v>
      </c>
      <c r="D160" s="208">
        <f>+D44-D164</f>
        <v>280814702</v>
      </c>
      <c r="E160" s="208">
        <f>+E44-E164</f>
        <v>292603809</v>
      </c>
    </row>
    <row r="161" spans="1:6" ht="20.100000000000001" customHeight="1" x14ac:dyDescent="0.2">
      <c r="A161" s="202">
        <v>9</v>
      </c>
      <c r="B161" s="201" t="s">
        <v>418</v>
      </c>
      <c r="C161" s="209">
        <f>+C50</f>
        <v>156075045</v>
      </c>
      <c r="D161" s="208">
        <f>+D50</f>
        <v>166023806</v>
      </c>
      <c r="E161" s="208">
        <f>+E50</f>
        <v>170634278</v>
      </c>
    </row>
    <row r="162" spans="1:6" ht="20.100000000000001" customHeight="1" x14ac:dyDescent="0.2">
      <c r="A162" s="202">
        <v>10</v>
      </c>
      <c r="B162" s="201" t="s">
        <v>419</v>
      </c>
      <c r="C162" s="209">
        <f>+C54</f>
        <v>27587469</v>
      </c>
      <c r="D162" s="208">
        <f>+D54</f>
        <v>30627225</v>
      </c>
      <c r="E162" s="208">
        <f>+E54</f>
        <v>35364833</v>
      </c>
    </row>
    <row r="163" spans="1:6" ht="20.100000000000001" customHeight="1" x14ac:dyDescent="0.2">
      <c r="A163" s="202">
        <v>11</v>
      </c>
      <c r="B163" s="201" t="s">
        <v>420</v>
      </c>
      <c r="C163" s="207">
        <v>1531069</v>
      </c>
      <c r="D163" s="208">
        <v>570580</v>
      </c>
      <c r="E163" s="208">
        <v>525705</v>
      </c>
    </row>
    <row r="164" spans="1:6" ht="20.100000000000001" customHeight="1" x14ac:dyDescent="0.2">
      <c r="A164" s="202">
        <v>12</v>
      </c>
      <c r="B164" s="201" t="s">
        <v>421</v>
      </c>
      <c r="C164" s="209">
        <f>+C45</f>
        <v>8030434</v>
      </c>
      <c r="D164" s="208">
        <f>+D45</f>
        <v>3211210</v>
      </c>
      <c r="E164" s="208">
        <f>+E45</f>
        <v>7736655</v>
      </c>
    </row>
    <row r="165" spans="1:6" ht="20.100000000000001" customHeight="1" x14ac:dyDescent="0.2">
      <c r="A165" s="202">
        <v>13</v>
      </c>
      <c r="B165" s="201" t="s">
        <v>422</v>
      </c>
      <c r="C165" s="209">
        <v>607084</v>
      </c>
      <c r="D165" s="208">
        <v>362326</v>
      </c>
      <c r="E165" s="208">
        <v>366056</v>
      </c>
    </row>
    <row r="166" spans="1:6" ht="20.100000000000001" customHeight="1" x14ac:dyDescent="0.2">
      <c r="A166" s="202">
        <v>14</v>
      </c>
      <c r="B166" s="201" t="s">
        <v>423</v>
      </c>
      <c r="C166" s="207">
        <f>SUM(C160:C165)</f>
        <v>464227005</v>
      </c>
      <c r="D166" s="208">
        <f>SUM(D160:D165)</f>
        <v>481609849</v>
      </c>
      <c r="E166" s="208">
        <f>SUM(E160:E165)</f>
        <v>507231336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424</v>
      </c>
      <c r="B168" s="30" t="s">
        <v>385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425</v>
      </c>
      <c r="C169" s="198">
        <v>8752</v>
      </c>
      <c r="D169" s="198">
        <v>8068</v>
      </c>
      <c r="E169" s="198">
        <v>7521</v>
      </c>
    </row>
    <row r="170" spans="1:6" ht="20.100000000000001" customHeight="1" x14ac:dyDescent="0.2">
      <c r="A170" s="202">
        <v>2</v>
      </c>
      <c r="B170" s="201" t="s">
        <v>426</v>
      </c>
      <c r="C170" s="198">
        <v>8917</v>
      </c>
      <c r="D170" s="198">
        <v>9495</v>
      </c>
      <c r="E170" s="198">
        <v>8736</v>
      </c>
    </row>
    <row r="171" spans="1:6" ht="20.100000000000001" customHeight="1" x14ac:dyDescent="0.2">
      <c r="A171" s="202">
        <v>3</v>
      </c>
      <c r="B171" s="201" t="s">
        <v>427</v>
      </c>
      <c r="C171" s="198">
        <v>3017</v>
      </c>
      <c r="D171" s="198">
        <v>3166</v>
      </c>
      <c r="E171" s="198">
        <v>3377</v>
      </c>
    </row>
    <row r="172" spans="1:6" ht="20.100000000000001" customHeight="1" x14ac:dyDescent="0.2">
      <c r="A172" s="202">
        <v>4</v>
      </c>
      <c r="B172" s="201" t="s">
        <v>428</v>
      </c>
      <c r="C172" s="198">
        <v>2727</v>
      </c>
      <c r="D172" s="198">
        <v>3069</v>
      </c>
      <c r="E172" s="198">
        <v>3326</v>
      </c>
    </row>
    <row r="173" spans="1:6" ht="20.100000000000001" customHeight="1" x14ac:dyDescent="0.2">
      <c r="A173" s="202">
        <v>5</v>
      </c>
      <c r="B173" s="201" t="s">
        <v>429</v>
      </c>
      <c r="C173" s="198">
        <v>290</v>
      </c>
      <c r="D173" s="198">
        <v>97</v>
      </c>
      <c r="E173" s="198">
        <v>51</v>
      </c>
    </row>
    <row r="174" spans="1:6" ht="20.100000000000001" customHeight="1" x14ac:dyDescent="0.2">
      <c r="A174" s="202">
        <v>6</v>
      </c>
      <c r="B174" s="201" t="s">
        <v>430</v>
      </c>
      <c r="C174" s="198">
        <v>29</v>
      </c>
      <c r="D174" s="198">
        <v>34</v>
      </c>
      <c r="E174" s="198">
        <v>34</v>
      </c>
    </row>
    <row r="175" spans="1:6" ht="20.100000000000001" customHeight="1" x14ac:dyDescent="0.2">
      <c r="A175" s="202">
        <v>7</v>
      </c>
      <c r="B175" s="201" t="s">
        <v>431</v>
      </c>
      <c r="C175" s="198">
        <v>298</v>
      </c>
      <c r="D175" s="198">
        <v>248</v>
      </c>
      <c r="E175" s="198">
        <v>197</v>
      </c>
    </row>
    <row r="176" spans="1:6" ht="20.100000000000001" customHeight="1" x14ac:dyDescent="0.2">
      <c r="A176" s="202">
        <v>8</v>
      </c>
      <c r="B176" s="201" t="s">
        <v>432</v>
      </c>
      <c r="C176" s="198">
        <f>+C169+C170+C171+C174</f>
        <v>20715</v>
      </c>
      <c r="D176" s="198">
        <f>+D169+D170+D171+D174</f>
        <v>20763</v>
      </c>
      <c r="E176" s="198">
        <f>+E169+E170+E171+E174</f>
        <v>19668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433</v>
      </c>
      <c r="B178" s="30" t="s">
        <v>434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425</v>
      </c>
      <c r="C179" s="210">
        <v>1.1614</v>
      </c>
      <c r="D179" s="210">
        <v>1.1952</v>
      </c>
      <c r="E179" s="210">
        <v>1.2112000000000001</v>
      </c>
    </row>
    <row r="180" spans="1:6" ht="20.100000000000001" customHeight="1" x14ac:dyDescent="0.2">
      <c r="A180" s="202">
        <v>2</v>
      </c>
      <c r="B180" s="201" t="s">
        <v>426</v>
      </c>
      <c r="C180" s="210">
        <v>1.3485</v>
      </c>
      <c r="D180" s="210">
        <v>1.3328</v>
      </c>
      <c r="E180" s="210">
        <v>1.3210999999999999</v>
      </c>
    </row>
    <row r="181" spans="1:6" ht="20.100000000000001" customHeight="1" x14ac:dyDescent="0.2">
      <c r="A181" s="202">
        <v>3</v>
      </c>
      <c r="B181" s="201" t="s">
        <v>427</v>
      </c>
      <c r="C181" s="210">
        <v>0.88328399999999996</v>
      </c>
      <c r="D181" s="210">
        <v>1.027836</v>
      </c>
      <c r="E181" s="210">
        <v>0.98915299999999995</v>
      </c>
    </row>
    <row r="182" spans="1:6" ht="20.100000000000001" customHeight="1" x14ac:dyDescent="0.2">
      <c r="A182" s="202">
        <v>4</v>
      </c>
      <c r="B182" s="201" t="s">
        <v>428</v>
      </c>
      <c r="C182" s="210">
        <v>0.86580000000000001</v>
      </c>
      <c r="D182" s="210">
        <v>1.0314000000000001</v>
      </c>
      <c r="E182" s="210">
        <v>0.99129999999999996</v>
      </c>
    </row>
    <row r="183" spans="1:6" ht="20.100000000000001" customHeight="1" x14ac:dyDescent="0.2">
      <c r="A183" s="202">
        <v>5</v>
      </c>
      <c r="B183" s="201" t="s">
        <v>429</v>
      </c>
      <c r="C183" s="210">
        <v>1.0477000000000001</v>
      </c>
      <c r="D183" s="210">
        <v>0.91510000000000002</v>
      </c>
      <c r="E183" s="210">
        <v>0.84919999999999995</v>
      </c>
    </row>
    <row r="184" spans="1:6" ht="20.100000000000001" customHeight="1" x14ac:dyDescent="0.2">
      <c r="A184" s="202">
        <v>6</v>
      </c>
      <c r="B184" s="201" t="s">
        <v>430</v>
      </c>
      <c r="C184" s="210">
        <v>0.90859999999999996</v>
      </c>
      <c r="D184" s="210">
        <v>0.90149999999999997</v>
      </c>
      <c r="E184" s="210">
        <v>0.96240000000000003</v>
      </c>
    </row>
    <row r="185" spans="1:6" ht="20.100000000000001" customHeight="1" x14ac:dyDescent="0.2">
      <c r="A185" s="202">
        <v>7</v>
      </c>
      <c r="B185" s="201" t="s">
        <v>431</v>
      </c>
      <c r="C185" s="210">
        <v>1.2416</v>
      </c>
      <c r="D185" s="210">
        <v>1.2153</v>
      </c>
      <c r="E185" s="210">
        <v>1.2902</v>
      </c>
    </row>
    <row r="186" spans="1:6" ht="20.100000000000001" customHeight="1" x14ac:dyDescent="0.2">
      <c r="A186" s="202">
        <v>8</v>
      </c>
      <c r="B186" s="201" t="s">
        <v>435</v>
      </c>
      <c r="C186" s="210">
        <v>1.201079</v>
      </c>
      <c r="D186" s="210">
        <v>1.232124</v>
      </c>
      <c r="E186" s="210">
        <v>1.2214590000000001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436</v>
      </c>
      <c r="B188" s="30" t="s">
        <v>437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438</v>
      </c>
      <c r="C189" s="198">
        <v>14124</v>
      </c>
      <c r="D189" s="198">
        <v>14603</v>
      </c>
      <c r="E189" s="198">
        <v>14260</v>
      </c>
    </row>
    <row r="190" spans="1:6" ht="20.100000000000001" customHeight="1" x14ac:dyDescent="0.2">
      <c r="A190" s="202">
        <v>2</v>
      </c>
      <c r="B190" s="201" t="s">
        <v>439</v>
      </c>
      <c r="C190" s="198">
        <v>56136</v>
      </c>
      <c r="D190" s="198">
        <v>54992</v>
      </c>
      <c r="E190" s="198">
        <v>56362</v>
      </c>
    </row>
    <row r="191" spans="1:6" ht="20.100000000000001" customHeight="1" x14ac:dyDescent="0.2">
      <c r="A191" s="202">
        <v>3</v>
      </c>
      <c r="B191" s="201" t="s">
        <v>440</v>
      </c>
      <c r="C191" s="198">
        <f>+C190+C189</f>
        <v>70260</v>
      </c>
      <c r="D191" s="198">
        <f>+D190+D189</f>
        <v>69595</v>
      </c>
      <c r="E191" s="198">
        <f>+E190+E189</f>
        <v>70622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FILING&amp;RDANBURY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441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25"/>
      <c r="B9" s="226"/>
      <c r="C9" s="675"/>
      <c r="D9" s="676"/>
      <c r="E9" s="676"/>
      <c r="F9" s="677"/>
      <c r="G9" s="212"/>
    </row>
    <row r="10" spans="1:7" ht="20.25" customHeight="1" x14ac:dyDescent="0.3">
      <c r="A10" s="678" t="s">
        <v>12</v>
      </c>
      <c r="B10" s="680" t="s">
        <v>113</v>
      </c>
      <c r="C10" s="682"/>
      <c r="D10" s="683"/>
      <c r="E10" s="683"/>
      <c r="F10" s="684"/>
    </row>
    <row r="11" spans="1:7" ht="20.25" customHeight="1" x14ac:dyDescent="0.3">
      <c r="A11" s="679"/>
      <c r="B11" s="681"/>
      <c r="C11" s="685"/>
      <c r="D11" s="686"/>
      <c r="E11" s="686"/>
      <c r="F11" s="687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445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169823</v>
      </c>
      <c r="D14" s="237">
        <v>184071</v>
      </c>
      <c r="E14" s="237">
        <f t="shared" ref="E14:E24" si="0">D14-C14</f>
        <v>14248</v>
      </c>
      <c r="F14" s="238">
        <f t="shared" ref="F14:F24" si="1">IF(C14=0,0,E14/C14)</f>
        <v>8.3899118493961367E-2</v>
      </c>
    </row>
    <row r="15" spans="1:7" ht="20.25" customHeight="1" x14ac:dyDescent="0.3">
      <c r="A15" s="235">
        <v>2</v>
      </c>
      <c r="B15" s="236" t="s">
        <v>447</v>
      </c>
      <c r="C15" s="237">
        <v>24407</v>
      </c>
      <c r="D15" s="237">
        <v>89455</v>
      </c>
      <c r="E15" s="237">
        <f t="shared" si="0"/>
        <v>65048</v>
      </c>
      <c r="F15" s="238">
        <f t="shared" si="1"/>
        <v>2.6651370508460688</v>
      </c>
    </row>
    <row r="16" spans="1:7" ht="20.25" customHeight="1" x14ac:dyDescent="0.3">
      <c r="A16" s="235">
        <v>3</v>
      </c>
      <c r="B16" s="236" t="s">
        <v>448</v>
      </c>
      <c r="C16" s="237">
        <v>178916</v>
      </c>
      <c r="D16" s="237">
        <v>45506</v>
      </c>
      <c r="E16" s="237">
        <f t="shared" si="0"/>
        <v>-133410</v>
      </c>
      <c r="F16" s="238">
        <f t="shared" si="1"/>
        <v>-0.74565717990565406</v>
      </c>
    </row>
    <row r="17" spans="1:6" ht="20.25" customHeight="1" x14ac:dyDescent="0.3">
      <c r="A17" s="235">
        <v>4</v>
      </c>
      <c r="B17" s="236" t="s">
        <v>449</v>
      </c>
      <c r="C17" s="237">
        <v>22547</v>
      </c>
      <c r="D17" s="237">
        <v>27273</v>
      </c>
      <c r="E17" s="237">
        <f t="shared" si="0"/>
        <v>4726</v>
      </c>
      <c r="F17" s="238">
        <f t="shared" si="1"/>
        <v>0.20960659954761166</v>
      </c>
    </row>
    <row r="18" spans="1:6" ht="20.25" customHeight="1" x14ac:dyDescent="0.3">
      <c r="A18" s="235">
        <v>5</v>
      </c>
      <c r="B18" s="236" t="s">
        <v>385</v>
      </c>
      <c r="C18" s="239">
        <v>4</v>
      </c>
      <c r="D18" s="239">
        <v>7</v>
      </c>
      <c r="E18" s="239">
        <f t="shared" si="0"/>
        <v>3</v>
      </c>
      <c r="F18" s="238">
        <f t="shared" si="1"/>
        <v>0.75</v>
      </c>
    </row>
    <row r="19" spans="1:6" ht="20.25" customHeight="1" x14ac:dyDescent="0.3">
      <c r="A19" s="235">
        <v>6</v>
      </c>
      <c r="B19" s="236" t="s">
        <v>384</v>
      </c>
      <c r="C19" s="239">
        <v>25</v>
      </c>
      <c r="D19" s="239">
        <v>24</v>
      </c>
      <c r="E19" s="239">
        <f t="shared" si="0"/>
        <v>-1</v>
      </c>
      <c r="F19" s="238">
        <f t="shared" si="1"/>
        <v>-0.04</v>
      </c>
    </row>
    <row r="20" spans="1:6" ht="20.25" customHeight="1" x14ac:dyDescent="0.3">
      <c r="A20" s="235">
        <v>7</v>
      </c>
      <c r="B20" s="236" t="s">
        <v>450</v>
      </c>
      <c r="C20" s="239">
        <v>42</v>
      </c>
      <c r="D20" s="239">
        <v>11</v>
      </c>
      <c r="E20" s="239">
        <f t="shared" si="0"/>
        <v>-31</v>
      </c>
      <c r="F20" s="238">
        <f t="shared" si="1"/>
        <v>-0.73809523809523814</v>
      </c>
    </row>
    <row r="21" spans="1:6" ht="20.25" customHeight="1" x14ac:dyDescent="0.3">
      <c r="A21" s="235">
        <v>8</v>
      </c>
      <c r="B21" s="236" t="s">
        <v>451</v>
      </c>
      <c r="C21" s="239">
        <v>0</v>
      </c>
      <c r="D21" s="239">
        <v>6</v>
      </c>
      <c r="E21" s="239">
        <f t="shared" si="0"/>
        <v>6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452</v>
      </c>
      <c r="C22" s="239">
        <v>1</v>
      </c>
      <c r="D22" s="239">
        <v>6</v>
      </c>
      <c r="E22" s="239">
        <f t="shared" si="0"/>
        <v>5</v>
      </c>
      <c r="F22" s="238">
        <f t="shared" si="1"/>
        <v>5</v>
      </c>
    </row>
    <row r="23" spans="1:6" s="240" customFormat="1" ht="20.25" customHeight="1" x14ac:dyDescent="0.3">
      <c r="A23" s="241"/>
      <c r="B23" s="242" t="s">
        <v>453</v>
      </c>
      <c r="C23" s="243">
        <f>+C14+C16</f>
        <v>348739</v>
      </c>
      <c r="D23" s="243">
        <f>+D14+D16</f>
        <v>229577</v>
      </c>
      <c r="E23" s="243">
        <f t="shared" si="0"/>
        <v>-119162</v>
      </c>
      <c r="F23" s="244">
        <f t="shared" si="1"/>
        <v>-0.34169393156486655</v>
      </c>
    </row>
    <row r="24" spans="1:6" s="240" customFormat="1" ht="20.25" customHeight="1" x14ac:dyDescent="0.3">
      <c r="A24" s="241"/>
      <c r="B24" s="242" t="s">
        <v>454</v>
      </c>
      <c r="C24" s="243">
        <f>+C15+C17</f>
        <v>46954</v>
      </c>
      <c r="D24" s="243">
        <f>+D15+D17</f>
        <v>116728</v>
      </c>
      <c r="E24" s="243">
        <f t="shared" si="0"/>
        <v>69774</v>
      </c>
      <c r="F24" s="244">
        <f t="shared" si="1"/>
        <v>1.4860075818886569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455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446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447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448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449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385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384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450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451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452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453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454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456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446</v>
      </c>
      <c r="C40" s="237">
        <v>2841503</v>
      </c>
      <c r="D40" s="237">
        <v>4645478</v>
      </c>
      <c r="E40" s="237">
        <f t="shared" ref="E40:E50" si="4">D40-C40</f>
        <v>1803975</v>
      </c>
      <c r="F40" s="238">
        <f t="shared" ref="F40:F50" si="5">IF(C40=0,0,E40/C40)</f>
        <v>0.63486647735371038</v>
      </c>
    </row>
    <row r="41" spans="1:6" ht="20.25" customHeight="1" x14ac:dyDescent="0.3">
      <c r="A41" s="235">
        <v>2</v>
      </c>
      <c r="B41" s="236" t="s">
        <v>447</v>
      </c>
      <c r="C41" s="237">
        <v>869758</v>
      </c>
      <c r="D41" s="237">
        <v>1441573</v>
      </c>
      <c r="E41" s="237">
        <f t="shared" si="4"/>
        <v>571815</v>
      </c>
      <c r="F41" s="238">
        <f t="shared" si="5"/>
        <v>0.65744149522050965</v>
      </c>
    </row>
    <row r="42" spans="1:6" ht="20.25" customHeight="1" x14ac:dyDescent="0.3">
      <c r="A42" s="235">
        <v>3</v>
      </c>
      <c r="B42" s="236" t="s">
        <v>448</v>
      </c>
      <c r="C42" s="237">
        <v>3215019</v>
      </c>
      <c r="D42" s="237">
        <v>4156255</v>
      </c>
      <c r="E42" s="237">
        <f t="shared" si="4"/>
        <v>941236</v>
      </c>
      <c r="F42" s="238">
        <f t="shared" si="5"/>
        <v>0.29276218896373551</v>
      </c>
    </row>
    <row r="43" spans="1:6" ht="20.25" customHeight="1" x14ac:dyDescent="0.3">
      <c r="A43" s="235">
        <v>4</v>
      </c>
      <c r="B43" s="236" t="s">
        <v>449</v>
      </c>
      <c r="C43" s="237">
        <v>904033</v>
      </c>
      <c r="D43" s="237">
        <v>1221226</v>
      </c>
      <c r="E43" s="237">
        <f t="shared" si="4"/>
        <v>317193</v>
      </c>
      <c r="F43" s="238">
        <f t="shared" si="5"/>
        <v>0.3508644042861267</v>
      </c>
    </row>
    <row r="44" spans="1:6" ht="20.25" customHeight="1" x14ac:dyDescent="0.3">
      <c r="A44" s="235">
        <v>5</v>
      </c>
      <c r="B44" s="236" t="s">
        <v>385</v>
      </c>
      <c r="C44" s="239">
        <v>98</v>
      </c>
      <c r="D44" s="239">
        <v>120</v>
      </c>
      <c r="E44" s="239">
        <f t="shared" si="4"/>
        <v>22</v>
      </c>
      <c r="F44" s="238">
        <f t="shared" si="5"/>
        <v>0.22448979591836735</v>
      </c>
    </row>
    <row r="45" spans="1:6" ht="20.25" customHeight="1" x14ac:dyDescent="0.3">
      <c r="A45" s="235">
        <v>6</v>
      </c>
      <c r="B45" s="236" t="s">
        <v>384</v>
      </c>
      <c r="C45" s="239">
        <v>472</v>
      </c>
      <c r="D45" s="239">
        <v>580</v>
      </c>
      <c r="E45" s="239">
        <f t="shared" si="4"/>
        <v>108</v>
      </c>
      <c r="F45" s="238">
        <f t="shared" si="5"/>
        <v>0.2288135593220339</v>
      </c>
    </row>
    <row r="46" spans="1:6" ht="20.25" customHeight="1" x14ac:dyDescent="0.3">
      <c r="A46" s="235">
        <v>7</v>
      </c>
      <c r="B46" s="236" t="s">
        <v>450</v>
      </c>
      <c r="C46" s="239">
        <v>756</v>
      </c>
      <c r="D46" s="239">
        <v>967</v>
      </c>
      <c r="E46" s="239">
        <f t="shared" si="4"/>
        <v>211</v>
      </c>
      <c r="F46" s="238">
        <f t="shared" si="5"/>
        <v>0.27910052910052913</v>
      </c>
    </row>
    <row r="47" spans="1:6" ht="20.25" customHeight="1" x14ac:dyDescent="0.3">
      <c r="A47" s="235">
        <v>8</v>
      </c>
      <c r="B47" s="236" t="s">
        <v>451</v>
      </c>
      <c r="C47" s="239">
        <v>79</v>
      </c>
      <c r="D47" s="239">
        <v>121</v>
      </c>
      <c r="E47" s="239">
        <f t="shared" si="4"/>
        <v>42</v>
      </c>
      <c r="F47" s="238">
        <f t="shared" si="5"/>
        <v>0.53164556962025311</v>
      </c>
    </row>
    <row r="48" spans="1:6" ht="20.25" customHeight="1" x14ac:dyDescent="0.3">
      <c r="A48" s="235">
        <v>9</v>
      </c>
      <c r="B48" s="236" t="s">
        <v>452</v>
      </c>
      <c r="C48" s="239">
        <v>67</v>
      </c>
      <c r="D48" s="239">
        <v>79</v>
      </c>
      <c r="E48" s="239">
        <f t="shared" si="4"/>
        <v>12</v>
      </c>
      <c r="F48" s="238">
        <f t="shared" si="5"/>
        <v>0.17910447761194029</v>
      </c>
    </row>
    <row r="49" spans="1:6" s="240" customFormat="1" ht="20.25" customHeight="1" x14ac:dyDescent="0.3">
      <c r="A49" s="241"/>
      <c r="B49" s="242" t="s">
        <v>453</v>
      </c>
      <c r="C49" s="243">
        <f>+C40+C42</f>
        <v>6056522</v>
      </c>
      <c r="D49" s="243">
        <f>+D40+D42</f>
        <v>8801733</v>
      </c>
      <c r="E49" s="243">
        <f t="shared" si="4"/>
        <v>2745211</v>
      </c>
      <c r="F49" s="244">
        <f t="shared" si="5"/>
        <v>0.45326525685863933</v>
      </c>
    </row>
    <row r="50" spans="1:6" s="240" customFormat="1" ht="20.25" customHeight="1" x14ac:dyDescent="0.3">
      <c r="A50" s="241"/>
      <c r="B50" s="242" t="s">
        <v>454</v>
      </c>
      <c r="C50" s="243">
        <f>+C41+C43</f>
        <v>1773791</v>
      </c>
      <c r="D50" s="243">
        <f>+D41+D43</f>
        <v>2662799</v>
      </c>
      <c r="E50" s="243">
        <f t="shared" si="4"/>
        <v>889008</v>
      </c>
      <c r="F50" s="244">
        <f t="shared" si="5"/>
        <v>0.50119095203437158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457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446</v>
      </c>
      <c r="C53" s="237">
        <v>2206792</v>
      </c>
      <c r="D53" s="237">
        <v>0</v>
      </c>
      <c r="E53" s="237">
        <f t="shared" ref="E53:E63" si="6">D53-C53</f>
        <v>-2206792</v>
      </c>
      <c r="F53" s="238">
        <f t="shared" ref="F53:F63" si="7">IF(C53=0,0,E53/C53)</f>
        <v>-1</v>
      </c>
    </row>
    <row r="54" spans="1:6" ht="20.25" customHeight="1" x14ac:dyDescent="0.3">
      <c r="A54" s="235">
        <v>2</v>
      </c>
      <c r="B54" s="236" t="s">
        <v>447</v>
      </c>
      <c r="C54" s="237">
        <v>839402</v>
      </c>
      <c r="D54" s="237">
        <v>0</v>
      </c>
      <c r="E54" s="237">
        <f t="shared" si="6"/>
        <v>-839402</v>
      </c>
      <c r="F54" s="238">
        <f t="shared" si="7"/>
        <v>-1</v>
      </c>
    </row>
    <row r="55" spans="1:6" ht="20.25" customHeight="1" x14ac:dyDescent="0.3">
      <c r="A55" s="235">
        <v>3</v>
      </c>
      <c r="B55" s="236" t="s">
        <v>448</v>
      </c>
      <c r="C55" s="237">
        <v>1396921</v>
      </c>
      <c r="D55" s="237">
        <v>0</v>
      </c>
      <c r="E55" s="237">
        <f t="shared" si="6"/>
        <v>-1396921</v>
      </c>
      <c r="F55" s="238">
        <f t="shared" si="7"/>
        <v>-1</v>
      </c>
    </row>
    <row r="56" spans="1:6" ht="20.25" customHeight="1" x14ac:dyDescent="0.3">
      <c r="A56" s="235">
        <v>4</v>
      </c>
      <c r="B56" s="236" t="s">
        <v>449</v>
      </c>
      <c r="C56" s="237">
        <v>437668</v>
      </c>
      <c r="D56" s="237">
        <v>0</v>
      </c>
      <c r="E56" s="237">
        <f t="shared" si="6"/>
        <v>-437668</v>
      </c>
      <c r="F56" s="238">
        <f t="shared" si="7"/>
        <v>-1</v>
      </c>
    </row>
    <row r="57" spans="1:6" ht="20.25" customHeight="1" x14ac:dyDescent="0.3">
      <c r="A57" s="235">
        <v>5</v>
      </c>
      <c r="B57" s="236" t="s">
        <v>385</v>
      </c>
      <c r="C57" s="239">
        <v>61</v>
      </c>
      <c r="D57" s="239">
        <v>0</v>
      </c>
      <c r="E57" s="239">
        <f t="shared" si="6"/>
        <v>-61</v>
      </c>
      <c r="F57" s="238">
        <f t="shared" si="7"/>
        <v>-1</v>
      </c>
    </row>
    <row r="58" spans="1:6" ht="20.25" customHeight="1" x14ac:dyDescent="0.3">
      <c r="A58" s="235">
        <v>6</v>
      </c>
      <c r="B58" s="236" t="s">
        <v>384</v>
      </c>
      <c r="C58" s="239">
        <v>457</v>
      </c>
      <c r="D58" s="239">
        <v>0</v>
      </c>
      <c r="E58" s="239">
        <f t="shared" si="6"/>
        <v>-457</v>
      </c>
      <c r="F58" s="238">
        <f t="shared" si="7"/>
        <v>-1</v>
      </c>
    </row>
    <row r="59" spans="1:6" ht="20.25" customHeight="1" x14ac:dyDescent="0.3">
      <c r="A59" s="235">
        <v>7</v>
      </c>
      <c r="B59" s="236" t="s">
        <v>450</v>
      </c>
      <c r="C59" s="239">
        <v>328</v>
      </c>
      <c r="D59" s="239">
        <v>0</v>
      </c>
      <c r="E59" s="239">
        <f t="shared" si="6"/>
        <v>-328</v>
      </c>
      <c r="F59" s="238">
        <f t="shared" si="7"/>
        <v>-1</v>
      </c>
    </row>
    <row r="60" spans="1:6" ht="20.25" customHeight="1" x14ac:dyDescent="0.3">
      <c r="A60" s="235">
        <v>8</v>
      </c>
      <c r="B60" s="236" t="s">
        <v>451</v>
      </c>
      <c r="C60" s="239">
        <v>64</v>
      </c>
      <c r="D60" s="239">
        <v>0</v>
      </c>
      <c r="E60" s="239">
        <f t="shared" si="6"/>
        <v>-64</v>
      </c>
      <c r="F60" s="238">
        <f t="shared" si="7"/>
        <v>-1</v>
      </c>
    </row>
    <row r="61" spans="1:6" ht="20.25" customHeight="1" x14ac:dyDescent="0.3">
      <c r="A61" s="235">
        <v>9</v>
      </c>
      <c r="B61" s="236" t="s">
        <v>452</v>
      </c>
      <c r="C61" s="239">
        <v>44</v>
      </c>
      <c r="D61" s="239">
        <v>0</v>
      </c>
      <c r="E61" s="239">
        <f t="shared" si="6"/>
        <v>-44</v>
      </c>
      <c r="F61" s="238">
        <f t="shared" si="7"/>
        <v>-1</v>
      </c>
    </row>
    <row r="62" spans="1:6" s="240" customFormat="1" ht="20.25" customHeight="1" x14ac:dyDescent="0.3">
      <c r="A62" s="241"/>
      <c r="B62" s="242" t="s">
        <v>453</v>
      </c>
      <c r="C62" s="243">
        <f>+C53+C55</f>
        <v>3603713</v>
      </c>
      <c r="D62" s="243">
        <f>+D53+D55</f>
        <v>0</v>
      </c>
      <c r="E62" s="243">
        <f t="shared" si="6"/>
        <v>-3603713</v>
      </c>
      <c r="F62" s="244">
        <f t="shared" si="7"/>
        <v>-1</v>
      </c>
    </row>
    <row r="63" spans="1:6" s="240" customFormat="1" ht="20.25" customHeight="1" x14ac:dyDescent="0.3">
      <c r="A63" s="241"/>
      <c r="B63" s="242" t="s">
        <v>454</v>
      </c>
      <c r="C63" s="243">
        <f>+C54+C56</f>
        <v>1277070</v>
      </c>
      <c r="D63" s="243">
        <f>+D54+D56</f>
        <v>0</v>
      </c>
      <c r="E63" s="243">
        <f t="shared" si="6"/>
        <v>-1277070</v>
      </c>
      <c r="F63" s="244">
        <f t="shared" si="7"/>
        <v>-1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458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446</v>
      </c>
      <c r="C66" s="237">
        <v>4819561</v>
      </c>
      <c r="D66" s="237">
        <v>4731066</v>
      </c>
      <c r="E66" s="237">
        <f t="shared" ref="E66:E76" si="8">D66-C66</f>
        <v>-88495</v>
      </c>
      <c r="F66" s="238">
        <f t="shared" ref="F66:F76" si="9">IF(C66=0,0,E66/C66)</f>
        <v>-1.8361630862229982E-2</v>
      </c>
    </row>
    <row r="67" spans="1:6" ht="20.25" customHeight="1" x14ac:dyDescent="0.3">
      <c r="A67" s="235">
        <v>2</v>
      </c>
      <c r="B67" s="236" t="s">
        <v>447</v>
      </c>
      <c r="C67" s="237">
        <v>1554061</v>
      </c>
      <c r="D67" s="237">
        <v>1449904</v>
      </c>
      <c r="E67" s="237">
        <f t="shared" si="8"/>
        <v>-104157</v>
      </c>
      <c r="F67" s="238">
        <f t="shared" si="9"/>
        <v>-6.7022465656110031E-2</v>
      </c>
    </row>
    <row r="68" spans="1:6" ht="20.25" customHeight="1" x14ac:dyDescent="0.3">
      <c r="A68" s="235">
        <v>3</v>
      </c>
      <c r="B68" s="236" t="s">
        <v>448</v>
      </c>
      <c r="C68" s="237">
        <v>1986574</v>
      </c>
      <c r="D68" s="237">
        <v>4471653</v>
      </c>
      <c r="E68" s="237">
        <f t="shared" si="8"/>
        <v>2485079</v>
      </c>
      <c r="F68" s="238">
        <f t="shared" si="9"/>
        <v>1.2509370403518822</v>
      </c>
    </row>
    <row r="69" spans="1:6" ht="20.25" customHeight="1" x14ac:dyDescent="0.3">
      <c r="A69" s="235">
        <v>4</v>
      </c>
      <c r="B69" s="236" t="s">
        <v>449</v>
      </c>
      <c r="C69" s="237">
        <v>739266</v>
      </c>
      <c r="D69" s="237">
        <v>2007458</v>
      </c>
      <c r="E69" s="237">
        <f t="shared" si="8"/>
        <v>1268192</v>
      </c>
      <c r="F69" s="238">
        <f t="shared" si="9"/>
        <v>1.7154745382582184</v>
      </c>
    </row>
    <row r="70" spans="1:6" ht="20.25" customHeight="1" x14ac:dyDescent="0.3">
      <c r="A70" s="235">
        <v>5</v>
      </c>
      <c r="B70" s="236" t="s">
        <v>385</v>
      </c>
      <c r="C70" s="239">
        <v>133</v>
      </c>
      <c r="D70" s="239">
        <v>148</v>
      </c>
      <c r="E70" s="239">
        <f t="shared" si="8"/>
        <v>15</v>
      </c>
      <c r="F70" s="238">
        <f t="shared" si="9"/>
        <v>0.11278195488721804</v>
      </c>
    </row>
    <row r="71" spans="1:6" ht="20.25" customHeight="1" x14ac:dyDescent="0.3">
      <c r="A71" s="235">
        <v>6</v>
      </c>
      <c r="B71" s="236" t="s">
        <v>384</v>
      </c>
      <c r="C71" s="239">
        <v>713</v>
      </c>
      <c r="D71" s="239">
        <v>745</v>
      </c>
      <c r="E71" s="239">
        <f t="shared" si="8"/>
        <v>32</v>
      </c>
      <c r="F71" s="238">
        <f t="shared" si="9"/>
        <v>4.4880785413744739E-2</v>
      </c>
    </row>
    <row r="72" spans="1:6" ht="20.25" customHeight="1" x14ac:dyDescent="0.3">
      <c r="A72" s="235">
        <v>7</v>
      </c>
      <c r="B72" s="236" t="s">
        <v>450</v>
      </c>
      <c r="C72" s="239">
        <v>467</v>
      </c>
      <c r="D72" s="239">
        <v>1041</v>
      </c>
      <c r="E72" s="239">
        <f t="shared" si="8"/>
        <v>574</v>
      </c>
      <c r="F72" s="238">
        <f t="shared" si="9"/>
        <v>1.2291220556745182</v>
      </c>
    </row>
    <row r="73" spans="1:6" ht="20.25" customHeight="1" x14ac:dyDescent="0.3">
      <c r="A73" s="235">
        <v>8</v>
      </c>
      <c r="B73" s="236" t="s">
        <v>451</v>
      </c>
      <c r="C73" s="239">
        <v>140</v>
      </c>
      <c r="D73" s="239">
        <v>220</v>
      </c>
      <c r="E73" s="239">
        <f t="shared" si="8"/>
        <v>80</v>
      </c>
      <c r="F73" s="238">
        <f t="shared" si="9"/>
        <v>0.5714285714285714</v>
      </c>
    </row>
    <row r="74" spans="1:6" ht="20.25" customHeight="1" x14ac:dyDescent="0.3">
      <c r="A74" s="235">
        <v>9</v>
      </c>
      <c r="B74" s="236" t="s">
        <v>452</v>
      </c>
      <c r="C74" s="239">
        <v>106</v>
      </c>
      <c r="D74" s="239">
        <v>115</v>
      </c>
      <c r="E74" s="239">
        <f t="shared" si="8"/>
        <v>9</v>
      </c>
      <c r="F74" s="238">
        <f t="shared" si="9"/>
        <v>8.4905660377358486E-2</v>
      </c>
    </row>
    <row r="75" spans="1:6" s="240" customFormat="1" ht="20.25" customHeight="1" x14ac:dyDescent="0.3">
      <c r="A75" s="241"/>
      <c r="B75" s="242" t="s">
        <v>453</v>
      </c>
      <c r="C75" s="243">
        <f>+C66+C68</f>
        <v>6806135</v>
      </c>
      <c r="D75" s="243">
        <f>+D66+D68</f>
        <v>9202719</v>
      </c>
      <c r="E75" s="243">
        <f t="shared" si="8"/>
        <v>2396584</v>
      </c>
      <c r="F75" s="244">
        <f t="shared" si="9"/>
        <v>0.352121137767617</v>
      </c>
    </row>
    <row r="76" spans="1:6" s="240" customFormat="1" ht="20.25" customHeight="1" x14ac:dyDescent="0.3">
      <c r="A76" s="241"/>
      <c r="B76" s="242" t="s">
        <v>454</v>
      </c>
      <c r="C76" s="243">
        <f>+C67+C69</f>
        <v>2293327</v>
      </c>
      <c r="D76" s="243">
        <f>+D67+D69</f>
        <v>3457362</v>
      </c>
      <c r="E76" s="243">
        <f t="shared" si="8"/>
        <v>1164035</v>
      </c>
      <c r="F76" s="244">
        <f t="shared" si="9"/>
        <v>0.50757480289553125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459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446</v>
      </c>
      <c r="C79" s="237">
        <v>0</v>
      </c>
      <c r="D79" s="237">
        <v>0</v>
      </c>
      <c r="E79" s="237">
        <f t="shared" ref="E79:E89" si="10">D79-C79</f>
        <v>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447</v>
      </c>
      <c r="C80" s="237">
        <v>0</v>
      </c>
      <c r="D80" s="237">
        <v>0</v>
      </c>
      <c r="E80" s="237">
        <f t="shared" si="10"/>
        <v>0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448</v>
      </c>
      <c r="C81" s="237">
        <v>0</v>
      </c>
      <c r="D81" s="237">
        <v>0</v>
      </c>
      <c r="E81" s="237">
        <f t="shared" si="10"/>
        <v>0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449</v>
      </c>
      <c r="C82" s="237">
        <v>0</v>
      </c>
      <c r="D82" s="237">
        <v>0</v>
      </c>
      <c r="E82" s="237">
        <f t="shared" si="10"/>
        <v>0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385</v>
      </c>
      <c r="C83" s="239">
        <v>0</v>
      </c>
      <c r="D83" s="239">
        <v>0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384</v>
      </c>
      <c r="C84" s="239">
        <v>0</v>
      </c>
      <c r="D84" s="239">
        <v>0</v>
      </c>
      <c r="E84" s="239">
        <f t="shared" si="10"/>
        <v>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450</v>
      </c>
      <c r="C85" s="239">
        <v>0</v>
      </c>
      <c r="D85" s="239">
        <v>0</v>
      </c>
      <c r="E85" s="239">
        <f t="shared" si="10"/>
        <v>0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451</v>
      </c>
      <c r="C86" s="239">
        <v>0</v>
      </c>
      <c r="D86" s="239">
        <v>0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452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453</v>
      </c>
      <c r="C88" s="243">
        <f>+C79+C81</f>
        <v>0</v>
      </c>
      <c r="D88" s="243">
        <f>+D79+D81</f>
        <v>0</v>
      </c>
      <c r="E88" s="243">
        <f t="shared" si="10"/>
        <v>0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454</v>
      </c>
      <c r="C89" s="243">
        <f>+C80+C82</f>
        <v>0</v>
      </c>
      <c r="D89" s="243">
        <f>+D80+D82</f>
        <v>0</v>
      </c>
      <c r="E89" s="243">
        <f t="shared" si="10"/>
        <v>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460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446</v>
      </c>
      <c r="C92" s="237">
        <v>0</v>
      </c>
      <c r="D92" s="237">
        <v>0</v>
      </c>
      <c r="E92" s="237">
        <f t="shared" ref="E92:E102" si="12">D92-C92</f>
        <v>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447</v>
      </c>
      <c r="C93" s="237">
        <v>0</v>
      </c>
      <c r="D93" s="237">
        <v>0</v>
      </c>
      <c r="E93" s="237">
        <f t="shared" si="12"/>
        <v>0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448</v>
      </c>
      <c r="C94" s="237">
        <v>0</v>
      </c>
      <c r="D94" s="237">
        <v>0</v>
      </c>
      <c r="E94" s="237">
        <f t="shared" si="12"/>
        <v>0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449</v>
      </c>
      <c r="C95" s="237">
        <v>0</v>
      </c>
      <c r="D95" s="237">
        <v>0</v>
      </c>
      <c r="E95" s="237">
        <f t="shared" si="12"/>
        <v>0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385</v>
      </c>
      <c r="C96" s="239">
        <v>0</v>
      </c>
      <c r="D96" s="239">
        <v>0</v>
      </c>
      <c r="E96" s="239">
        <f t="shared" si="12"/>
        <v>0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384</v>
      </c>
      <c r="C97" s="239">
        <v>0</v>
      </c>
      <c r="D97" s="239">
        <v>0</v>
      </c>
      <c r="E97" s="239">
        <f t="shared" si="12"/>
        <v>0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450</v>
      </c>
      <c r="C98" s="239">
        <v>0</v>
      </c>
      <c r="D98" s="239">
        <v>0</v>
      </c>
      <c r="E98" s="239">
        <f t="shared" si="12"/>
        <v>0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451</v>
      </c>
      <c r="C99" s="239">
        <v>0</v>
      </c>
      <c r="D99" s="239">
        <v>0</v>
      </c>
      <c r="E99" s="239">
        <f t="shared" si="12"/>
        <v>0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452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453</v>
      </c>
      <c r="C101" s="243">
        <f>+C92+C94</f>
        <v>0</v>
      </c>
      <c r="D101" s="243">
        <f>+D92+D94</f>
        <v>0</v>
      </c>
      <c r="E101" s="243">
        <f t="shared" si="12"/>
        <v>0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454</v>
      </c>
      <c r="C102" s="243">
        <f>+C93+C95</f>
        <v>0</v>
      </c>
      <c r="D102" s="243">
        <f>+D93+D95</f>
        <v>0</v>
      </c>
      <c r="E102" s="243">
        <f t="shared" si="12"/>
        <v>0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461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446</v>
      </c>
      <c r="C105" s="237">
        <v>0</v>
      </c>
      <c r="D105" s="237">
        <v>0</v>
      </c>
      <c r="E105" s="237">
        <f t="shared" ref="E105:E115" si="14">D105-C105</f>
        <v>0</v>
      </c>
      <c r="F105" s="238">
        <f t="shared" ref="F105:F115" si="15">IF(C105=0,0,E105/C105)</f>
        <v>0</v>
      </c>
    </row>
    <row r="106" spans="1:6" ht="20.25" customHeight="1" x14ac:dyDescent="0.3">
      <c r="A106" s="235">
        <v>2</v>
      </c>
      <c r="B106" s="236" t="s">
        <v>447</v>
      </c>
      <c r="C106" s="237">
        <v>0</v>
      </c>
      <c r="D106" s="237">
        <v>0</v>
      </c>
      <c r="E106" s="237">
        <f t="shared" si="14"/>
        <v>0</v>
      </c>
      <c r="F106" s="238">
        <f t="shared" si="15"/>
        <v>0</v>
      </c>
    </row>
    <row r="107" spans="1:6" ht="20.25" customHeight="1" x14ac:dyDescent="0.3">
      <c r="A107" s="235">
        <v>3</v>
      </c>
      <c r="B107" s="236" t="s">
        <v>448</v>
      </c>
      <c r="C107" s="237">
        <v>0</v>
      </c>
      <c r="D107" s="237">
        <v>0</v>
      </c>
      <c r="E107" s="237">
        <f t="shared" si="14"/>
        <v>0</v>
      </c>
      <c r="F107" s="238">
        <f t="shared" si="15"/>
        <v>0</v>
      </c>
    </row>
    <row r="108" spans="1:6" ht="20.25" customHeight="1" x14ac:dyDescent="0.3">
      <c r="A108" s="235">
        <v>4</v>
      </c>
      <c r="B108" s="236" t="s">
        <v>449</v>
      </c>
      <c r="C108" s="237">
        <v>0</v>
      </c>
      <c r="D108" s="237">
        <v>0</v>
      </c>
      <c r="E108" s="237">
        <f t="shared" si="14"/>
        <v>0</v>
      </c>
      <c r="F108" s="238">
        <f t="shared" si="15"/>
        <v>0</v>
      </c>
    </row>
    <row r="109" spans="1:6" ht="20.25" customHeight="1" x14ac:dyDescent="0.3">
      <c r="A109" s="235">
        <v>5</v>
      </c>
      <c r="B109" s="236" t="s">
        <v>385</v>
      </c>
      <c r="C109" s="239">
        <v>0</v>
      </c>
      <c r="D109" s="239">
        <v>0</v>
      </c>
      <c r="E109" s="239">
        <f t="shared" si="14"/>
        <v>0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384</v>
      </c>
      <c r="C110" s="239">
        <v>0</v>
      </c>
      <c r="D110" s="239">
        <v>0</v>
      </c>
      <c r="E110" s="239">
        <f t="shared" si="14"/>
        <v>0</v>
      </c>
      <c r="F110" s="238">
        <f t="shared" si="15"/>
        <v>0</v>
      </c>
    </row>
    <row r="111" spans="1:6" ht="20.25" customHeight="1" x14ac:dyDescent="0.3">
      <c r="A111" s="235">
        <v>7</v>
      </c>
      <c r="B111" s="236" t="s">
        <v>450</v>
      </c>
      <c r="C111" s="239">
        <v>0</v>
      </c>
      <c r="D111" s="239">
        <v>0</v>
      </c>
      <c r="E111" s="239">
        <f t="shared" si="14"/>
        <v>0</v>
      </c>
      <c r="F111" s="238">
        <f t="shared" si="15"/>
        <v>0</v>
      </c>
    </row>
    <row r="112" spans="1:6" ht="20.25" customHeight="1" x14ac:dyDescent="0.3">
      <c r="A112" s="235">
        <v>8</v>
      </c>
      <c r="B112" s="236" t="s">
        <v>451</v>
      </c>
      <c r="C112" s="239">
        <v>0</v>
      </c>
      <c r="D112" s="239">
        <v>0</v>
      </c>
      <c r="E112" s="239">
        <f t="shared" si="14"/>
        <v>0</v>
      </c>
      <c r="F112" s="238">
        <f t="shared" si="15"/>
        <v>0</v>
      </c>
    </row>
    <row r="113" spans="1:6" ht="20.25" customHeight="1" x14ac:dyDescent="0.3">
      <c r="A113" s="235">
        <v>9</v>
      </c>
      <c r="B113" s="236" t="s">
        <v>452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453</v>
      </c>
      <c r="C114" s="243">
        <f>+C105+C107</f>
        <v>0</v>
      </c>
      <c r="D114" s="243">
        <f>+D105+D107</f>
        <v>0</v>
      </c>
      <c r="E114" s="243">
        <f t="shared" si="14"/>
        <v>0</v>
      </c>
      <c r="F114" s="244">
        <f t="shared" si="15"/>
        <v>0</v>
      </c>
    </row>
    <row r="115" spans="1:6" s="240" customFormat="1" ht="20.25" customHeight="1" x14ac:dyDescent="0.3">
      <c r="A115" s="241"/>
      <c r="B115" s="242" t="s">
        <v>454</v>
      </c>
      <c r="C115" s="243">
        <f>+C106+C108</f>
        <v>0</v>
      </c>
      <c r="D115" s="243">
        <f>+D106+D108</f>
        <v>0</v>
      </c>
      <c r="E115" s="243">
        <f t="shared" si="14"/>
        <v>0</v>
      </c>
      <c r="F115" s="244">
        <f t="shared" si="15"/>
        <v>0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462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446</v>
      </c>
      <c r="C118" s="237">
        <v>2275333</v>
      </c>
      <c r="D118" s="237">
        <v>3724042</v>
      </c>
      <c r="E118" s="237">
        <f t="shared" ref="E118:E128" si="16">D118-C118</f>
        <v>1448709</v>
      </c>
      <c r="F118" s="238">
        <f t="shared" ref="F118:F128" si="17">IF(C118=0,0,E118/C118)</f>
        <v>0.63670196845912219</v>
      </c>
    </row>
    <row r="119" spans="1:6" ht="20.25" customHeight="1" x14ac:dyDescent="0.3">
      <c r="A119" s="235">
        <v>2</v>
      </c>
      <c r="B119" s="236" t="s">
        <v>447</v>
      </c>
      <c r="C119" s="237">
        <v>711483</v>
      </c>
      <c r="D119" s="237">
        <v>999878</v>
      </c>
      <c r="E119" s="237">
        <f t="shared" si="16"/>
        <v>288395</v>
      </c>
      <c r="F119" s="238">
        <f t="shared" si="17"/>
        <v>0.40534348677340148</v>
      </c>
    </row>
    <row r="120" spans="1:6" ht="20.25" customHeight="1" x14ac:dyDescent="0.3">
      <c r="A120" s="235">
        <v>3</v>
      </c>
      <c r="B120" s="236" t="s">
        <v>448</v>
      </c>
      <c r="C120" s="237">
        <v>2024448</v>
      </c>
      <c r="D120" s="237">
        <v>3607071</v>
      </c>
      <c r="E120" s="237">
        <f t="shared" si="16"/>
        <v>1582623</v>
      </c>
      <c r="F120" s="238">
        <f t="shared" si="17"/>
        <v>0.78175532293247341</v>
      </c>
    </row>
    <row r="121" spans="1:6" ht="20.25" customHeight="1" x14ac:dyDescent="0.3">
      <c r="A121" s="235">
        <v>4</v>
      </c>
      <c r="B121" s="236" t="s">
        <v>449</v>
      </c>
      <c r="C121" s="237">
        <v>874702</v>
      </c>
      <c r="D121" s="237">
        <v>1202903</v>
      </c>
      <c r="E121" s="237">
        <f t="shared" si="16"/>
        <v>328201</v>
      </c>
      <c r="F121" s="238">
        <f t="shared" si="17"/>
        <v>0.37521464453036579</v>
      </c>
    </row>
    <row r="122" spans="1:6" ht="20.25" customHeight="1" x14ac:dyDescent="0.3">
      <c r="A122" s="235">
        <v>5</v>
      </c>
      <c r="B122" s="236" t="s">
        <v>385</v>
      </c>
      <c r="C122" s="239">
        <v>75</v>
      </c>
      <c r="D122" s="239">
        <v>98</v>
      </c>
      <c r="E122" s="239">
        <f t="shared" si="16"/>
        <v>23</v>
      </c>
      <c r="F122" s="238">
        <f t="shared" si="17"/>
        <v>0.30666666666666664</v>
      </c>
    </row>
    <row r="123" spans="1:6" ht="20.25" customHeight="1" x14ac:dyDescent="0.3">
      <c r="A123" s="235">
        <v>6</v>
      </c>
      <c r="B123" s="236" t="s">
        <v>384</v>
      </c>
      <c r="C123" s="239">
        <v>397</v>
      </c>
      <c r="D123" s="239">
        <v>621</v>
      </c>
      <c r="E123" s="239">
        <f t="shared" si="16"/>
        <v>224</v>
      </c>
      <c r="F123" s="238">
        <f t="shared" si="17"/>
        <v>0.5642317380352645</v>
      </c>
    </row>
    <row r="124" spans="1:6" ht="20.25" customHeight="1" x14ac:dyDescent="0.3">
      <c r="A124" s="235">
        <v>7</v>
      </c>
      <c r="B124" s="236" t="s">
        <v>450</v>
      </c>
      <c r="C124" s="239">
        <v>476</v>
      </c>
      <c r="D124" s="239">
        <v>839</v>
      </c>
      <c r="E124" s="239">
        <f t="shared" si="16"/>
        <v>363</v>
      </c>
      <c r="F124" s="238">
        <f t="shared" si="17"/>
        <v>0.76260504201680668</v>
      </c>
    </row>
    <row r="125" spans="1:6" ht="20.25" customHeight="1" x14ac:dyDescent="0.3">
      <c r="A125" s="235">
        <v>8</v>
      </c>
      <c r="B125" s="236" t="s">
        <v>451</v>
      </c>
      <c r="C125" s="239">
        <v>74</v>
      </c>
      <c r="D125" s="239">
        <v>121</v>
      </c>
      <c r="E125" s="239">
        <f t="shared" si="16"/>
        <v>47</v>
      </c>
      <c r="F125" s="238">
        <f t="shared" si="17"/>
        <v>0.63513513513513509</v>
      </c>
    </row>
    <row r="126" spans="1:6" ht="20.25" customHeight="1" x14ac:dyDescent="0.3">
      <c r="A126" s="235">
        <v>9</v>
      </c>
      <c r="B126" s="236" t="s">
        <v>452</v>
      </c>
      <c r="C126" s="239">
        <v>59</v>
      </c>
      <c r="D126" s="239">
        <v>76</v>
      </c>
      <c r="E126" s="239">
        <f t="shared" si="16"/>
        <v>17</v>
      </c>
      <c r="F126" s="238">
        <f t="shared" si="17"/>
        <v>0.28813559322033899</v>
      </c>
    </row>
    <row r="127" spans="1:6" s="240" customFormat="1" ht="20.25" customHeight="1" x14ac:dyDescent="0.3">
      <c r="A127" s="241"/>
      <c r="B127" s="242" t="s">
        <v>453</v>
      </c>
      <c r="C127" s="243">
        <f>+C118+C120</f>
        <v>4299781</v>
      </c>
      <c r="D127" s="243">
        <f>+D118+D120</f>
        <v>7331113</v>
      </c>
      <c r="E127" s="243">
        <f t="shared" si="16"/>
        <v>3031332</v>
      </c>
      <c r="F127" s="244">
        <f t="shared" si="17"/>
        <v>0.70499683588536255</v>
      </c>
    </row>
    <row r="128" spans="1:6" s="240" customFormat="1" ht="20.25" customHeight="1" x14ac:dyDescent="0.3">
      <c r="A128" s="241"/>
      <c r="B128" s="242" t="s">
        <v>454</v>
      </c>
      <c r="C128" s="243">
        <f>+C119+C121</f>
        <v>1586185</v>
      </c>
      <c r="D128" s="243">
        <f>+D119+D121</f>
        <v>2202781</v>
      </c>
      <c r="E128" s="243">
        <f t="shared" si="16"/>
        <v>616596</v>
      </c>
      <c r="F128" s="244">
        <f t="shared" si="17"/>
        <v>0.38872893136676995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463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446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447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448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449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385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384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450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451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452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453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454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230</v>
      </c>
      <c r="B143" s="231" t="s">
        <v>464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446</v>
      </c>
      <c r="C144" s="237">
        <v>10734214</v>
      </c>
      <c r="D144" s="237">
        <v>16090165</v>
      </c>
      <c r="E144" s="237">
        <f t="shared" ref="E144:E154" si="20">D144-C144</f>
        <v>5355951</v>
      </c>
      <c r="F144" s="238">
        <f t="shared" ref="F144:F154" si="21">IF(C144=0,0,E144/C144)</f>
        <v>0.49896070639173024</v>
      </c>
    </row>
    <row r="145" spans="1:6" ht="20.25" customHeight="1" x14ac:dyDescent="0.3">
      <c r="A145" s="235">
        <v>2</v>
      </c>
      <c r="B145" s="236" t="s">
        <v>447</v>
      </c>
      <c r="C145" s="237">
        <v>3085109</v>
      </c>
      <c r="D145" s="237">
        <v>5214117</v>
      </c>
      <c r="E145" s="237">
        <f t="shared" si="20"/>
        <v>2129008</v>
      </c>
      <c r="F145" s="238">
        <f t="shared" si="21"/>
        <v>0.6900916628877618</v>
      </c>
    </row>
    <row r="146" spans="1:6" ht="20.25" customHeight="1" x14ac:dyDescent="0.3">
      <c r="A146" s="235">
        <v>3</v>
      </c>
      <c r="B146" s="236" t="s">
        <v>448</v>
      </c>
      <c r="C146" s="237">
        <v>9339872</v>
      </c>
      <c r="D146" s="237">
        <v>12302814</v>
      </c>
      <c r="E146" s="237">
        <f t="shared" si="20"/>
        <v>2962942</v>
      </c>
      <c r="F146" s="238">
        <f t="shared" si="21"/>
        <v>0.3172358250734057</v>
      </c>
    </row>
    <row r="147" spans="1:6" ht="20.25" customHeight="1" x14ac:dyDescent="0.3">
      <c r="A147" s="235">
        <v>4</v>
      </c>
      <c r="B147" s="236" t="s">
        <v>449</v>
      </c>
      <c r="C147" s="237">
        <v>2608027</v>
      </c>
      <c r="D147" s="237">
        <v>3261529</v>
      </c>
      <c r="E147" s="237">
        <f t="shared" si="20"/>
        <v>653502</v>
      </c>
      <c r="F147" s="238">
        <f t="shared" si="21"/>
        <v>0.25057332611970656</v>
      </c>
    </row>
    <row r="148" spans="1:6" ht="20.25" customHeight="1" x14ac:dyDescent="0.3">
      <c r="A148" s="235">
        <v>5</v>
      </c>
      <c r="B148" s="236" t="s">
        <v>385</v>
      </c>
      <c r="C148" s="239">
        <v>350</v>
      </c>
      <c r="D148" s="239">
        <v>476</v>
      </c>
      <c r="E148" s="239">
        <f t="shared" si="20"/>
        <v>126</v>
      </c>
      <c r="F148" s="238">
        <f t="shared" si="21"/>
        <v>0.36</v>
      </c>
    </row>
    <row r="149" spans="1:6" ht="20.25" customHeight="1" x14ac:dyDescent="0.3">
      <c r="A149" s="235">
        <v>6</v>
      </c>
      <c r="B149" s="236" t="s">
        <v>384</v>
      </c>
      <c r="C149" s="239">
        <v>1791</v>
      </c>
      <c r="D149" s="239">
        <v>2371</v>
      </c>
      <c r="E149" s="239">
        <f t="shared" si="20"/>
        <v>580</v>
      </c>
      <c r="F149" s="238">
        <f t="shared" si="21"/>
        <v>0.32384142936906757</v>
      </c>
    </row>
    <row r="150" spans="1:6" ht="20.25" customHeight="1" x14ac:dyDescent="0.3">
      <c r="A150" s="235">
        <v>7</v>
      </c>
      <c r="B150" s="236" t="s">
        <v>450</v>
      </c>
      <c r="C150" s="239">
        <v>2196</v>
      </c>
      <c r="D150" s="239">
        <v>2863</v>
      </c>
      <c r="E150" s="239">
        <f t="shared" si="20"/>
        <v>667</v>
      </c>
      <c r="F150" s="238">
        <f t="shared" si="21"/>
        <v>0.30373406193078323</v>
      </c>
    </row>
    <row r="151" spans="1:6" ht="20.25" customHeight="1" x14ac:dyDescent="0.3">
      <c r="A151" s="235">
        <v>8</v>
      </c>
      <c r="B151" s="236" t="s">
        <v>451</v>
      </c>
      <c r="C151" s="239">
        <v>311</v>
      </c>
      <c r="D151" s="239">
        <v>423</v>
      </c>
      <c r="E151" s="239">
        <f t="shared" si="20"/>
        <v>112</v>
      </c>
      <c r="F151" s="238">
        <f t="shared" si="21"/>
        <v>0.36012861736334406</v>
      </c>
    </row>
    <row r="152" spans="1:6" ht="20.25" customHeight="1" x14ac:dyDescent="0.3">
      <c r="A152" s="235">
        <v>9</v>
      </c>
      <c r="B152" s="236" t="s">
        <v>452</v>
      </c>
      <c r="C152" s="239">
        <v>262</v>
      </c>
      <c r="D152" s="239">
        <v>350</v>
      </c>
      <c r="E152" s="239">
        <f t="shared" si="20"/>
        <v>88</v>
      </c>
      <c r="F152" s="238">
        <f t="shared" si="21"/>
        <v>0.33587786259541985</v>
      </c>
    </row>
    <row r="153" spans="1:6" s="240" customFormat="1" ht="20.25" customHeight="1" x14ac:dyDescent="0.3">
      <c r="A153" s="241"/>
      <c r="B153" s="242" t="s">
        <v>453</v>
      </c>
      <c r="C153" s="243">
        <f>+C144+C146</f>
        <v>20074086</v>
      </c>
      <c r="D153" s="243">
        <f>+D144+D146</f>
        <v>28392979</v>
      </c>
      <c r="E153" s="243">
        <f t="shared" si="20"/>
        <v>8318893</v>
      </c>
      <c r="F153" s="244">
        <f t="shared" si="21"/>
        <v>0.4144095526939558</v>
      </c>
    </row>
    <row r="154" spans="1:6" s="240" customFormat="1" ht="20.25" customHeight="1" x14ac:dyDescent="0.3">
      <c r="A154" s="241"/>
      <c r="B154" s="242" t="s">
        <v>454</v>
      </c>
      <c r="C154" s="243">
        <f>+C145+C147</f>
        <v>5693136</v>
      </c>
      <c r="D154" s="243">
        <f>+D145+D147</f>
        <v>8475646</v>
      </c>
      <c r="E154" s="243">
        <f t="shared" si="20"/>
        <v>2782510</v>
      </c>
      <c r="F154" s="244">
        <f t="shared" si="21"/>
        <v>0.48874820485581233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465</v>
      </c>
      <c r="B156" s="231" t="s">
        <v>466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446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447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448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449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385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384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450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451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452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453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454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467</v>
      </c>
      <c r="B169" s="231" t="s">
        <v>468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446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447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448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449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385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384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450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451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452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453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454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469</v>
      </c>
      <c r="B182" s="231" t="s">
        <v>470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446</v>
      </c>
      <c r="C183" s="237">
        <v>667106</v>
      </c>
      <c r="D183" s="237">
        <v>244697</v>
      </c>
      <c r="E183" s="237">
        <f t="shared" ref="E183:E193" si="26">D183-C183</f>
        <v>-422409</v>
      </c>
      <c r="F183" s="238">
        <f t="shared" ref="F183:F193" si="27">IF(C183=0,0,E183/C183)</f>
        <v>-0.63319622368858919</v>
      </c>
    </row>
    <row r="184" spans="1:6" ht="20.25" customHeight="1" x14ac:dyDescent="0.3">
      <c r="A184" s="235">
        <v>2</v>
      </c>
      <c r="B184" s="236" t="s">
        <v>447</v>
      </c>
      <c r="C184" s="237">
        <v>206478</v>
      </c>
      <c r="D184" s="237">
        <v>89825</v>
      </c>
      <c r="E184" s="237">
        <f t="shared" si="26"/>
        <v>-116653</v>
      </c>
      <c r="F184" s="238">
        <f t="shared" si="27"/>
        <v>-0.56496575906391966</v>
      </c>
    </row>
    <row r="185" spans="1:6" ht="20.25" customHeight="1" x14ac:dyDescent="0.3">
      <c r="A185" s="235">
        <v>3</v>
      </c>
      <c r="B185" s="236" t="s">
        <v>448</v>
      </c>
      <c r="C185" s="237">
        <v>403375</v>
      </c>
      <c r="D185" s="237">
        <v>247939</v>
      </c>
      <c r="E185" s="237">
        <f t="shared" si="26"/>
        <v>-155436</v>
      </c>
      <c r="F185" s="238">
        <f t="shared" si="27"/>
        <v>-0.38533870467926867</v>
      </c>
    </row>
    <row r="186" spans="1:6" ht="20.25" customHeight="1" x14ac:dyDescent="0.3">
      <c r="A186" s="235">
        <v>4</v>
      </c>
      <c r="B186" s="236" t="s">
        <v>449</v>
      </c>
      <c r="C186" s="237">
        <v>115242</v>
      </c>
      <c r="D186" s="237">
        <v>63393</v>
      </c>
      <c r="E186" s="237">
        <f t="shared" si="26"/>
        <v>-51849</v>
      </c>
      <c r="F186" s="238">
        <f t="shared" si="27"/>
        <v>-0.44991409381996145</v>
      </c>
    </row>
    <row r="187" spans="1:6" ht="20.25" customHeight="1" x14ac:dyDescent="0.3">
      <c r="A187" s="235">
        <v>5</v>
      </c>
      <c r="B187" s="236" t="s">
        <v>385</v>
      </c>
      <c r="C187" s="239">
        <v>15</v>
      </c>
      <c r="D187" s="239">
        <v>11</v>
      </c>
      <c r="E187" s="239">
        <f t="shared" si="26"/>
        <v>-4</v>
      </c>
      <c r="F187" s="238">
        <f t="shared" si="27"/>
        <v>-0.26666666666666666</v>
      </c>
    </row>
    <row r="188" spans="1:6" ht="20.25" customHeight="1" x14ac:dyDescent="0.3">
      <c r="A188" s="235">
        <v>6</v>
      </c>
      <c r="B188" s="236" t="s">
        <v>384</v>
      </c>
      <c r="C188" s="239">
        <v>142</v>
      </c>
      <c r="D188" s="239">
        <v>48</v>
      </c>
      <c r="E188" s="239">
        <f t="shared" si="26"/>
        <v>-94</v>
      </c>
      <c r="F188" s="238">
        <f t="shared" si="27"/>
        <v>-0.6619718309859155</v>
      </c>
    </row>
    <row r="189" spans="1:6" ht="20.25" customHeight="1" x14ac:dyDescent="0.3">
      <c r="A189" s="235">
        <v>7</v>
      </c>
      <c r="B189" s="236" t="s">
        <v>450</v>
      </c>
      <c r="C189" s="239">
        <v>95</v>
      </c>
      <c r="D189" s="239">
        <v>58</v>
      </c>
      <c r="E189" s="239">
        <f t="shared" si="26"/>
        <v>-37</v>
      </c>
      <c r="F189" s="238">
        <f t="shared" si="27"/>
        <v>-0.38947368421052631</v>
      </c>
    </row>
    <row r="190" spans="1:6" ht="20.25" customHeight="1" x14ac:dyDescent="0.3">
      <c r="A190" s="235">
        <v>8</v>
      </c>
      <c r="B190" s="236" t="s">
        <v>451</v>
      </c>
      <c r="C190" s="239">
        <v>32</v>
      </c>
      <c r="D190" s="239">
        <v>25</v>
      </c>
      <c r="E190" s="239">
        <f t="shared" si="26"/>
        <v>-7</v>
      </c>
      <c r="F190" s="238">
        <f t="shared" si="27"/>
        <v>-0.21875</v>
      </c>
    </row>
    <row r="191" spans="1:6" ht="20.25" customHeight="1" x14ac:dyDescent="0.3">
      <c r="A191" s="235">
        <v>9</v>
      </c>
      <c r="B191" s="236" t="s">
        <v>452</v>
      </c>
      <c r="C191" s="239">
        <v>12</v>
      </c>
      <c r="D191" s="239">
        <v>9</v>
      </c>
      <c r="E191" s="239">
        <f t="shared" si="26"/>
        <v>-3</v>
      </c>
      <c r="F191" s="238">
        <f t="shared" si="27"/>
        <v>-0.25</v>
      </c>
    </row>
    <row r="192" spans="1:6" s="240" customFormat="1" ht="20.25" customHeight="1" x14ac:dyDescent="0.3">
      <c r="A192" s="241"/>
      <c r="B192" s="242" t="s">
        <v>453</v>
      </c>
      <c r="C192" s="243">
        <f>+C183+C185</f>
        <v>1070481</v>
      </c>
      <c r="D192" s="243">
        <f>+D183+D185</f>
        <v>492636</v>
      </c>
      <c r="E192" s="243">
        <f t="shared" si="26"/>
        <v>-577845</v>
      </c>
      <c r="F192" s="244">
        <f t="shared" si="27"/>
        <v>-0.53979939858811132</v>
      </c>
    </row>
    <row r="193" spans="1:9" s="240" customFormat="1" ht="20.25" customHeight="1" x14ac:dyDescent="0.3">
      <c r="A193" s="241"/>
      <c r="B193" s="242" t="s">
        <v>454</v>
      </c>
      <c r="C193" s="243">
        <f>+C184+C186</f>
        <v>321720</v>
      </c>
      <c r="D193" s="243">
        <f>+D184+D186</f>
        <v>153218</v>
      </c>
      <c r="E193" s="243">
        <f t="shared" si="26"/>
        <v>-168502</v>
      </c>
      <c r="F193" s="244">
        <f t="shared" si="27"/>
        <v>-0.52375357453686433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8" t="s">
        <v>44</v>
      </c>
      <c r="B195" s="689" t="s">
        <v>471</v>
      </c>
      <c r="C195" s="691"/>
      <c r="D195" s="692"/>
      <c r="E195" s="692"/>
      <c r="F195" s="693"/>
      <c r="G195" s="694"/>
      <c r="H195" s="694"/>
      <c r="I195" s="694"/>
    </row>
    <row r="196" spans="1:9" ht="20.25" customHeight="1" x14ac:dyDescent="0.3">
      <c r="A196" s="679"/>
      <c r="B196" s="690"/>
      <c r="C196" s="685"/>
      <c r="D196" s="686"/>
      <c r="E196" s="686"/>
      <c r="F196" s="687"/>
      <c r="G196" s="694"/>
      <c r="H196" s="694"/>
      <c r="I196" s="69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472</v>
      </c>
      <c r="C198" s="243">
        <f t="shared" ref="C198:D206" si="28">+C183+C170+C157+C144+C131+C118+C105+C92+C79+C66+C53+C40+C27+C14</f>
        <v>23714332</v>
      </c>
      <c r="D198" s="243">
        <f t="shared" si="28"/>
        <v>29619519</v>
      </c>
      <c r="E198" s="243">
        <f t="shared" ref="E198:E208" si="29">D198-C198</f>
        <v>5905187</v>
      </c>
      <c r="F198" s="251">
        <f t="shared" ref="F198:F208" si="30">IF(C198=0,0,E198/C198)</f>
        <v>0.2490134236123539</v>
      </c>
    </row>
    <row r="199" spans="1:9" ht="20.25" customHeight="1" x14ac:dyDescent="0.3">
      <c r="A199" s="249"/>
      <c r="B199" s="250" t="s">
        <v>473</v>
      </c>
      <c r="C199" s="243">
        <f t="shared" si="28"/>
        <v>7290698</v>
      </c>
      <c r="D199" s="243">
        <f t="shared" si="28"/>
        <v>9284752</v>
      </c>
      <c r="E199" s="243">
        <f t="shared" si="29"/>
        <v>1994054</v>
      </c>
      <c r="F199" s="251">
        <f t="shared" si="30"/>
        <v>0.27350659703638802</v>
      </c>
    </row>
    <row r="200" spans="1:9" ht="20.25" customHeight="1" x14ac:dyDescent="0.3">
      <c r="A200" s="249"/>
      <c r="B200" s="250" t="s">
        <v>474</v>
      </c>
      <c r="C200" s="243">
        <f t="shared" si="28"/>
        <v>18545125</v>
      </c>
      <c r="D200" s="243">
        <f t="shared" si="28"/>
        <v>24831238</v>
      </c>
      <c r="E200" s="243">
        <f t="shared" si="29"/>
        <v>6286113</v>
      </c>
      <c r="F200" s="251">
        <f t="shared" si="30"/>
        <v>0.33896309677071468</v>
      </c>
    </row>
    <row r="201" spans="1:9" ht="20.25" customHeight="1" x14ac:dyDescent="0.3">
      <c r="A201" s="249"/>
      <c r="B201" s="250" t="s">
        <v>475</v>
      </c>
      <c r="C201" s="243">
        <f t="shared" si="28"/>
        <v>5701485</v>
      </c>
      <c r="D201" s="243">
        <f t="shared" si="28"/>
        <v>7783782</v>
      </c>
      <c r="E201" s="243">
        <f t="shared" si="29"/>
        <v>2082297</v>
      </c>
      <c r="F201" s="251">
        <f t="shared" si="30"/>
        <v>0.36522011370721841</v>
      </c>
    </row>
    <row r="202" spans="1:9" ht="20.25" customHeight="1" x14ac:dyDescent="0.3">
      <c r="A202" s="249"/>
      <c r="B202" s="250" t="s">
        <v>476</v>
      </c>
      <c r="C202" s="252">
        <f t="shared" si="28"/>
        <v>736</v>
      </c>
      <c r="D202" s="252">
        <f t="shared" si="28"/>
        <v>860</v>
      </c>
      <c r="E202" s="252">
        <f t="shared" si="29"/>
        <v>124</v>
      </c>
      <c r="F202" s="251">
        <f t="shared" si="30"/>
        <v>0.16847826086956522</v>
      </c>
    </row>
    <row r="203" spans="1:9" ht="20.25" customHeight="1" x14ac:dyDescent="0.3">
      <c r="A203" s="249"/>
      <c r="B203" s="250" t="s">
        <v>477</v>
      </c>
      <c r="C203" s="252">
        <f t="shared" si="28"/>
        <v>3997</v>
      </c>
      <c r="D203" s="252">
        <f t="shared" si="28"/>
        <v>4389</v>
      </c>
      <c r="E203" s="252">
        <f t="shared" si="29"/>
        <v>392</v>
      </c>
      <c r="F203" s="251">
        <f t="shared" si="30"/>
        <v>9.8073555166374782E-2</v>
      </c>
    </row>
    <row r="204" spans="1:9" ht="39.950000000000003" customHeight="1" x14ac:dyDescent="0.3">
      <c r="A204" s="249"/>
      <c r="B204" s="250" t="s">
        <v>478</v>
      </c>
      <c r="C204" s="252">
        <f t="shared" si="28"/>
        <v>4360</v>
      </c>
      <c r="D204" s="252">
        <f t="shared" si="28"/>
        <v>5779</v>
      </c>
      <c r="E204" s="252">
        <f t="shared" si="29"/>
        <v>1419</v>
      </c>
      <c r="F204" s="251">
        <f t="shared" si="30"/>
        <v>0.32545871559633027</v>
      </c>
    </row>
    <row r="205" spans="1:9" ht="39.950000000000003" customHeight="1" x14ac:dyDescent="0.3">
      <c r="A205" s="249"/>
      <c r="B205" s="250" t="s">
        <v>479</v>
      </c>
      <c r="C205" s="252">
        <f t="shared" si="28"/>
        <v>700</v>
      </c>
      <c r="D205" s="252">
        <f t="shared" si="28"/>
        <v>916</v>
      </c>
      <c r="E205" s="252">
        <f t="shared" si="29"/>
        <v>216</v>
      </c>
      <c r="F205" s="251">
        <f t="shared" si="30"/>
        <v>0.30857142857142855</v>
      </c>
    </row>
    <row r="206" spans="1:9" ht="39.950000000000003" customHeight="1" x14ac:dyDescent="0.3">
      <c r="A206" s="249"/>
      <c r="B206" s="250" t="s">
        <v>480</v>
      </c>
      <c r="C206" s="252">
        <f t="shared" si="28"/>
        <v>551</v>
      </c>
      <c r="D206" s="252">
        <f t="shared" si="28"/>
        <v>635</v>
      </c>
      <c r="E206" s="252">
        <f t="shared" si="29"/>
        <v>84</v>
      </c>
      <c r="F206" s="251">
        <f t="shared" si="30"/>
        <v>0.15245009074410162</v>
      </c>
    </row>
    <row r="207" spans="1:9" ht="20.25" customHeight="1" x14ac:dyDescent="0.3">
      <c r="A207" s="249"/>
      <c r="B207" s="242" t="s">
        <v>481</v>
      </c>
      <c r="C207" s="243">
        <f>+C198+C200</f>
        <v>42259457</v>
      </c>
      <c r="D207" s="243">
        <f>+D198+D200</f>
        <v>54450757</v>
      </c>
      <c r="E207" s="243">
        <f t="shared" si="29"/>
        <v>12191300</v>
      </c>
      <c r="F207" s="251">
        <f t="shared" si="30"/>
        <v>0.28848690601963956</v>
      </c>
    </row>
    <row r="208" spans="1:9" ht="20.25" customHeight="1" x14ac:dyDescent="0.3">
      <c r="A208" s="249"/>
      <c r="B208" s="242" t="s">
        <v>482</v>
      </c>
      <c r="C208" s="243">
        <f>+C199+C201</f>
        <v>12992183</v>
      </c>
      <c r="D208" s="243">
        <f>+D199+D201</f>
        <v>17068534</v>
      </c>
      <c r="E208" s="243">
        <f t="shared" si="29"/>
        <v>4076351</v>
      </c>
      <c r="F208" s="251">
        <f t="shared" si="30"/>
        <v>0.31375412430690053</v>
      </c>
    </row>
  </sheetData>
  <mergeCells count="12"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FILING&amp;RDANBURY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483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8" t="s">
        <v>12</v>
      </c>
      <c r="B10" s="689" t="s">
        <v>115</v>
      </c>
      <c r="C10" s="691"/>
      <c r="D10" s="692"/>
      <c r="E10" s="692"/>
      <c r="F10" s="693"/>
    </row>
    <row r="11" spans="1:7" ht="20.25" customHeight="1" x14ac:dyDescent="0.3">
      <c r="A11" s="679"/>
      <c r="B11" s="690"/>
      <c r="C11" s="685"/>
      <c r="D11" s="686"/>
      <c r="E11" s="686"/>
      <c r="F11" s="687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484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447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448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449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385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384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450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451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452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453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482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485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446</v>
      </c>
      <c r="C26" s="237">
        <v>7314852</v>
      </c>
      <c r="D26" s="237">
        <v>2357889</v>
      </c>
      <c r="E26" s="237">
        <f t="shared" ref="E26:E36" si="2">D26-C26</f>
        <v>-4956963</v>
      </c>
      <c r="F26" s="238">
        <f t="shared" ref="F26:F36" si="3">IF(C26=0,0,E26/C26)</f>
        <v>-0.67765731965595477</v>
      </c>
    </row>
    <row r="27" spans="1:6" ht="20.25" customHeight="1" x14ac:dyDescent="0.3">
      <c r="A27" s="235">
        <v>2</v>
      </c>
      <c r="B27" s="236" t="s">
        <v>447</v>
      </c>
      <c r="C27" s="237">
        <v>1855792</v>
      </c>
      <c r="D27" s="237">
        <v>292509</v>
      </c>
      <c r="E27" s="237">
        <f t="shared" si="2"/>
        <v>-1563283</v>
      </c>
      <c r="F27" s="238">
        <f t="shared" si="3"/>
        <v>-0.84238050384956931</v>
      </c>
    </row>
    <row r="28" spans="1:6" ht="20.25" customHeight="1" x14ac:dyDescent="0.3">
      <c r="A28" s="235">
        <v>3</v>
      </c>
      <c r="B28" s="236" t="s">
        <v>448</v>
      </c>
      <c r="C28" s="237">
        <v>14710540</v>
      </c>
      <c r="D28" s="237">
        <v>3476665</v>
      </c>
      <c r="E28" s="237">
        <f t="shared" si="2"/>
        <v>-11233875</v>
      </c>
      <c r="F28" s="238">
        <f t="shared" si="3"/>
        <v>-0.76366163308756851</v>
      </c>
    </row>
    <row r="29" spans="1:6" ht="20.25" customHeight="1" x14ac:dyDescent="0.3">
      <c r="A29" s="235">
        <v>4</v>
      </c>
      <c r="B29" s="236" t="s">
        <v>449</v>
      </c>
      <c r="C29" s="237">
        <v>3604229</v>
      </c>
      <c r="D29" s="237">
        <v>495817</v>
      </c>
      <c r="E29" s="237">
        <f t="shared" si="2"/>
        <v>-3108412</v>
      </c>
      <c r="F29" s="238">
        <f t="shared" si="3"/>
        <v>-0.86243465662143004</v>
      </c>
    </row>
    <row r="30" spans="1:6" ht="20.25" customHeight="1" x14ac:dyDescent="0.3">
      <c r="A30" s="235">
        <v>5</v>
      </c>
      <c r="B30" s="236" t="s">
        <v>385</v>
      </c>
      <c r="C30" s="239">
        <v>457</v>
      </c>
      <c r="D30" s="239">
        <v>99</v>
      </c>
      <c r="E30" s="239">
        <f t="shared" si="2"/>
        <v>-358</v>
      </c>
      <c r="F30" s="238">
        <f t="shared" si="3"/>
        <v>-0.78336980306345738</v>
      </c>
    </row>
    <row r="31" spans="1:6" ht="20.25" customHeight="1" x14ac:dyDescent="0.3">
      <c r="A31" s="235">
        <v>6</v>
      </c>
      <c r="B31" s="236" t="s">
        <v>384</v>
      </c>
      <c r="C31" s="239">
        <v>1656</v>
      </c>
      <c r="D31" s="239">
        <v>486</v>
      </c>
      <c r="E31" s="239">
        <f t="shared" si="2"/>
        <v>-1170</v>
      </c>
      <c r="F31" s="238">
        <f t="shared" si="3"/>
        <v>-0.70652173913043481</v>
      </c>
    </row>
    <row r="32" spans="1:6" ht="20.25" customHeight="1" x14ac:dyDescent="0.3">
      <c r="A32" s="235">
        <v>7</v>
      </c>
      <c r="B32" s="236" t="s">
        <v>450</v>
      </c>
      <c r="C32" s="239">
        <v>4669</v>
      </c>
      <c r="D32" s="239">
        <v>718</v>
      </c>
      <c r="E32" s="239">
        <f t="shared" si="2"/>
        <v>-3951</v>
      </c>
      <c r="F32" s="238">
        <f t="shared" si="3"/>
        <v>-0.84621974726922256</v>
      </c>
    </row>
    <row r="33" spans="1:6" ht="20.25" customHeight="1" x14ac:dyDescent="0.3">
      <c r="A33" s="235">
        <v>8</v>
      </c>
      <c r="B33" s="236" t="s">
        <v>451</v>
      </c>
      <c r="C33" s="239">
        <v>4794</v>
      </c>
      <c r="D33" s="239">
        <v>1159</v>
      </c>
      <c r="E33" s="239">
        <f t="shared" si="2"/>
        <v>-3635</v>
      </c>
      <c r="F33" s="238">
        <f t="shared" si="3"/>
        <v>-0.75823946599916558</v>
      </c>
    </row>
    <row r="34" spans="1:6" ht="20.25" customHeight="1" x14ac:dyDescent="0.3">
      <c r="A34" s="235">
        <v>9</v>
      </c>
      <c r="B34" s="236" t="s">
        <v>452</v>
      </c>
      <c r="C34" s="239">
        <v>118</v>
      </c>
      <c r="D34" s="239">
        <v>29</v>
      </c>
      <c r="E34" s="239">
        <f t="shared" si="2"/>
        <v>-89</v>
      </c>
      <c r="F34" s="238">
        <f t="shared" si="3"/>
        <v>-0.75423728813559321</v>
      </c>
    </row>
    <row r="35" spans="1:6" s="240" customFormat="1" ht="39.950000000000003" customHeight="1" x14ac:dyDescent="0.3">
      <c r="A35" s="245"/>
      <c r="B35" s="242" t="s">
        <v>453</v>
      </c>
      <c r="C35" s="243">
        <f>+C26+C28</f>
        <v>22025392</v>
      </c>
      <c r="D35" s="243">
        <f>+D26+D28</f>
        <v>5834554</v>
      </c>
      <c r="E35" s="243">
        <f t="shared" si="2"/>
        <v>-16190838</v>
      </c>
      <c r="F35" s="244">
        <f t="shared" si="3"/>
        <v>-0.73509874421304289</v>
      </c>
    </row>
    <row r="36" spans="1:6" s="240" customFormat="1" ht="39.950000000000003" customHeight="1" x14ac:dyDescent="0.3">
      <c r="A36" s="245"/>
      <c r="B36" s="242" t="s">
        <v>482</v>
      </c>
      <c r="C36" s="243">
        <f>+C27+C29</f>
        <v>5460021</v>
      </c>
      <c r="D36" s="243">
        <f>+D27+D29</f>
        <v>788326</v>
      </c>
      <c r="E36" s="243">
        <f t="shared" si="2"/>
        <v>-4671695</v>
      </c>
      <c r="F36" s="244">
        <f t="shared" si="3"/>
        <v>-0.85561850403139472</v>
      </c>
    </row>
    <row r="37" spans="1:6" ht="42" customHeight="1" x14ac:dyDescent="0.3">
      <c r="A37" s="227" t="s">
        <v>141</v>
      </c>
      <c r="B37" s="261" t="s">
        <v>486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446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447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448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449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385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384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450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451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452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453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482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487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446</v>
      </c>
      <c r="C50" s="237">
        <v>493140</v>
      </c>
      <c r="D50" s="237">
        <v>158095</v>
      </c>
      <c r="E50" s="237">
        <f t="shared" ref="E50:E60" si="6">D50-C50</f>
        <v>-335045</v>
      </c>
      <c r="F50" s="238">
        <f t="shared" ref="F50:F60" si="7">IF(C50=0,0,E50/C50)</f>
        <v>-0.67941152613862188</v>
      </c>
    </row>
    <row r="51" spans="1:6" ht="20.25" customHeight="1" x14ac:dyDescent="0.3">
      <c r="A51" s="235">
        <v>2</v>
      </c>
      <c r="B51" s="236" t="s">
        <v>447</v>
      </c>
      <c r="C51" s="237">
        <v>71764</v>
      </c>
      <c r="D51" s="237">
        <v>5163</v>
      </c>
      <c r="E51" s="237">
        <f t="shared" si="6"/>
        <v>-66601</v>
      </c>
      <c r="F51" s="238">
        <f t="shared" si="7"/>
        <v>-0.92805584972966948</v>
      </c>
    </row>
    <row r="52" spans="1:6" ht="20.25" customHeight="1" x14ac:dyDescent="0.3">
      <c r="A52" s="235">
        <v>3</v>
      </c>
      <c r="B52" s="236" t="s">
        <v>448</v>
      </c>
      <c r="C52" s="237">
        <v>403271</v>
      </c>
      <c r="D52" s="237">
        <v>122090</v>
      </c>
      <c r="E52" s="237">
        <f t="shared" si="6"/>
        <v>-281181</v>
      </c>
      <c r="F52" s="238">
        <f t="shared" si="7"/>
        <v>-0.69725073213794198</v>
      </c>
    </row>
    <row r="53" spans="1:6" ht="20.25" customHeight="1" x14ac:dyDescent="0.3">
      <c r="A53" s="235">
        <v>4</v>
      </c>
      <c r="B53" s="236" t="s">
        <v>449</v>
      </c>
      <c r="C53" s="237">
        <v>27949</v>
      </c>
      <c r="D53" s="237">
        <v>39500</v>
      </c>
      <c r="E53" s="237">
        <f t="shared" si="6"/>
        <v>11551</v>
      </c>
      <c r="F53" s="238">
        <f t="shared" si="7"/>
        <v>0.41328848974918603</v>
      </c>
    </row>
    <row r="54" spans="1:6" ht="20.25" customHeight="1" x14ac:dyDescent="0.3">
      <c r="A54" s="235">
        <v>5</v>
      </c>
      <c r="B54" s="236" t="s">
        <v>385</v>
      </c>
      <c r="C54" s="239">
        <v>22</v>
      </c>
      <c r="D54" s="239">
        <v>12</v>
      </c>
      <c r="E54" s="239">
        <f t="shared" si="6"/>
        <v>-10</v>
      </c>
      <c r="F54" s="238">
        <f t="shared" si="7"/>
        <v>-0.45454545454545453</v>
      </c>
    </row>
    <row r="55" spans="1:6" ht="20.25" customHeight="1" x14ac:dyDescent="0.3">
      <c r="A55" s="235">
        <v>6</v>
      </c>
      <c r="B55" s="236" t="s">
        <v>384</v>
      </c>
      <c r="C55" s="239">
        <v>119</v>
      </c>
      <c r="D55" s="239">
        <v>32</v>
      </c>
      <c r="E55" s="239">
        <f t="shared" si="6"/>
        <v>-87</v>
      </c>
      <c r="F55" s="238">
        <f t="shared" si="7"/>
        <v>-0.73109243697478987</v>
      </c>
    </row>
    <row r="56" spans="1:6" ht="20.25" customHeight="1" x14ac:dyDescent="0.3">
      <c r="A56" s="235">
        <v>7</v>
      </c>
      <c r="B56" s="236" t="s">
        <v>450</v>
      </c>
      <c r="C56" s="239">
        <v>128</v>
      </c>
      <c r="D56" s="239">
        <v>25</v>
      </c>
      <c r="E56" s="239">
        <f t="shared" si="6"/>
        <v>-103</v>
      </c>
      <c r="F56" s="238">
        <f t="shared" si="7"/>
        <v>-0.8046875</v>
      </c>
    </row>
    <row r="57" spans="1:6" ht="20.25" customHeight="1" x14ac:dyDescent="0.3">
      <c r="A57" s="235">
        <v>8</v>
      </c>
      <c r="B57" s="236" t="s">
        <v>451</v>
      </c>
      <c r="C57" s="239">
        <v>210</v>
      </c>
      <c r="D57" s="239">
        <v>251</v>
      </c>
      <c r="E57" s="239">
        <f t="shared" si="6"/>
        <v>41</v>
      </c>
      <c r="F57" s="238">
        <f t="shared" si="7"/>
        <v>0.19523809523809524</v>
      </c>
    </row>
    <row r="58" spans="1:6" ht="20.25" customHeight="1" x14ac:dyDescent="0.3">
      <c r="A58" s="235">
        <v>9</v>
      </c>
      <c r="B58" s="236" t="s">
        <v>452</v>
      </c>
      <c r="C58" s="239">
        <v>17</v>
      </c>
      <c r="D58" s="239">
        <v>29</v>
      </c>
      <c r="E58" s="239">
        <f t="shared" si="6"/>
        <v>12</v>
      </c>
      <c r="F58" s="238">
        <f t="shared" si="7"/>
        <v>0.70588235294117652</v>
      </c>
    </row>
    <row r="59" spans="1:6" s="240" customFormat="1" ht="39.950000000000003" customHeight="1" x14ac:dyDescent="0.3">
      <c r="A59" s="245"/>
      <c r="B59" s="242" t="s">
        <v>453</v>
      </c>
      <c r="C59" s="243">
        <f>+C50+C52</f>
        <v>896411</v>
      </c>
      <c r="D59" s="243">
        <f>+D50+D52</f>
        <v>280185</v>
      </c>
      <c r="E59" s="243">
        <f t="shared" si="6"/>
        <v>-616226</v>
      </c>
      <c r="F59" s="244">
        <f t="shared" si="7"/>
        <v>-0.68743690115360034</v>
      </c>
    </row>
    <row r="60" spans="1:6" s="240" customFormat="1" ht="39.950000000000003" customHeight="1" x14ac:dyDescent="0.3">
      <c r="A60" s="245"/>
      <c r="B60" s="242" t="s">
        <v>482</v>
      </c>
      <c r="C60" s="243">
        <f>+C51+C53</f>
        <v>99713</v>
      </c>
      <c r="D60" s="243">
        <f>+D51+D53</f>
        <v>44663</v>
      </c>
      <c r="E60" s="243">
        <f t="shared" si="6"/>
        <v>-55050</v>
      </c>
      <c r="F60" s="244">
        <f t="shared" si="7"/>
        <v>-0.55208448246467356</v>
      </c>
    </row>
    <row r="61" spans="1:6" ht="42" customHeight="1" x14ac:dyDescent="0.3">
      <c r="A61" s="227" t="s">
        <v>176</v>
      </c>
      <c r="B61" s="261" t="s">
        <v>461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446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447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448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449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385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384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450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451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452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453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482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488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446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447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448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449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385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384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450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451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452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453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482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489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446</v>
      </c>
      <c r="C86" s="237">
        <v>2517677</v>
      </c>
      <c r="D86" s="237">
        <v>700311</v>
      </c>
      <c r="E86" s="237">
        <f t="shared" ref="E86:E96" si="12">D86-C86</f>
        <v>-1817366</v>
      </c>
      <c r="F86" s="238">
        <f t="shared" ref="F86:F96" si="13">IF(C86=0,0,E86/C86)</f>
        <v>-0.72184239678084205</v>
      </c>
    </row>
    <row r="87" spans="1:6" ht="20.25" customHeight="1" x14ac:dyDescent="0.3">
      <c r="A87" s="235">
        <v>2</v>
      </c>
      <c r="B87" s="236" t="s">
        <v>447</v>
      </c>
      <c r="C87" s="237">
        <v>698170</v>
      </c>
      <c r="D87" s="237">
        <v>117845</v>
      </c>
      <c r="E87" s="237">
        <f t="shared" si="12"/>
        <v>-580325</v>
      </c>
      <c r="F87" s="238">
        <f t="shared" si="13"/>
        <v>-0.83120873139779705</v>
      </c>
    </row>
    <row r="88" spans="1:6" ht="20.25" customHeight="1" x14ac:dyDescent="0.3">
      <c r="A88" s="235">
        <v>3</v>
      </c>
      <c r="B88" s="236" t="s">
        <v>448</v>
      </c>
      <c r="C88" s="237">
        <v>5333463</v>
      </c>
      <c r="D88" s="237">
        <v>1384565</v>
      </c>
      <c r="E88" s="237">
        <f t="shared" si="12"/>
        <v>-3948898</v>
      </c>
      <c r="F88" s="238">
        <f t="shared" si="13"/>
        <v>-0.74040037401590675</v>
      </c>
    </row>
    <row r="89" spans="1:6" ht="20.25" customHeight="1" x14ac:dyDescent="0.3">
      <c r="A89" s="235">
        <v>4</v>
      </c>
      <c r="B89" s="236" t="s">
        <v>449</v>
      </c>
      <c r="C89" s="237">
        <v>1437884</v>
      </c>
      <c r="D89" s="237">
        <v>171800</v>
      </c>
      <c r="E89" s="237">
        <f t="shared" si="12"/>
        <v>-1266084</v>
      </c>
      <c r="F89" s="238">
        <f t="shared" si="13"/>
        <v>-0.88051887356699154</v>
      </c>
    </row>
    <row r="90" spans="1:6" ht="20.25" customHeight="1" x14ac:dyDescent="0.3">
      <c r="A90" s="235">
        <v>5</v>
      </c>
      <c r="B90" s="236" t="s">
        <v>385</v>
      </c>
      <c r="C90" s="239">
        <v>170</v>
      </c>
      <c r="D90" s="239">
        <v>59</v>
      </c>
      <c r="E90" s="239">
        <f t="shared" si="12"/>
        <v>-111</v>
      </c>
      <c r="F90" s="238">
        <f t="shared" si="13"/>
        <v>-0.65294117647058825</v>
      </c>
    </row>
    <row r="91" spans="1:6" ht="20.25" customHeight="1" x14ac:dyDescent="0.3">
      <c r="A91" s="235">
        <v>6</v>
      </c>
      <c r="B91" s="236" t="s">
        <v>384</v>
      </c>
      <c r="C91" s="239">
        <v>544</v>
      </c>
      <c r="D91" s="239">
        <v>153</v>
      </c>
      <c r="E91" s="239">
        <f t="shared" si="12"/>
        <v>-391</v>
      </c>
      <c r="F91" s="238">
        <f t="shared" si="13"/>
        <v>-0.71875</v>
      </c>
    </row>
    <row r="92" spans="1:6" ht="20.25" customHeight="1" x14ac:dyDescent="0.3">
      <c r="A92" s="235">
        <v>7</v>
      </c>
      <c r="B92" s="236" t="s">
        <v>450</v>
      </c>
      <c r="C92" s="239">
        <v>1693</v>
      </c>
      <c r="D92" s="239">
        <v>286</v>
      </c>
      <c r="E92" s="239">
        <f t="shared" si="12"/>
        <v>-1407</v>
      </c>
      <c r="F92" s="238">
        <f t="shared" si="13"/>
        <v>-0.83106910809214407</v>
      </c>
    </row>
    <row r="93" spans="1:6" ht="20.25" customHeight="1" x14ac:dyDescent="0.3">
      <c r="A93" s="235">
        <v>8</v>
      </c>
      <c r="B93" s="236" t="s">
        <v>451</v>
      </c>
      <c r="C93" s="239">
        <v>1801</v>
      </c>
      <c r="D93" s="239">
        <v>445</v>
      </c>
      <c r="E93" s="239">
        <f t="shared" si="12"/>
        <v>-1356</v>
      </c>
      <c r="F93" s="238">
        <f t="shared" si="13"/>
        <v>-0.75291504719600222</v>
      </c>
    </row>
    <row r="94" spans="1:6" ht="20.25" customHeight="1" x14ac:dyDescent="0.3">
      <c r="A94" s="235">
        <v>9</v>
      </c>
      <c r="B94" s="236" t="s">
        <v>452</v>
      </c>
      <c r="C94" s="239">
        <v>41</v>
      </c>
      <c r="D94" s="239">
        <v>15</v>
      </c>
      <c r="E94" s="239">
        <f t="shared" si="12"/>
        <v>-26</v>
      </c>
      <c r="F94" s="238">
        <f t="shared" si="13"/>
        <v>-0.63414634146341464</v>
      </c>
    </row>
    <row r="95" spans="1:6" s="240" customFormat="1" ht="39.950000000000003" customHeight="1" x14ac:dyDescent="0.3">
      <c r="A95" s="245"/>
      <c r="B95" s="242" t="s">
        <v>453</v>
      </c>
      <c r="C95" s="243">
        <f>+C86+C88</f>
        <v>7851140</v>
      </c>
      <c r="D95" s="243">
        <f>+D86+D88</f>
        <v>2084876</v>
      </c>
      <c r="E95" s="243">
        <f t="shared" si="12"/>
        <v>-5766264</v>
      </c>
      <c r="F95" s="244">
        <f t="shared" si="13"/>
        <v>-0.73444926469277072</v>
      </c>
    </row>
    <row r="96" spans="1:6" s="240" customFormat="1" ht="39.950000000000003" customHeight="1" x14ac:dyDescent="0.3">
      <c r="A96" s="245"/>
      <c r="B96" s="242" t="s">
        <v>482</v>
      </c>
      <c r="C96" s="243">
        <f>+C87+C89</f>
        <v>2136054</v>
      </c>
      <c r="D96" s="243">
        <f>+D87+D89</f>
        <v>289645</v>
      </c>
      <c r="E96" s="243">
        <f t="shared" si="12"/>
        <v>-1846409</v>
      </c>
      <c r="F96" s="244">
        <f t="shared" si="13"/>
        <v>-0.86440183628316514</v>
      </c>
    </row>
    <row r="97" spans="1:7" ht="42" customHeight="1" x14ac:dyDescent="0.3">
      <c r="A97" s="227" t="s">
        <v>187</v>
      </c>
      <c r="B97" s="261" t="s">
        <v>462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446</v>
      </c>
      <c r="C98" s="237">
        <v>7733406</v>
      </c>
      <c r="D98" s="237">
        <v>2178926</v>
      </c>
      <c r="E98" s="237">
        <f t="shared" ref="E98:E108" si="14">D98-C98</f>
        <v>-5554480</v>
      </c>
      <c r="F98" s="238">
        <f t="shared" ref="F98:F108" si="15">IF(C98=0,0,E98/C98)</f>
        <v>-0.7182449751118718</v>
      </c>
    </row>
    <row r="99" spans="1:7" ht="20.25" customHeight="1" x14ac:dyDescent="0.3">
      <c r="A99" s="235">
        <v>2</v>
      </c>
      <c r="B99" s="236" t="s">
        <v>447</v>
      </c>
      <c r="C99" s="237">
        <v>1839594</v>
      </c>
      <c r="D99" s="237">
        <v>269383</v>
      </c>
      <c r="E99" s="237">
        <f t="shared" si="14"/>
        <v>-1570211</v>
      </c>
      <c r="F99" s="238">
        <f t="shared" si="15"/>
        <v>-0.85356388420488438</v>
      </c>
    </row>
    <row r="100" spans="1:7" ht="20.25" customHeight="1" x14ac:dyDescent="0.3">
      <c r="A100" s="235">
        <v>3</v>
      </c>
      <c r="B100" s="236" t="s">
        <v>448</v>
      </c>
      <c r="C100" s="237">
        <v>14501126</v>
      </c>
      <c r="D100" s="237">
        <v>3817446</v>
      </c>
      <c r="E100" s="237">
        <f t="shared" si="14"/>
        <v>-10683680</v>
      </c>
      <c r="F100" s="238">
        <f t="shared" si="15"/>
        <v>-0.73674830492473486</v>
      </c>
    </row>
    <row r="101" spans="1:7" ht="20.25" customHeight="1" x14ac:dyDescent="0.3">
      <c r="A101" s="235">
        <v>4</v>
      </c>
      <c r="B101" s="236" t="s">
        <v>449</v>
      </c>
      <c r="C101" s="237">
        <v>3571344</v>
      </c>
      <c r="D101" s="237">
        <v>428078</v>
      </c>
      <c r="E101" s="237">
        <f t="shared" si="14"/>
        <v>-3143266</v>
      </c>
      <c r="F101" s="238">
        <f t="shared" si="15"/>
        <v>-0.88013532160441554</v>
      </c>
    </row>
    <row r="102" spans="1:7" ht="20.25" customHeight="1" x14ac:dyDescent="0.3">
      <c r="A102" s="235">
        <v>5</v>
      </c>
      <c r="B102" s="236" t="s">
        <v>385</v>
      </c>
      <c r="C102" s="239">
        <v>513</v>
      </c>
      <c r="D102" s="239">
        <v>105</v>
      </c>
      <c r="E102" s="239">
        <f t="shared" si="14"/>
        <v>-408</v>
      </c>
      <c r="F102" s="238">
        <f t="shared" si="15"/>
        <v>-0.79532163742690054</v>
      </c>
    </row>
    <row r="103" spans="1:7" ht="20.25" customHeight="1" x14ac:dyDescent="0.3">
      <c r="A103" s="235">
        <v>6</v>
      </c>
      <c r="B103" s="236" t="s">
        <v>384</v>
      </c>
      <c r="C103" s="239">
        <v>1732</v>
      </c>
      <c r="D103" s="239">
        <v>448</v>
      </c>
      <c r="E103" s="239">
        <f t="shared" si="14"/>
        <v>-1284</v>
      </c>
      <c r="F103" s="238">
        <f t="shared" si="15"/>
        <v>-0.74133949191685911</v>
      </c>
    </row>
    <row r="104" spans="1:7" ht="20.25" customHeight="1" x14ac:dyDescent="0.3">
      <c r="A104" s="235">
        <v>7</v>
      </c>
      <c r="B104" s="236" t="s">
        <v>450</v>
      </c>
      <c r="C104" s="239">
        <v>4600</v>
      </c>
      <c r="D104" s="239">
        <v>789</v>
      </c>
      <c r="E104" s="239">
        <f t="shared" si="14"/>
        <v>-3811</v>
      </c>
      <c r="F104" s="238">
        <f t="shared" si="15"/>
        <v>-0.82847826086956522</v>
      </c>
    </row>
    <row r="105" spans="1:7" ht="20.25" customHeight="1" x14ac:dyDescent="0.3">
      <c r="A105" s="235">
        <v>8</v>
      </c>
      <c r="B105" s="236" t="s">
        <v>451</v>
      </c>
      <c r="C105" s="239">
        <v>4546</v>
      </c>
      <c r="D105" s="239">
        <v>1147</v>
      </c>
      <c r="E105" s="239">
        <f t="shared" si="14"/>
        <v>-3399</v>
      </c>
      <c r="F105" s="238">
        <f t="shared" si="15"/>
        <v>-0.74769027716673997</v>
      </c>
    </row>
    <row r="106" spans="1:7" ht="20.25" customHeight="1" x14ac:dyDescent="0.3">
      <c r="A106" s="235">
        <v>9</v>
      </c>
      <c r="B106" s="236" t="s">
        <v>452</v>
      </c>
      <c r="C106" s="239">
        <v>116</v>
      </c>
      <c r="D106" s="239">
        <v>33</v>
      </c>
      <c r="E106" s="239">
        <f t="shared" si="14"/>
        <v>-83</v>
      </c>
      <c r="F106" s="238">
        <f t="shared" si="15"/>
        <v>-0.71551724137931039</v>
      </c>
    </row>
    <row r="107" spans="1:7" s="240" customFormat="1" ht="39.950000000000003" customHeight="1" x14ac:dyDescent="0.3">
      <c r="A107" s="245"/>
      <c r="B107" s="242" t="s">
        <v>453</v>
      </c>
      <c r="C107" s="243">
        <f>+C98+C100</f>
        <v>22234532</v>
      </c>
      <c r="D107" s="243">
        <f>+D98+D100</f>
        <v>5996372</v>
      </c>
      <c r="E107" s="243">
        <f t="shared" si="14"/>
        <v>-16238160</v>
      </c>
      <c r="F107" s="244">
        <f t="shared" si="15"/>
        <v>-0.73031265061032091</v>
      </c>
    </row>
    <row r="108" spans="1:7" s="240" customFormat="1" ht="39.950000000000003" customHeight="1" x14ac:dyDescent="0.3">
      <c r="A108" s="245"/>
      <c r="B108" s="242" t="s">
        <v>482</v>
      </c>
      <c r="C108" s="243">
        <f>+C99+C101</f>
        <v>5410938</v>
      </c>
      <c r="D108" s="243">
        <f>+D99+D101</f>
        <v>697461</v>
      </c>
      <c r="E108" s="243">
        <f t="shared" si="14"/>
        <v>-4713477</v>
      </c>
      <c r="F108" s="244">
        <f t="shared" si="15"/>
        <v>-0.87110164633192988</v>
      </c>
    </row>
    <row r="109" spans="1:7" s="240" customFormat="1" ht="20.25" customHeight="1" x14ac:dyDescent="0.3">
      <c r="A109" s="688" t="s">
        <v>44</v>
      </c>
      <c r="B109" s="689" t="s">
        <v>490</v>
      </c>
      <c r="C109" s="691"/>
      <c r="D109" s="692"/>
      <c r="E109" s="692"/>
      <c r="F109" s="693"/>
      <c r="G109" s="212"/>
    </row>
    <row r="110" spans="1:7" ht="20.25" customHeight="1" x14ac:dyDescent="0.3">
      <c r="A110" s="679"/>
      <c r="B110" s="690"/>
      <c r="C110" s="685"/>
      <c r="D110" s="686"/>
      <c r="E110" s="686"/>
      <c r="F110" s="687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472</v>
      </c>
      <c r="C112" s="243">
        <f t="shared" ref="C112:D120" si="16">+C98+C86+C74+C62+C50+C38+C26+C14</f>
        <v>18059075</v>
      </c>
      <c r="D112" s="243">
        <f t="shared" si="16"/>
        <v>5395221</v>
      </c>
      <c r="E112" s="243">
        <f t="shared" ref="E112:E122" si="17">D112-C112</f>
        <v>-12663854</v>
      </c>
      <c r="F112" s="244">
        <f t="shared" ref="F112:F122" si="18">IF(C112=0,0,E112/C112)</f>
        <v>-0.70124599405008281</v>
      </c>
    </row>
    <row r="113" spans="1:6" ht="20.25" customHeight="1" x14ac:dyDescent="0.3">
      <c r="A113" s="249"/>
      <c r="B113" s="250" t="s">
        <v>473</v>
      </c>
      <c r="C113" s="243">
        <f t="shared" si="16"/>
        <v>4465320</v>
      </c>
      <c r="D113" s="243">
        <f t="shared" si="16"/>
        <v>684900</v>
      </c>
      <c r="E113" s="243">
        <f t="shared" si="17"/>
        <v>-3780420</v>
      </c>
      <c r="F113" s="244">
        <f t="shared" si="18"/>
        <v>-0.84661793555669018</v>
      </c>
    </row>
    <row r="114" spans="1:6" ht="20.25" customHeight="1" x14ac:dyDescent="0.3">
      <c r="A114" s="249"/>
      <c r="B114" s="250" t="s">
        <v>474</v>
      </c>
      <c r="C114" s="243">
        <f t="shared" si="16"/>
        <v>34948400</v>
      </c>
      <c r="D114" s="243">
        <f t="shared" si="16"/>
        <v>8800766</v>
      </c>
      <c r="E114" s="243">
        <f t="shared" si="17"/>
        <v>-26147634</v>
      </c>
      <c r="F114" s="244">
        <f t="shared" si="18"/>
        <v>-0.74817828570120526</v>
      </c>
    </row>
    <row r="115" spans="1:6" ht="20.25" customHeight="1" x14ac:dyDescent="0.3">
      <c r="A115" s="249"/>
      <c r="B115" s="250" t="s">
        <v>475</v>
      </c>
      <c r="C115" s="243">
        <f t="shared" si="16"/>
        <v>8641406</v>
      </c>
      <c r="D115" s="243">
        <f t="shared" si="16"/>
        <v>1135195</v>
      </c>
      <c r="E115" s="243">
        <f t="shared" si="17"/>
        <v>-7506211</v>
      </c>
      <c r="F115" s="244">
        <f t="shared" si="18"/>
        <v>-0.86863306735038259</v>
      </c>
    </row>
    <row r="116" spans="1:6" ht="20.25" customHeight="1" x14ac:dyDescent="0.3">
      <c r="A116" s="249"/>
      <c r="B116" s="250" t="s">
        <v>476</v>
      </c>
      <c r="C116" s="252">
        <f t="shared" si="16"/>
        <v>1162</v>
      </c>
      <c r="D116" s="252">
        <f t="shared" si="16"/>
        <v>275</v>
      </c>
      <c r="E116" s="252">
        <f t="shared" si="17"/>
        <v>-887</v>
      </c>
      <c r="F116" s="244">
        <f t="shared" si="18"/>
        <v>-0.76333907056798622</v>
      </c>
    </row>
    <row r="117" spans="1:6" ht="20.25" customHeight="1" x14ac:dyDescent="0.3">
      <c r="A117" s="249"/>
      <c r="B117" s="250" t="s">
        <v>477</v>
      </c>
      <c r="C117" s="252">
        <f t="shared" si="16"/>
        <v>4051</v>
      </c>
      <c r="D117" s="252">
        <f t="shared" si="16"/>
        <v>1119</v>
      </c>
      <c r="E117" s="252">
        <f t="shared" si="17"/>
        <v>-2932</v>
      </c>
      <c r="F117" s="244">
        <f t="shared" si="18"/>
        <v>-0.72377190817082204</v>
      </c>
    </row>
    <row r="118" spans="1:6" ht="39.950000000000003" customHeight="1" x14ac:dyDescent="0.3">
      <c r="A118" s="249"/>
      <c r="B118" s="250" t="s">
        <v>478</v>
      </c>
      <c r="C118" s="252">
        <f t="shared" si="16"/>
        <v>11090</v>
      </c>
      <c r="D118" s="252">
        <f t="shared" si="16"/>
        <v>1818</v>
      </c>
      <c r="E118" s="252">
        <f t="shared" si="17"/>
        <v>-9272</v>
      </c>
      <c r="F118" s="244">
        <f t="shared" si="18"/>
        <v>-0.83606853020739402</v>
      </c>
    </row>
    <row r="119" spans="1:6" ht="39.950000000000003" customHeight="1" x14ac:dyDescent="0.3">
      <c r="A119" s="249"/>
      <c r="B119" s="250" t="s">
        <v>479</v>
      </c>
      <c r="C119" s="252">
        <f t="shared" si="16"/>
        <v>11351</v>
      </c>
      <c r="D119" s="252">
        <f t="shared" si="16"/>
        <v>3002</v>
      </c>
      <c r="E119" s="252">
        <f t="shared" si="17"/>
        <v>-8349</v>
      </c>
      <c r="F119" s="244">
        <f t="shared" si="18"/>
        <v>-0.73552990925909612</v>
      </c>
    </row>
    <row r="120" spans="1:6" ht="39.950000000000003" customHeight="1" x14ac:dyDescent="0.3">
      <c r="A120" s="249"/>
      <c r="B120" s="250" t="s">
        <v>480</v>
      </c>
      <c r="C120" s="252">
        <f t="shared" si="16"/>
        <v>292</v>
      </c>
      <c r="D120" s="252">
        <f t="shared" si="16"/>
        <v>106</v>
      </c>
      <c r="E120" s="252">
        <f t="shared" si="17"/>
        <v>-186</v>
      </c>
      <c r="F120" s="244">
        <f t="shared" si="18"/>
        <v>-0.63698630136986301</v>
      </c>
    </row>
    <row r="121" spans="1:6" ht="39.950000000000003" customHeight="1" x14ac:dyDescent="0.3">
      <c r="A121" s="249"/>
      <c r="B121" s="242" t="s">
        <v>453</v>
      </c>
      <c r="C121" s="243">
        <f>+C112+C114</f>
        <v>53007475</v>
      </c>
      <c r="D121" s="243">
        <f>+D112+D114</f>
        <v>14195987</v>
      </c>
      <c r="E121" s="243">
        <f t="shared" si="17"/>
        <v>-38811488</v>
      </c>
      <c r="F121" s="244">
        <f t="shared" si="18"/>
        <v>-0.73218896014194224</v>
      </c>
    </row>
    <row r="122" spans="1:6" ht="39.950000000000003" customHeight="1" x14ac:dyDescent="0.3">
      <c r="A122" s="249"/>
      <c r="B122" s="242" t="s">
        <v>482</v>
      </c>
      <c r="C122" s="243">
        <f>+C113+C115</f>
        <v>13106726</v>
      </c>
      <c r="D122" s="243">
        <f>+D113+D115</f>
        <v>1820095</v>
      </c>
      <c r="E122" s="243">
        <f t="shared" si="17"/>
        <v>-11286631</v>
      </c>
      <c r="F122" s="244">
        <f t="shared" si="18"/>
        <v>-0.86113274970423581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FILING&amp;RDANBURY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491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492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56787869</v>
      </c>
      <c r="D13" s="23">
        <v>74083960</v>
      </c>
      <c r="E13" s="23">
        <f t="shared" ref="E13:E22" si="0">D13-C13</f>
        <v>17296091</v>
      </c>
      <c r="F13" s="24">
        <f t="shared" ref="F13:F22" si="1">IF(C13=0,0,E13/C13)</f>
        <v>0.30457369337102613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74395713</v>
      </c>
      <c r="D15" s="23">
        <v>79495132</v>
      </c>
      <c r="E15" s="23">
        <f t="shared" si="0"/>
        <v>5099419</v>
      </c>
      <c r="F15" s="24">
        <f t="shared" si="1"/>
        <v>6.8544527559000618E-2</v>
      </c>
    </row>
    <row r="16" spans="1:8" ht="35.1" customHeight="1" x14ac:dyDescent="0.2">
      <c r="A16" s="21">
        <v>4</v>
      </c>
      <c r="B16" s="22" t="s">
        <v>19</v>
      </c>
      <c r="C16" s="23">
        <v>2780279</v>
      </c>
      <c r="D16" s="23">
        <v>2100896</v>
      </c>
      <c r="E16" s="23">
        <f t="shared" si="0"/>
        <v>-679383</v>
      </c>
      <c r="F16" s="24">
        <f t="shared" si="1"/>
        <v>-0.24435785041717037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12213567</v>
      </c>
      <c r="D19" s="23">
        <v>11357589</v>
      </c>
      <c r="E19" s="23">
        <f t="shared" si="0"/>
        <v>-855978</v>
      </c>
      <c r="F19" s="24">
        <f t="shared" si="1"/>
        <v>-7.0084194076963757E-2</v>
      </c>
    </row>
    <row r="20" spans="1:11" ht="24" customHeight="1" x14ac:dyDescent="0.2">
      <c r="A20" s="21">
        <v>8</v>
      </c>
      <c r="B20" s="22" t="s">
        <v>23</v>
      </c>
      <c r="C20" s="23">
        <v>16364779</v>
      </c>
      <c r="D20" s="23">
        <v>17443644</v>
      </c>
      <c r="E20" s="23">
        <f t="shared" si="0"/>
        <v>1078865</v>
      </c>
      <c r="F20" s="24">
        <f t="shared" si="1"/>
        <v>6.5926035420337786E-2</v>
      </c>
    </row>
    <row r="21" spans="1:11" ht="24" customHeight="1" x14ac:dyDescent="0.2">
      <c r="A21" s="21">
        <v>9</v>
      </c>
      <c r="B21" s="22" t="s">
        <v>24</v>
      </c>
      <c r="C21" s="23">
        <v>1768111</v>
      </c>
      <c r="D21" s="23">
        <v>3008962</v>
      </c>
      <c r="E21" s="23">
        <f t="shared" si="0"/>
        <v>1240851</v>
      </c>
      <c r="F21" s="24">
        <f t="shared" si="1"/>
        <v>0.70179474026234778</v>
      </c>
    </row>
    <row r="22" spans="1:11" ht="24" customHeight="1" x14ac:dyDescent="0.25">
      <c r="A22" s="25"/>
      <c r="B22" s="26" t="s">
        <v>25</v>
      </c>
      <c r="C22" s="27">
        <f>SUM(C13:C21)</f>
        <v>164310318</v>
      </c>
      <c r="D22" s="27">
        <f>SUM(D13:D21)</f>
        <v>187490183</v>
      </c>
      <c r="E22" s="27">
        <f t="shared" si="0"/>
        <v>23179865</v>
      </c>
      <c r="F22" s="28">
        <f t="shared" si="1"/>
        <v>0.14107370299167701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6439298</v>
      </c>
      <c r="D25" s="23">
        <v>7262631</v>
      </c>
      <c r="E25" s="23">
        <f>D25-C25</f>
        <v>823333</v>
      </c>
      <c r="F25" s="24">
        <f>IF(C25=0,0,E25/C25)</f>
        <v>0.12786067673836496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182369612</v>
      </c>
      <c r="D28" s="23">
        <v>157837082</v>
      </c>
      <c r="E28" s="23">
        <f>D28-C28</f>
        <v>-24532530</v>
      </c>
      <c r="F28" s="24">
        <f>IF(C28=0,0,E28/C28)</f>
        <v>-0.13452093104195451</v>
      </c>
    </row>
    <row r="29" spans="1:11" ht="35.1" customHeight="1" x14ac:dyDescent="0.25">
      <c r="A29" s="25"/>
      <c r="B29" s="26" t="s">
        <v>32</v>
      </c>
      <c r="C29" s="27">
        <f>SUM(C25:C28)</f>
        <v>188808910</v>
      </c>
      <c r="D29" s="27">
        <f>SUM(D25:D28)</f>
        <v>165099713</v>
      </c>
      <c r="E29" s="27">
        <f>D29-C29</f>
        <v>-23709197</v>
      </c>
      <c r="F29" s="28">
        <f>IF(C29=0,0,E29/C29)</f>
        <v>-0.12557244782568788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210629807</v>
      </c>
      <c r="D32" s="23">
        <v>245357292</v>
      </c>
      <c r="E32" s="23">
        <f>D32-C32</f>
        <v>34727485</v>
      </c>
      <c r="F32" s="24">
        <f>IF(C32=0,0,E32/C32)</f>
        <v>0.16487450420538058</v>
      </c>
    </row>
    <row r="33" spans="1:8" ht="24" customHeight="1" x14ac:dyDescent="0.2">
      <c r="A33" s="21">
        <v>7</v>
      </c>
      <c r="B33" s="22" t="s">
        <v>35</v>
      </c>
      <c r="C33" s="23">
        <v>25794210</v>
      </c>
      <c r="D33" s="23">
        <v>27793776</v>
      </c>
      <c r="E33" s="23">
        <f>D33-C33</f>
        <v>1999566</v>
      </c>
      <c r="F33" s="24">
        <f>IF(C33=0,0,E33/C33)</f>
        <v>7.7519955059681997E-2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627841143</v>
      </c>
      <c r="D36" s="23">
        <v>663576198</v>
      </c>
      <c r="E36" s="23">
        <f>D36-C36</f>
        <v>35735055</v>
      </c>
      <c r="F36" s="24">
        <f>IF(C36=0,0,E36/C36)</f>
        <v>5.6917351464492984E-2</v>
      </c>
    </row>
    <row r="37" spans="1:8" ht="24" customHeight="1" x14ac:dyDescent="0.2">
      <c r="A37" s="21">
        <v>2</v>
      </c>
      <c r="B37" s="22" t="s">
        <v>39</v>
      </c>
      <c r="C37" s="23">
        <v>388704091</v>
      </c>
      <c r="D37" s="23">
        <v>417555078</v>
      </c>
      <c r="E37" s="23">
        <f>D37-C37</f>
        <v>28850987</v>
      </c>
      <c r="F37" s="23">
        <f>IF(C37=0,0,E37/C37)</f>
        <v>7.4223522900869088E-2</v>
      </c>
    </row>
    <row r="38" spans="1:8" ht="24" customHeight="1" x14ac:dyDescent="0.25">
      <c r="A38" s="25"/>
      <c r="B38" s="26" t="s">
        <v>40</v>
      </c>
      <c r="C38" s="27">
        <f>C36-C37</f>
        <v>239137052</v>
      </c>
      <c r="D38" s="27">
        <f>D36-D37</f>
        <v>246021120</v>
      </c>
      <c r="E38" s="27">
        <f>D38-C38</f>
        <v>6884068</v>
      </c>
      <c r="F38" s="28">
        <f>IF(C38=0,0,E38/C38)</f>
        <v>2.8787124129973803E-2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27578848</v>
      </c>
      <c r="D40" s="23">
        <v>39399365</v>
      </c>
      <c r="E40" s="23">
        <f>D40-C40</f>
        <v>11820517</v>
      </c>
      <c r="F40" s="24">
        <f>IF(C40=0,0,E40/C40)</f>
        <v>0.42860807674055129</v>
      </c>
    </row>
    <row r="41" spans="1:8" ht="24" customHeight="1" x14ac:dyDescent="0.25">
      <c r="A41" s="25"/>
      <c r="B41" s="26" t="s">
        <v>42</v>
      </c>
      <c r="C41" s="27">
        <f>+C38+C40</f>
        <v>266715900</v>
      </c>
      <c r="D41" s="27">
        <f>+D38+D40</f>
        <v>285420485</v>
      </c>
      <c r="E41" s="27">
        <f>D41-C41</f>
        <v>18704585</v>
      </c>
      <c r="F41" s="28">
        <f>IF(C41=0,0,E41/C41)</f>
        <v>7.0129246137931783E-2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856259145</v>
      </c>
      <c r="D43" s="27">
        <f>D22+D29+D31+D32+D33+D41</f>
        <v>911161449</v>
      </c>
      <c r="E43" s="27">
        <f>D43-C43</f>
        <v>54902304</v>
      </c>
      <c r="F43" s="28">
        <f>IF(C43=0,0,E43/C43)</f>
        <v>6.4118794316643468E-2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41087673</v>
      </c>
      <c r="D49" s="23">
        <v>34549615</v>
      </c>
      <c r="E49" s="23">
        <f t="shared" ref="E49:E56" si="2">D49-C49</f>
        <v>-6538058</v>
      </c>
      <c r="F49" s="24">
        <f t="shared" ref="F49:F56" si="3">IF(C49=0,0,E49/C49)</f>
        <v>-0.15912456273685785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28131050</v>
      </c>
      <c r="D50" s="23">
        <v>33802144</v>
      </c>
      <c r="E50" s="23">
        <f t="shared" si="2"/>
        <v>5671094</v>
      </c>
      <c r="F50" s="24">
        <f t="shared" si="3"/>
        <v>0.20159553233882133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15337343</v>
      </c>
      <c r="D51" s="23">
        <v>12492073</v>
      </c>
      <c r="E51" s="23">
        <f t="shared" si="2"/>
        <v>-2845270</v>
      </c>
      <c r="F51" s="24">
        <f t="shared" si="3"/>
        <v>-0.18551257541804991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3024773</v>
      </c>
      <c r="D53" s="23">
        <v>2050090</v>
      </c>
      <c r="E53" s="23">
        <f t="shared" si="2"/>
        <v>-974683</v>
      </c>
      <c r="F53" s="24">
        <f t="shared" si="3"/>
        <v>-0.32223343702155499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0</v>
      </c>
      <c r="D55" s="23">
        <v>0</v>
      </c>
      <c r="E55" s="23">
        <f t="shared" si="2"/>
        <v>0</v>
      </c>
      <c r="F55" s="24">
        <f t="shared" si="3"/>
        <v>0</v>
      </c>
    </row>
    <row r="56" spans="1:6" ht="24" customHeight="1" x14ac:dyDescent="0.25">
      <c r="A56" s="25"/>
      <c r="B56" s="26" t="s">
        <v>54</v>
      </c>
      <c r="C56" s="27">
        <f>SUM(C49:C55)</f>
        <v>87580839</v>
      </c>
      <c r="D56" s="27">
        <f>SUM(D49:D55)</f>
        <v>82893922</v>
      </c>
      <c r="E56" s="27">
        <f t="shared" si="2"/>
        <v>-4686917</v>
      </c>
      <c r="F56" s="28">
        <f t="shared" si="3"/>
        <v>-5.3515324282289646E-2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253514718</v>
      </c>
      <c r="D60" s="23">
        <v>250593765</v>
      </c>
      <c r="E60" s="23">
        <f>D60-C60</f>
        <v>-2920953</v>
      </c>
      <c r="F60" s="24">
        <f>IF(C60=0,0,E60/C60)</f>
        <v>-1.1521828093625713E-2</v>
      </c>
    </row>
    <row r="61" spans="1:6" ht="24" customHeight="1" x14ac:dyDescent="0.25">
      <c r="A61" s="25"/>
      <c r="B61" s="26" t="s">
        <v>58</v>
      </c>
      <c r="C61" s="27">
        <f>SUM(C59:C60)</f>
        <v>253514718</v>
      </c>
      <c r="D61" s="27">
        <f>SUM(D59:D60)</f>
        <v>250593765</v>
      </c>
      <c r="E61" s="27">
        <f>D61-C61</f>
        <v>-2920953</v>
      </c>
      <c r="F61" s="28">
        <f>IF(C61=0,0,E61/C61)</f>
        <v>-1.1521828093625713E-2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0</v>
      </c>
      <c r="D63" s="23">
        <v>0</v>
      </c>
      <c r="E63" s="23">
        <f>D63-C63</f>
        <v>0</v>
      </c>
      <c r="F63" s="24">
        <f>IF(C63=0,0,E63/C63)</f>
        <v>0</v>
      </c>
    </row>
    <row r="64" spans="1:6" ht="24" customHeight="1" x14ac:dyDescent="0.2">
      <c r="A64" s="21">
        <v>4</v>
      </c>
      <c r="B64" s="22" t="s">
        <v>60</v>
      </c>
      <c r="C64" s="23">
        <v>166759146</v>
      </c>
      <c r="D64" s="23">
        <v>233799181</v>
      </c>
      <c r="E64" s="23">
        <f>D64-C64</f>
        <v>67040035</v>
      </c>
      <c r="F64" s="24">
        <f>IF(C64=0,0,E64/C64)</f>
        <v>0.40201714033723823</v>
      </c>
    </row>
    <row r="65" spans="1:6" ht="24" customHeight="1" x14ac:dyDescent="0.25">
      <c r="A65" s="25"/>
      <c r="B65" s="26" t="s">
        <v>61</v>
      </c>
      <c r="C65" s="27">
        <f>SUM(C61:C64)</f>
        <v>420273864</v>
      </c>
      <c r="D65" s="27">
        <f>SUM(D61:D64)</f>
        <v>484392946</v>
      </c>
      <c r="E65" s="27">
        <f>D65-C65</f>
        <v>64119082</v>
      </c>
      <c r="F65" s="28">
        <f>IF(C65=0,0,E65/C65)</f>
        <v>0.15256499985447583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286369831</v>
      </c>
      <c r="D70" s="23">
        <v>277089185</v>
      </c>
      <c r="E70" s="23">
        <f>D70-C70</f>
        <v>-9280646</v>
      </c>
      <c r="F70" s="24">
        <f>IF(C70=0,0,E70/C70)</f>
        <v>-3.2407904029527465E-2</v>
      </c>
    </row>
    <row r="71" spans="1:6" ht="24" customHeight="1" x14ac:dyDescent="0.2">
      <c r="A71" s="21">
        <v>2</v>
      </c>
      <c r="B71" s="22" t="s">
        <v>65</v>
      </c>
      <c r="C71" s="23">
        <v>30149404</v>
      </c>
      <c r="D71" s="23">
        <v>33826104</v>
      </c>
      <c r="E71" s="23">
        <f>D71-C71</f>
        <v>3676700</v>
      </c>
      <c r="F71" s="24">
        <f>IF(C71=0,0,E71/C71)</f>
        <v>0.12194934268020688</v>
      </c>
    </row>
    <row r="72" spans="1:6" ht="24" customHeight="1" x14ac:dyDescent="0.2">
      <c r="A72" s="21">
        <v>3</v>
      </c>
      <c r="B72" s="22" t="s">
        <v>66</v>
      </c>
      <c r="C72" s="23">
        <v>31885207</v>
      </c>
      <c r="D72" s="23">
        <v>32959292</v>
      </c>
      <c r="E72" s="23">
        <f>D72-C72</f>
        <v>1074085</v>
      </c>
      <c r="F72" s="24">
        <f>IF(C72=0,0,E72/C72)</f>
        <v>3.3685997396849264E-2</v>
      </c>
    </row>
    <row r="73" spans="1:6" ht="24" customHeight="1" x14ac:dyDescent="0.25">
      <c r="A73" s="21"/>
      <c r="B73" s="26" t="s">
        <v>67</v>
      </c>
      <c r="C73" s="27">
        <f>SUM(C70:C72)</f>
        <v>348404442</v>
      </c>
      <c r="D73" s="27">
        <f>SUM(D70:D72)</f>
        <v>343874581</v>
      </c>
      <c r="E73" s="27">
        <f>D73-C73</f>
        <v>-4529861</v>
      </c>
      <c r="F73" s="28">
        <f>IF(C73=0,0,E73/C73)</f>
        <v>-1.3001731476202018E-2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856259145</v>
      </c>
      <c r="D75" s="27">
        <f>D56+D65+D67+D73</f>
        <v>911161449</v>
      </c>
      <c r="E75" s="27">
        <f>D75-C75</f>
        <v>54902304</v>
      </c>
      <c r="F75" s="28">
        <f>IF(C75=0,0,E75/C75)</f>
        <v>6.4118794316643468E-2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FILING&amp;RWESTERN CONNECTICUT HEALTH NETWORK , INC.(FORMERLY WESTERN CONNECTICUT HEALTHCARE,INC.)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491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493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1620897693</v>
      </c>
      <c r="D12" s="51">
        <v>1649794278</v>
      </c>
      <c r="E12" s="51">
        <f t="shared" ref="E12:E19" si="0">D12-C12</f>
        <v>28896585</v>
      </c>
      <c r="F12" s="70">
        <f t="shared" ref="F12:F19" si="1">IF(C12=0,0,E12/C12)</f>
        <v>1.7827519358434917E-2</v>
      </c>
    </row>
    <row r="13" spans="1:8" ht="23.1" customHeight="1" x14ac:dyDescent="0.2">
      <c r="A13" s="25">
        <v>2</v>
      </c>
      <c r="B13" s="48" t="s">
        <v>72</v>
      </c>
      <c r="C13" s="51">
        <v>884704840</v>
      </c>
      <c r="D13" s="51">
        <v>895739602</v>
      </c>
      <c r="E13" s="51">
        <f t="shared" si="0"/>
        <v>11034762</v>
      </c>
      <c r="F13" s="70">
        <f t="shared" si="1"/>
        <v>1.2472817487920604E-2</v>
      </c>
    </row>
    <row r="14" spans="1:8" ht="23.1" customHeight="1" x14ac:dyDescent="0.2">
      <c r="A14" s="25">
        <v>3</v>
      </c>
      <c r="B14" s="48" t="s">
        <v>73</v>
      </c>
      <c r="C14" s="51">
        <v>15667675</v>
      </c>
      <c r="D14" s="51">
        <v>17133307</v>
      </c>
      <c r="E14" s="51">
        <f t="shared" si="0"/>
        <v>1465632</v>
      </c>
      <c r="F14" s="70">
        <f t="shared" si="1"/>
        <v>9.3544958010681231E-2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720525178</v>
      </c>
      <c r="D16" s="27">
        <f>D12-D13-D14-D15</f>
        <v>736921369</v>
      </c>
      <c r="E16" s="27">
        <f t="shared" si="0"/>
        <v>16396191</v>
      </c>
      <c r="F16" s="28">
        <f t="shared" si="1"/>
        <v>2.2755889038481317E-2</v>
      </c>
    </row>
    <row r="17" spans="1:7" ht="23.1" customHeight="1" x14ac:dyDescent="0.2">
      <c r="A17" s="25">
        <v>5</v>
      </c>
      <c r="B17" s="48" t="s">
        <v>76</v>
      </c>
      <c r="C17" s="51">
        <v>14009110</v>
      </c>
      <c r="D17" s="51">
        <v>26582697</v>
      </c>
      <c r="E17" s="51">
        <f t="shared" si="0"/>
        <v>12573587</v>
      </c>
      <c r="F17" s="70">
        <f t="shared" si="1"/>
        <v>0.89752932199119007</v>
      </c>
      <c r="G17" s="64"/>
    </row>
    <row r="18" spans="1:7" ht="33" customHeight="1" x14ac:dyDescent="0.2">
      <c r="A18" s="25">
        <v>6</v>
      </c>
      <c r="B18" s="45" t="s">
        <v>77</v>
      </c>
      <c r="C18" s="51">
        <v>3167079</v>
      </c>
      <c r="D18" s="51">
        <v>3324588</v>
      </c>
      <c r="E18" s="51">
        <f t="shared" si="0"/>
        <v>157509</v>
      </c>
      <c r="F18" s="70">
        <f t="shared" si="1"/>
        <v>4.9733208423282146E-2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737701367</v>
      </c>
      <c r="D19" s="27">
        <f>SUM(D16:D18)</f>
        <v>766828654</v>
      </c>
      <c r="E19" s="27">
        <f t="shared" si="0"/>
        <v>29127287</v>
      </c>
      <c r="F19" s="28">
        <f t="shared" si="1"/>
        <v>3.9483845771428536E-2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350055265</v>
      </c>
      <c r="D22" s="51">
        <v>351374481</v>
      </c>
      <c r="E22" s="51">
        <f t="shared" ref="E22:E31" si="2">D22-C22</f>
        <v>1319216</v>
      </c>
      <c r="F22" s="70">
        <f t="shared" ref="F22:F31" si="3">IF(C22=0,0,E22/C22)</f>
        <v>3.7685935105132612E-3</v>
      </c>
    </row>
    <row r="23" spans="1:7" ht="23.1" customHeight="1" x14ac:dyDescent="0.2">
      <c r="A23" s="25">
        <v>2</v>
      </c>
      <c r="B23" s="48" t="s">
        <v>81</v>
      </c>
      <c r="C23" s="51">
        <v>102484957</v>
      </c>
      <c r="D23" s="51">
        <v>105429884</v>
      </c>
      <c r="E23" s="51">
        <f t="shared" si="2"/>
        <v>2944927</v>
      </c>
      <c r="F23" s="70">
        <f t="shared" si="3"/>
        <v>2.8735212329747087E-2</v>
      </c>
    </row>
    <row r="24" spans="1:7" ht="23.1" customHeight="1" x14ac:dyDescent="0.2">
      <c r="A24" s="25">
        <v>3</v>
      </c>
      <c r="B24" s="48" t="s">
        <v>82</v>
      </c>
      <c r="C24" s="51">
        <v>6168576</v>
      </c>
      <c r="D24" s="51">
        <v>6170979</v>
      </c>
      <c r="E24" s="51">
        <f t="shared" si="2"/>
        <v>2403</v>
      </c>
      <c r="F24" s="70">
        <f t="shared" si="3"/>
        <v>3.8955506100597607E-4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200275229</v>
      </c>
      <c r="D25" s="51">
        <v>192464356</v>
      </c>
      <c r="E25" s="51">
        <f t="shared" si="2"/>
        <v>-7810873</v>
      </c>
      <c r="F25" s="70">
        <f t="shared" si="3"/>
        <v>-3.9000694389419471E-2</v>
      </c>
    </row>
    <row r="26" spans="1:7" ht="23.1" customHeight="1" x14ac:dyDescent="0.2">
      <c r="A26" s="25">
        <v>5</v>
      </c>
      <c r="B26" s="48" t="s">
        <v>84</v>
      </c>
      <c r="C26" s="51">
        <v>36236656</v>
      </c>
      <c r="D26" s="51">
        <v>39029252</v>
      </c>
      <c r="E26" s="51">
        <f t="shared" si="2"/>
        <v>2792596</v>
      </c>
      <c r="F26" s="70">
        <f t="shared" si="3"/>
        <v>7.7065499642130331E-2</v>
      </c>
    </row>
    <row r="27" spans="1:7" ht="23.1" customHeight="1" x14ac:dyDescent="0.2">
      <c r="A27" s="25">
        <v>6</v>
      </c>
      <c r="B27" s="48" t="s">
        <v>85</v>
      </c>
      <c r="C27" s="51">
        <v>26465527</v>
      </c>
      <c r="D27" s="51">
        <v>24771952</v>
      </c>
      <c r="E27" s="51">
        <f t="shared" si="2"/>
        <v>-1693575</v>
      </c>
      <c r="F27" s="70">
        <f t="shared" si="3"/>
        <v>-6.3991735362005073E-2</v>
      </c>
    </row>
    <row r="28" spans="1:7" ht="23.1" customHeight="1" x14ac:dyDescent="0.2">
      <c r="A28" s="25">
        <v>7</v>
      </c>
      <c r="B28" s="48" t="s">
        <v>86</v>
      </c>
      <c r="C28" s="51">
        <v>5333933</v>
      </c>
      <c r="D28" s="51">
        <v>4322562</v>
      </c>
      <c r="E28" s="51">
        <f t="shared" si="2"/>
        <v>-1011371</v>
      </c>
      <c r="F28" s="70">
        <f t="shared" si="3"/>
        <v>-0.18961074314206797</v>
      </c>
    </row>
    <row r="29" spans="1:7" ht="23.1" customHeight="1" x14ac:dyDescent="0.2">
      <c r="A29" s="25">
        <v>8</v>
      </c>
      <c r="B29" s="48" t="s">
        <v>87</v>
      </c>
      <c r="C29" s="51">
        <v>8742635</v>
      </c>
      <c r="D29" s="51">
        <v>11680311</v>
      </c>
      <c r="E29" s="51">
        <f t="shared" si="2"/>
        <v>2937676</v>
      </c>
      <c r="F29" s="70">
        <f t="shared" si="3"/>
        <v>0.33601723050316068</v>
      </c>
    </row>
    <row r="30" spans="1:7" ht="23.1" customHeight="1" x14ac:dyDescent="0.2">
      <c r="A30" s="25">
        <v>9</v>
      </c>
      <c r="B30" s="48" t="s">
        <v>88</v>
      </c>
      <c r="C30" s="51">
        <v>10338542</v>
      </c>
      <c r="D30" s="51">
        <v>13721517</v>
      </c>
      <c r="E30" s="51">
        <f t="shared" si="2"/>
        <v>3382975</v>
      </c>
      <c r="F30" s="70">
        <f t="shared" si="3"/>
        <v>0.32721973756067346</v>
      </c>
    </row>
    <row r="31" spans="1:7" ht="23.1" customHeight="1" x14ac:dyDescent="0.25">
      <c r="A31" s="29"/>
      <c r="B31" s="71" t="s">
        <v>89</v>
      </c>
      <c r="C31" s="27">
        <f>SUM(C22:C30)</f>
        <v>746101320</v>
      </c>
      <c r="D31" s="27">
        <f>SUM(D22:D30)</f>
        <v>748965294</v>
      </c>
      <c r="E31" s="27">
        <f t="shared" si="2"/>
        <v>2863974</v>
      </c>
      <c r="F31" s="28">
        <f t="shared" si="3"/>
        <v>3.8385858907205792E-3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-8399953</v>
      </c>
      <c r="D33" s="27">
        <f>+D19-D31</f>
        <v>17863360</v>
      </c>
      <c r="E33" s="27">
        <f>D33-C33</f>
        <v>26263313</v>
      </c>
      <c r="F33" s="28">
        <f>IF(C33=0,0,E33/C33)</f>
        <v>-3.1266023750370984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9355429</v>
      </c>
      <c r="D36" s="51">
        <v>2445895</v>
      </c>
      <c r="E36" s="51">
        <f>D36-C36</f>
        <v>-6909534</v>
      </c>
      <c r="F36" s="70">
        <f>IF(C36=0,0,E36/C36)</f>
        <v>-0.7385587555632136</v>
      </c>
    </row>
    <row r="37" spans="1:6" ht="23.1" customHeight="1" x14ac:dyDescent="0.2">
      <c r="A37" s="44">
        <v>2</v>
      </c>
      <c r="B37" s="48" t="s">
        <v>93</v>
      </c>
      <c r="C37" s="51">
        <v>3166972</v>
      </c>
      <c r="D37" s="51">
        <v>1936206</v>
      </c>
      <c r="E37" s="51">
        <f>D37-C37</f>
        <v>-1230766</v>
      </c>
      <c r="F37" s="70">
        <f>IF(C37=0,0,E37/C37)</f>
        <v>-0.3886254756909755</v>
      </c>
    </row>
    <row r="38" spans="1:6" ht="23.1" customHeight="1" x14ac:dyDescent="0.2">
      <c r="A38" s="44">
        <v>3</v>
      </c>
      <c r="B38" s="48" t="s">
        <v>94</v>
      </c>
      <c r="C38" s="51">
        <v>-6929617</v>
      </c>
      <c r="D38" s="51">
        <v>20266992</v>
      </c>
      <c r="E38" s="51">
        <f>D38-C38</f>
        <v>27196609</v>
      </c>
      <c r="F38" s="70">
        <f>IF(C38=0,0,E38/C38)</f>
        <v>-3.9246915089246635</v>
      </c>
    </row>
    <row r="39" spans="1:6" ht="23.1" customHeight="1" x14ac:dyDescent="0.25">
      <c r="A39" s="20"/>
      <c r="B39" s="71" t="s">
        <v>95</v>
      </c>
      <c r="C39" s="27">
        <f>SUM(C36:C38)</f>
        <v>5592784</v>
      </c>
      <c r="D39" s="27">
        <f>SUM(D36:D38)</f>
        <v>24649093</v>
      </c>
      <c r="E39" s="27">
        <f>D39-C39</f>
        <v>19056309</v>
      </c>
      <c r="F39" s="28">
        <f>IF(C39=0,0,E39/C39)</f>
        <v>3.4073028745612204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-2807169</v>
      </c>
      <c r="D41" s="27">
        <f>D33+D39</f>
        <v>42512453</v>
      </c>
      <c r="E41" s="27">
        <f>D41-C41</f>
        <v>45319622</v>
      </c>
      <c r="F41" s="28">
        <f>IF(C41=0,0,E41/C41)</f>
        <v>-16.144244254620936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-2807169</v>
      </c>
      <c r="D48" s="27">
        <f>D41+D46</f>
        <v>42512453</v>
      </c>
      <c r="E48" s="27">
        <f>D48-C48</f>
        <v>45319622</v>
      </c>
      <c r="F48" s="28">
        <f>IF(C48=0,0,E48/C48)</f>
        <v>-16.144244254620936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FILING&amp;R&amp;8WESTERN CONNECTICUT HEALTH NETWORK , INC.(FORMERLY WESTERN CONNECTICUT HEALTHCARE,INC.)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2013-09-11T11:39:27Z</cp:lastPrinted>
  <dcterms:created xsi:type="dcterms:W3CDTF">2006-08-03T13:49:12Z</dcterms:created>
  <dcterms:modified xsi:type="dcterms:W3CDTF">2013-09-12T14:55:25Z</dcterms:modified>
</cp:coreProperties>
</file>