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 firstSheet="8" activeTab="14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9" i="14" s="1"/>
  <c r="D230" i="14"/>
  <c r="D229" i="14"/>
  <c r="D226" i="14"/>
  <c r="D227" i="14" s="1"/>
  <c r="D223" i="14"/>
  <c r="D204" i="14"/>
  <c r="D269" i="14"/>
  <c r="D203" i="14"/>
  <c r="D283" i="14"/>
  <c r="D198" i="14"/>
  <c r="D290" i="14"/>
  <c r="D191" i="14"/>
  <c r="D264" i="14"/>
  <c r="D189" i="14"/>
  <c r="D262" i="14" s="1"/>
  <c r="D278" i="14"/>
  <c r="D188" i="14"/>
  <c r="D214" i="14"/>
  <c r="D180" i="14"/>
  <c r="D179" i="14"/>
  <c r="D181" i="14" s="1"/>
  <c r="D171" i="14"/>
  <c r="D172" i="14" s="1"/>
  <c r="D173" i="14" s="1"/>
  <c r="D170" i="14"/>
  <c r="E170" i="14" s="1"/>
  <c r="D165" i="14"/>
  <c r="D164" i="14"/>
  <c r="D158" i="14"/>
  <c r="D159" i="14" s="1"/>
  <c r="D155" i="14"/>
  <c r="D145" i="14"/>
  <c r="D144" i="14"/>
  <c r="D146" i="14" s="1"/>
  <c r="D136" i="14"/>
  <c r="D137" i="14" s="1"/>
  <c r="D207" i="14" s="1"/>
  <c r="D208" i="14" s="1"/>
  <c r="D135" i="14"/>
  <c r="D130" i="14"/>
  <c r="D129" i="14"/>
  <c r="D123" i="14"/>
  <c r="D124" i="14" s="1"/>
  <c r="D120" i="14"/>
  <c r="E120" i="14" s="1"/>
  <c r="F120" i="14" s="1"/>
  <c r="D110" i="14"/>
  <c r="D109" i="14"/>
  <c r="D111" i="14" s="1"/>
  <c r="D101" i="14"/>
  <c r="D100" i="14"/>
  <c r="D95" i="14"/>
  <c r="D94" i="14"/>
  <c r="D88" i="14"/>
  <c r="D89" i="14" s="1"/>
  <c r="D85" i="14"/>
  <c r="D76" i="14"/>
  <c r="D77" i="14" s="1"/>
  <c r="D67" i="14"/>
  <c r="D66" i="14"/>
  <c r="D68" i="14"/>
  <c r="D59" i="14"/>
  <c r="D60" i="14"/>
  <c r="D61" i="14" s="1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17" i="14"/>
  <c r="E97" i="19"/>
  <c r="D97" i="19"/>
  <c r="C97" i="19"/>
  <c r="E96" i="19"/>
  <c r="D96" i="19"/>
  <c r="D98" i="19" s="1"/>
  <c r="C96" i="19"/>
  <c r="E92" i="19"/>
  <c r="D92" i="19"/>
  <c r="C92" i="19"/>
  <c r="E91" i="19"/>
  <c r="D91" i="19"/>
  <c r="D93" i="19" s="1"/>
  <c r="C91" i="19"/>
  <c r="E87" i="19"/>
  <c r="D87" i="19"/>
  <c r="C87" i="19"/>
  <c r="E86" i="19"/>
  <c r="E88" i="19"/>
  <c r="D86" i="19"/>
  <c r="D88" i="19" s="1"/>
  <c r="C86" i="19"/>
  <c r="C88" i="19" s="1"/>
  <c r="E83" i="19"/>
  <c r="D83" i="19"/>
  <c r="C83" i="19"/>
  <c r="E76" i="19"/>
  <c r="D76" i="19"/>
  <c r="C76" i="19"/>
  <c r="E75" i="19"/>
  <c r="D75" i="19"/>
  <c r="D101" i="19" s="1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34" i="19"/>
  <c r="E28" i="19"/>
  <c r="D28" i="19"/>
  <c r="C28" i="19"/>
  <c r="E27" i="19"/>
  <c r="D27" i="19"/>
  <c r="C27" i="19"/>
  <c r="C23" i="19"/>
  <c r="C46" i="19" s="1"/>
  <c r="E21" i="19"/>
  <c r="D21" i="19"/>
  <c r="C21" i="19"/>
  <c r="E12" i="19"/>
  <c r="E23" i="19" s="1"/>
  <c r="E54" i="19" s="1"/>
  <c r="E33" i="19"/>
  <c r="D12" i="19"/>
  <c r="D33" i="19"/>
  <c r="C12" i="19"/>
  <c r="C34" i="19" s="1"/>
  <c r="C22" i="19"/>
  <c r="D21" i="18"/>
  <c r="C21" i="18"/>
  <c r="E21" i="18" s="1"/>
  <c r="F21" i="18" s="1"/>
  <c r="D19" i="18"/>
  <c r="C19" i="18"/>
  <c r="E19" i="18" s="1"/>
  <c r="F19" i="18" s="1"/>
  <c r="E17" i="18"/>
  <c r="F17" i="18" s="1"/>
  <c r="E15" i="18"/>
  <c r="F15" i="18" s="1"/>
  <c r="D45" i="17"/>
  <c r="C45" i="17"/>
  <c r="D44" i="17"/>
  <c r="C44" i="17"/>
  <c r="D43" i="17"/>
  <c r="D46" i="17"/>
  <c r="C43" i="17"/>
  <c r="C46" i="17"/>
  <c r="D36" i="17"/>
  <c r="D40" i="17" s="1"/>
  <c r="C36" i="17"/>
  <c r="C40" i="17" s="1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E27" i="17"/>
  <c r="F27" i="17" s="1"/>
  <c r="D25" i="17"/>
  <c r="D39" i="17"/>
  <c r="C25" i="17"/>
  <c r="C39" i="17" s="1"/>
  <c r="F24" i="17"/>
  <c r="E24" i="17"/>
  <c r="F23" i="17"/>
  <c r="E23" i="17"/>
  <c r="F22" i="17"/>
  <c r="E22" i="17"/>
  <c r="E25" i="17"/>
  <c r="F25" i="17" s="1"/>
  <c r="D19" i="17"/>
  <c r="D20" i="17" s="1"/>
  <c r="C19" i="17"/>
  <c r="C20" i="17" s="1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36" i="16"/>
  <c r="C32" i="16"/>
  <c r="C33" i="16" s="1"/>
  <c r="C21" i="16"/>
  <c r="E328" i="15"/>
  <c r="E325" i="15"/>
  <c r="D324" i="15"/>
  <c r="D326" i="15" s="1"/>
  <c r="D330" i="15" s="1"/>
  <c r="C324" i="15"/>
  <c r="C326" i="15" s="1"/>
  <c r="C330" i="15" s="1"/>
  <c r="E318" i="15"/>
  <c r="E315" i="15"/>
  <c r="D314" i="15"/>
  <c r="D316" i="15" s="1"/>
  <c r="C314" i="15"/>
  <c r="C316" i="15"/>
  <c r="C320" i="15" s="1"/>
  <c r="E308" i="15"/>
  <c r="E305" i="15"/>
  <c r="D301" i="15"/>
  <c r="E301" i="15"/>
  <c r="C301" i="15"/>
  <c r="D293" i="15"/>
  <c r="C293" i="15"/>
  <c r="D292" i="15"/>
  <c r="E292" i="15" s="1"/>
  <c r="C292" i="15"/>
  <c r="D291" i="15"/>
  <c r="C291" i="15"/>
  <c r="D290" i="15"/>
  <c r="E290" i="15" s="1"/>
  <c r="C290" i="15"/>
  <c r="D288" i="15"/>
  <c r="E288" i="15" s="1"/>
  <c r="C288" i="15"/>
  <c r="D287" i="15"/>
  <c r="E287" i="15" s="1"/>
  <c r="C287" i="15"/>
  <c r="D282" i="15"/>
  <c r="E282" i="15" s="1"/>
  <c r="C282" i="15"/>
  <c r="D281" i="15"/>
  <c r="E281" i="15" s="1"/>
  <c r="C281" i="15"/>
  <c r="D280" i="15"/>
  <c r="E280" i="15" s="1"/>
  <c r="C280" i="15"/>
  <c r="D279" i="15"/>
  <c r="E279" i="15" s="1"/>
  <c r="C279" i="15"/>
  <c r="D278" i="15"/>
  <c r="E278" i="15" s="1"/>
  <c r="C278" i="15"/>
  <c r="D277" i="15"/>
  <c r="C277" i="15"/>
  <c r="D276" i="15"/>
  <c r="E276" i="15" s="1"/>
  <c r="C276" i="15"/>
  <c r="E270" i="15"/>
  <c r="D265" i="15"/>
  <c r="D302" i="15"/>
  <c r="C265" i="15"/>
  <c r="C302" i="15" s="1"/>
  <c r="D262" i="15"/>
  <c r="E262" i="15" s="1"/>
  <c r="C262" i="15"/>
  <c r="D251" i="15"/>
  <c r="C251" i="15"/>
  <c r="D233" i="15"/>
  <c r="C233" i="15"/>
  <c r="D232" i="15"/>
  <c r="C232" i="15"/>
  <c r="E232" i="15" s="1"/>
  <c r="D231" i="15"/>
  <c r="C231" i="15"/>
  <c r="D230" i="15"/>
  <c r="C230" i="15"/>
  <c r="E230" i="15" s="1"/>
  <c r="D228" i="15"/>
  <c r="C228" i="15"/>
  <c r="D227" i="15"/>
  <c r="C227" i="15"/>
  <c r="D221" i="15"/>
  <c r="C221" i="15"/>
  <c r="C245" i="15" s="1"/>
  <c r="D220" i="15"/>
  <c r="E220" i="15"/>
  <c r="C220" i="15"/>
  <c r="C244" i="15"/>
  <c r="D219" i="15"/>
  <c r="D243" i="15" s="1"/>
  <c r="C219" i="15"/>
  <c r="C243" i="15" s="1"/>
  <c r="D218" i="15"/>
  <c r="C218" i="15"/>
  <c r="C242" i="15" s="1"/>
  <c r="D216" i="15"/>
  <c r="C216" i="15"/>
  <c r="C240" i="15" s="1"/>
  <c r="D215" i="15"/>
  <c r="D239" i="15" s="1"/>
  <c r="C215" i="15"/>
  <c r="E209" i="15"/>
  <c r="E208" i="15"/>
  <c r="E207" i="15"/>
  <c r="E206" i="15"/>
  <c r="D205" i="15"/>
  <c r="C205" i="15"/>
  <c r="C229" i="15" s="1"/>
  <c r="E204" i="15"/>
  <c r="E203" i="15"/>
  <c r="E197" i="15"/>
  <c r="E196" i="15"/>
  <c r="D195" i="15"/>
  <c r="D260" i="15" s="1"/>
  <c r="C195" i="15"/>
  <c r="E194" i="15"/>
  <c r="E193" i="15"/>
  <c r="E192" i="15"/>
  <c r="E191" i="15"/>
  <c r="E190" i="15"/>
  <c r="D188" i="15"/>
  <c r="C188" i="15"/>
  <c r="C261" i="15" s="1"/>
  <c r="E186" i="15"/>
  <c r="E185" i="15"/>
  <c r="D179" i="15"/>
  <c r="C179" i="15"/>
  <c r="D178" i="15"/>
  <c r="C178" i="15"/>
  <c r="D177" i="15"/>
  <c r="C177" i="15"/>
  <c r="D176" i="15"/>
  <c r="C176" i="15"/>
  <c r="D174" i="15"/>
  <c r="C174" i="15"/>
  <c r="D173" i="15"/>
  <c r="C173" i="15"/>
  <c r="E173" i="15" s="1"/>
  <c r="D167" i="15"/>
  <c r="C167" i="15"/>
  <c r="D166" i="15"/>
  <c r="C166" i="15"/>
  <c r="E166" i="15" s="1"/>
  <c r="D165" i="15"/>
  <c r="C165" i="15"/>
  <c r="D164" i="15"/>
  <c r="C164" i="15"/>
  <c r="E164" i="15" s="1"/>
  <c r="D162" i="15"/>
  <c r="C162" i="15"/>
  <c r="E162" i="15" s="1"/>
  <c r="D161" i="15"/>
  <c r="C161" i="15"/>
  <c r="E155" i="15"/>
  <c r="E154" i="15"/>
  <c r="E153" i="15"/>
  <c r="E152" i="15"/>
  <c r="D151" i="15"/>
  <c r="D156" i="15" s="1"/>
  <c r="C151" i="15"/>
  <c r="E150" i="15"/>
  <c r="E149" i="15"/>
  <c r="E143" i="15"/>
  <c r="E142" i="15"/>
  <c r="E141" i="15"/>
  <c r="E140" i="15"/>
  <c r="D139" i="15"/>
  <c r="D163" i="15" s="1"/>
  <c r="C139" i="15"/>
  <c r="C144" i="15" s="1"/>
  <c r="E138" i="15"/>
  <c r="E137" i="15"/>
  <c r="D75" i="15"/>
  <c r="C75" i="15"/>
  <c r="E75" i="15" s="1"/>
  <c r="D74" i="15"/>
  <c r="C74" i="15"/>
  <c r="D73" i="15"/>
  <c r="C73" i="15"/>
  <c r="E73" i="15" s="1"/>
  <c r="D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/>
  <c r="C42" i="15"/>
  <c r="D41" i="15"/>
  <c r="C41" i="15"/>
  <c r="D40" i="15"/>
  <c r="C40" i="15"/>
  <c r="D39" i="15"/>
  <c r="C39" i="15"/>
  <c r="D38" i="15"/>
  <c r="C38" i="15"/>
  <c r="D37" i="15"/>
  <c r="E37" i="15" s="1"/>
  <c r="C37" i="15"/>
  <c r="D36" i="15"/>
  <c r="C36" i="15"/>
  <c r="D32" i="15"/>
  <c r="C32" i="15"/>
  <c r="C33" i="15" s="1"/>
  <c r="E31" i="15"/>
  <c r="E30" i="15"/>
  <c r="E29" i="15"/>
  <c r="E28" i="15"/>
  <c r="E27" i="15"/>
  <c r="E26" i="15"/>
  <c r="E25" i="15"/>
  <c r="D21" i="15"/>
  <c r="D22" i="15" s="1"/>
  <c r="C21" i="15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08" i="14"/>
  <c r="F308" i="14" s="1"/>
  <c r="C307" i="14"/>
  <c r="E307" i="14" s="1"/>
  <c r="C299" i="14"/>
  <c r="E299" i="14" s="1"/>
  <c r="C298" i="14"/>
  <c r="C297" i="14"/>
  <c r="E297" i="14" s="1"/>
  <c r="C296" i="14"/>
  <c r="C295" i="14"/>
  <c r="E295" i="14" s="1"/>
  <c r="F295" i="14" s="1"/>
  <c r="C294" i="14"/>
  <c r="C250" i="14"/>
  <c r="E250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C237" i="14"/>
  <c r="E234" i="14"/>
  <c r="F234" i="14" s="1"/>
  <c r="E233" i="14"/>
  <c r="F233" i="14" s="1"/>
  <c r="C230" i="14"/>
  <c r="E230" i="14" s="1"/>
  <c r="C229" i="14"/>
  <c r="E228" i="14"/>
  <c r="F228" i="14" s="1"/>
  <c r="C226" i="14"/>
  <c r="E225" i="14"/>
  <c r="F225" i="14" s="1"/>
  <c r="E224" i="14"/>
  <c r="F224" i="14" s="1"/>
  <c r="C223" i="14"/>
  <c r="E222" i="14"/>
  <c r="F222" i="14" s="1"/>
  <c r="E221" i="14"/>
  <c r="F221" i="14" s="1"/>
  <c r="C204" i="14"/>
  <c r="C203" i="14"/>
  <c r="C198" i="14"/>
  <c r="C191" i="14"/>
  <c r="C264" i="14" s="1"/>
  <c r="C189" i="14"/>
  <c r="E189" i="14" s="1"/>
  <c r="C188" i="14"/>
  <c r="C180" i="14"/>
  <c r="E180" i="14" s="1"/>
  <c r="F180" i="14" s="1"/>
  <c r="C179" i="14"/>
  <c r="C171" i="14"/>
  <c r="E171" i="14" s="1"/>
  <c r="C170" i="14"/>
  <c r="E169" i="14"/>
  <c r="F169" i="14" s="1"/>
  <c r="E168" i="14"/>
  <c r="F168" i="14" s="1"/>
  <c r="C165" i="14"/>
  <c r="E165" i="14" s="1"/>
  <c r="C164" i="14"/>
  <c r="E163" i="14"/>
  <c r="F163" i="14" s="1"/>
  <c r="C158" i="14"/>
  <c r="E158" i="14" s="1"/>
  <c r="E157" i="14"/>
  <c r="F157" i="14"/>
  <c r="E156" i="14"/>
  <c r="F156" i="14"/>
  <c r="C155" i="14"/>
  <c r="E154" i="14"/>
  <c r="F154" i="14" s="1"/>
  <c r="E153" i="14"/>
  <c r="F153" i="14" s="1"/>
  <c r="C145" i="14"/>
  <c r="E145" i="14" s="1"/>
  <c r="C144" i="14"/>
  <c r="C136" i="14"/>
  <c r="E136" i="14" s="1"/>
  <c r="C135" i="14"/>
  <c r="E134" i="14"/>
  <c r="F134" i="14" s="1"/>
  <c r="E133" i="14"/>
  <c r="F133" i="14" s="1"/>
  <c r="E130" i="14"/>
  <c r="C130" i="14"/>
  <c r="C129" i="14"/>
  <c r="E128" i="14"/>
  <c r="F128" i="14" s="1"/>
  <c r="C123" i="14"/>
  <c r="E122" i="14"/>
  <c r="F122" i="14" s="1"/>
  <c r="E121" i="14"/>
  <c r="F121" i="14" s="1"/>
  <c r="C120" i="14"/>
  <c r="E119" i="14"/>
  <c r="F119" i="14" s="1"/>
  <c r="E118" i="14"/>
  <c r="F118" i="14" s="1"/>
  <c r="C110" i="14"/>
  <c r="C109" i="14"/>
  <c r="C101" i="14"/>
  <c r="C102" i="14" s="1"/>
  <c r="C103" i="14" s="1"/>
  <c r="C100" i="14"/>
  <c r="E99" i="14"/>
  <c r="F99" i="14"/>
  <c r="E98" i="14"/>
  <c r="F98" i="14"/>
  <c r="C95" i="14"/>
  <c r="E95" i="14"/>
  <c r="F95" i="14" s="1"/>
  <c r="C94" i="14"/>
  <c r="E93" i="14"/>
  <c r="F93" i="14" s="1"/>
  <c r="C88" i="14"/>
  <c r="C89" i="14" s="1"/>
  <c r="E87" i="14"/>
  <c r="F87" i="14" s="1"/>
  <c r="E86" i="14"/>
  <c r="F86" i="14" s="1"/>
  <c r="C85" i="14"/>
  <c r="E84" i="14"/>
  <c r="F84" i="14" s="1"/>
  <c r="E83" i="14"/>
  <c r="F83" i="14" s="1"/>
  <c r="C76" i="14"/>
  <c r="C77" i="14" s="1"/>
  <c r="F74" i="14"/>
  <c r="E74" i="14"/>
  <c r="E73" i="14"/>
  <c r="F73" i="14" s="1"/>
  <c r="C67" i="14"/>
  <c r="C66" i="14"/>
  <c r="E66" i="14" s="1"/>
  <c r="C59" i="14"/>
  <c r="C60" i="14" s="1"/>
  <c r="C58" i="14"/>
  <c r="E58" i="14" s="1"/>
  <c r="F58" i="14" s="1"/>
  <c r="E57" i="14"/>
  <c r="F57" i="14" s="1"/>
  <c r="E56" i="14"/>
  <c r="F56" i="14" s="1"/>
  <c r="C53" i="14"/>
  <c r="C52" i="14"/>
  <c r="E52" i="14"/>
  <c r="E51" i="14"/>
  <c r="F51" i="14"/>
  <c r="C47" i="14"/>
  <c r="C48" i="14"/>
  <c r="E46" i="14"/>
  <c r="F46" i="14"/>
  <c r="E45" i="14"/>
  <c r="F45" i="14" s="1"/>
  <c r="C44" i="14"/>
  <c r="E43" i="14"/>
  <c r="F43" i="14" s="1"/>
  <c r="E42" i="14"/>
  <c r="F42" i="14" s="1"/>
  <c r="C36" i="14"/>
  <c r="C35" i="14"/>
  <c r="C30" i="14"/>
  <c r="C31" i="14" s="1"/>
  <c r="C29" i="14"/>
  <c r="E28" i="14"/>
  <c r="F28" i="14" s="1"/>
  <c r="E27" i="14"/>
  <c r="F27" i="14" s="1"/>
  <c r="C24" i="14"/>
  <c r="C23" i="14"/>
  <c r="E22" i="14"/>
  <c r="F22" i="14" s="1"/>
  <c r="C20" i="14"/>
  <c r="C21" i="14" s="1"/>
  <c r="E19" i="14"/>
  <c r="F19" i="14" s="1"/>
  <c r="E18" i="14"/>
  <c r="F18" i="14" s="1"/>
  <c r="E17" i="14"/>
  <c r="C17" i="14"/>
  <c r="E16" i="14"/>
  <c r="F16" i="14" s="1"/>
  <c r="E15" i="14"/>
  <c r="F15" i="14" s="1"/>
  <c r="D21" i="13"/>
  <c r="C21" i="13"/>
  <c r="E20" i="13"/>
  <c r="F20" i="13" s="1"/>
  <c r="D17" i="13"/>
  <c r="C17" i="13"/>
  <c r="F16" i="13"/>
  <c r="E16" i="13"/>
  <c r="D13" i="13"/>
  <c r="E13" i="13" s="1"/>
  <c r="C13" i="13"/>
  <c r="E12" i="13"/>
  <c r="F12" i="13" s="1"/>
  <c r="D99" i="12"/>
  <c r="C99" i="12"/>
  <c r="E98" i="12"/>
  <c r="F98" i="12" s="1"/>
  <c r="E97" i="12"/>
  <c r="F97" i="12" s="1"/>
  <c r="F96" i="12"/>
  <c r="E96" i="12"/>
  <c r="D92" i="12"/>
  <c r="E92" i="12" s="1"/>
  <c r="C92" i="12"/>
  <c r="F91" i="12"/>
  <c r="E91" i="12"/>
  <c r="F90" i="12"/>
  <c r="E90" i="12"/>
  <c r="E89" i="12"/>
  <c r="F89" i="12" s="1"/>
  <c r="E88" i="12"/>
  <c r="F88" i="12" s="1"/>
  <c r="E87" i="12"/>
  <c r="F87" i="12" s="1"/>
  <c r="D84" i="12"/>
  <c r="E84" i="12" s="1"/>
  <c r="C84" i="12"/>
  <c r="E83" i="12"/>
  <c r="F83" i="12" s="1"/>
  <c r="E82" i="12"/>
  <c r="F82" i="12"/>
  <c r="E81" i="12"/>
  <c r="F81" i="12" s="1"/>
  <c r="E80" i="12"/>
  <c r="F80" i="12" s="1"/>
  <c r="F79" i="12"/>
  <c r="E79" i="12"/>
  <c r="D75" i="12"/>
  <c r="C75" i="12"/>
  <c r="E74" i="12"/>
  <c r="F74" i="12" s="1"/>
  <c r="E73" i="12"/>
  <c r="E75" i="12" s="1"/>
  <c r="D70" i="12"/>
  <c r="C70" i="12"/>
  <c r="E69" i="12"/>
  <c r="F69" i="12"/>
  <c r="E68" i="12"/>
  <c r="F68" i="12" s="1"/>
  <c r="D65" i="12"/>
  <c r="E65" i="12" s="1"/>
  <c r="C65" i="12"/>
  <c r="E64" i="12"/>
  <c r="F64" i="12" s="1"/>
  <c r="E63" i="12"/>
  <c r="F63" i="12" s="1"/>
  <c r="D60" i="12"/>
  <c r="C60" i="12"/>
  <c r="E59" i="12"/>
  <c r="F58" i="12"/>
  <c r="E58" i="12"/>
  <c r="D55" i="12"/>
  <c r="E55" i="12" s="1"/>
  <c r="C55" i="12"/>
  <c r="E54" i="12"/>
  <c r="F54" i="12" s="1"/>
  <c r="E53" i="12"/>
  <c r="F53" i="12" s="1"/>
  <c r="D50" i="12"/>
  <c r="C50" i="12"/>
  <c r="E49" i="12"/>
  <c r="F49" i="12" s="1"/>
  <c r="F48" i="12"/>
  <c r="E48" i="12"/>
  <c r="D45" i="12"/>
  <c r="E45" i="12" s="1"/>
  <c r="C45" i="12"/>
  <c r="E44" i="12"/>
  <c r="F44" i="12" s="1"/>
  <c r="E43" i="12"/>
  <c r="F43" i="12" s="1"/>
  <c r="D37" i="12"/>
  <c r="C37" i="12"/>
  <c r="F36" i="12"/>
  <c r="E36" i="12"/>
  <c r="F35" i="12"/>
  <c r="E35" i="12"/>
  <c r="E34" i="12"/>
  <c r="F34" i="12" s="1"/>
  <c r="E33" i="12"/>
  <c r="F33" i="12" s="1"/>
  <c r="D30" i="12"/>
  <c r="C30" i="12"/>
  <c r="F29" i="12"/>
  <c r="E29" i="12"/>
  <c r="F28" i="12"/>
  <c r="E28" i="12"/>
  <c r="E27" i="12"/>
  <c r="F27" i="12" s="1"/>
  <c r="F26" i="12"/>
  <c r="E26" i="12"/>
  <c r="D23" i="12"/>
  <c r="E23" i="12" s="1"/>
  <c r="C23" i="12"/>
  <c r="E22" i="12"/>
  <c r="F22" i="12" s="1"/>
  <c r="E21" i="12"/>
  <c r="F21" i="12" s="1"/>
  <c r="E20" i="12"/>
  <c r="F20" i="12"/>
  <c r="E19" i="12"/>
  <c r="F19" i="12" s="1"/>
  <c r="D16" i="12"/>
  <c r="E16" i="12" s="1"/>
  <c r="C16" i="12"/>
  <c r="E15" i="12"/>
  <c r="F15" i="12" s="1"/>
  <c r="E14" i="12"/>
  <c r="F14" i="12" s="1"/>
  <c r="E13" i="12"/>
  <c r="F13" i="12"/>
  <c r="E12" i="12"/>
  <c r="F12" i="12" s="1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D17" i="11"/>
  <c r="D31" i="11" s="1"/>
  <c r="C17" i="11"/>
  <c r="C33" i="11" s="1"/>
  <c r="C36" i="11" s="1"/>
  <c r="C38" i="11" s="1"/>
  <c r="C40" i="11" s="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 s="1"/>
  <c r="E77" i="10" s="1"/>
  <c r="D78" i="10"/>
  <c r="C78" i="10"/>
  <c r="C80" i="10" s="1"/>
  <c r="C77" i="10" s="1"/>
  <c r="E73" i="10"/>
  <c r="E75" i="10" s="1"/>
  <c r="D73" i="10"/>
  <c r="D75" i="10" s="1"/>
  <c r="D69" i="10" s="1"/>
  <c r="C73" i="10"/>
  <c r="C75" i="10" s="1"/>
  <c r="C69" i="10" s="1"/>
  <c r="E71" i="10"/>
  <c r="D71" i="10"/>
  <c r="C71" i="10"/>
  <c r="E66" i="10"/>
  <c r="E65" i="10" s="1"/>
  <c r="D66" i="10"/>
  <c r="C66" i="10"/>
  <c r="D65" i="10"/>
  <c r="C65" i="10"/>
  <c r="E60" i="10"/>
  <c r="D60" i="10"/>
  <c r="C60" i="10"/>
  <c r="E58" i="10"/>
  <c r="D58" i="10"/>
  <c r="C58" i="10"/>
  <c r="E55" i="10"/>
  <c r="D55" i="10"/>
  <c r="D50" i="10"/>
  <c r="C55" i="10"/>
  <c r="C50" i="10"/>
  <c r="E54" i="10"/>
  <c r="D54" i="10"/>
  <c r="C54" i="10"/>
  <c r="E50" i="10"/>
  <c r="E46" i="10"/>
  <c r="E59" i="10" s="1"/>
  <c r="E61" i="10" s="1"/>
  <c r="E57" i="10" s="1"/>
  <c r="D46" i="10"/>
  <c r="D48" i="10" s="1"/>
  <c r="D42" i="10" s="1"/>
  <c r="D59" i="10"/>
  <c r="D61" i="10" s="1"/>
  <c r="D57" i="10" s="1"/>
  <c r="C46" i="10"/>
  <c r="E45" i="10"/>
  <c r="D45" i="10"/>
  <c r="C45" i="10"/>
  <c r="E38" i="10"/>
  <c r="D38" i="10"/>
  <c r="C38" i="10"/>
  <c r="E34" i="10"/>
  <c r="D34" i="10"/>
  <c r="E33" i="10"/>
  <c r="D33" i="10"/>
  <c r="E26" i="10"/>
  <c r="D26" i="10"/>
  <c r="C26" i="10"/>
  <c r="E13" i="10"/>
  <c r="D13" i="10"/>
  <c r="C13" i="10"/>
  <c r="C25" i="10" s="1"/>
  <c r="D46" i="9"/>
  <c r="E46" i="9" s="1"/>
  <c r="C46" i="9"/>
  <c r="F46" i="9" s="1"/>
  <c r="F45" i="9"/>
  <c r="E45" i="9"/>
  <c r="F44" i="9"/>
  <c r="E44" i="9"/>
  <c r="D39" i="9"/>
  <c r="C39" i="9"/>
  <c r="F39" i="9" s="1"/>
  <c r="F38" i="9"/>
  <c r="E38" i="9"/>
  <c r="F37" i="9"/>
  <c r="E37" i="9"/>
  <c r="F36" i="9"/>
  <c r="E36" i="9"/>
  <c r="D31" i="9"/>
  <c r="C31" i="9"/>
  <c r="F31" i="9" s="1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C16" i="9"/>
  <c r="F15" i="9"/>
  <c r="E15" i="9"/>
  <c r="F14" i="9"/>
  <c r="E14" i="9"/>
  <c r="F13" i="9"/>
  <c r="E13" i="9"/>
  <c r="F12" i="9"/>
  <c r="E12" i="9"/>
  <c r="D73" i="8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C61" i="8"/>
  <c r="F61" i="8" s="1"/>
  <c r="F60" i="8"/>
  <c r="E60" i="8"/>
  <c r="F59" i="8"/>
  <c r="E59" i="8"/>
  <c r="D56" i="8"/>
  <c r="C56" i="8"/>
  <c r="F56" i="8" s="1"/>
  <c r="F55" i="8"/>
  <c r="E55" i="8"/>
  <c r="F54" i="8"/>
  <c r="E54" i="8"/>
  <c r="F53" i="8"/>
  <c r="E53" i="8"/>
  <c r="F52" i="8"/>
  <c r="E52" i="8"/>
  <c r="F51" i="8"/>
  <c r="E51" i="8"/>
  <c r="F50" i="8"/>
  <c r="E50" i="8"/>
  <c r="A50" i="8"/>
  <c r="A51" i="8" s="1"/>
  <c r="A52" i="8" s="1"/>
  <c r="A53" i="8" s="1"/>
  <c r="A54" i="8" s="1"/>
  <c r="A55" i="8" s="1"/>
  <c r="F49" i="8"/>
  <c r="E49" i="8"/>
  <c r="F40" i="8"/>
  <c r="E40" i="8"/>
  <c r="D38" i="8"/>
  <c r="C38" i="8"/>
  <c r="F37" i="8"/>
  <c r="E37" i="8"/>
  <c r="F36" i="8"/>
  <c r="E36" i="8"/>
  <c r="F33" i="8"/>
  <c r="E33" i="8"/>
  <c r="F32" i="8"/>
  <c r="E32" i="8"/>
  <c r="F31" i="8"/>
  <c r="E31" i="8"/>
  <c r="D29" i="8"/>
  <c r="E29" i="8" s="1"/>
  <c r="C29" i="8"/>
  <c r="F29" i="8" s="1"/>
  <c r="F28" i="8"/>
  <c r="E28" i="8"/>
  <c r="F27" i="8"/>
  <c r="E27" i="8"/>
  <c r="F26" i="8"/>
  <c r="E26" i="8"/>
  <c r="F25" i="8"/>
  <c r="E25" i="8"/>
  <c r="D22" i="8"/>
  <c r="E22" i="8" s="1"/>
  <c r="C22" i="8"/>
  <c r="F22" i="8" s="1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C120" i="7"/>
  <c r="D119" i="7"/>
  <c r="E119" i="7" s="1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E113" i="7" s="1"/>
  <c r="D112" i="7"/>
  <c r="C112" i="7"/>
  <c r="D108" i="7"/>
  <c r="C108" i="7"/>
  <c r="D107" i="7"/>
  <c r="C107" i="7"/>
  <c r="E106" i="7"/>
  <c r="F106" i="7" s="1"/>
  <c r="E105" i="7"/>
  <c r="F105" i="7" s="1"/>
  <c r="E104" i="7"/>
  <c r="F104" i="7" s="1"/>
  <c r="E103" i="7"/>
  <c r="F103" i="7"/>
  <c r="E102" i="7"/>
  <c r="F102" i="7" s="1"/>
  <c r="E101" i="7"/>
  <c r="F101" i="7" s="1"/>
  <c r="E100" i="7"/>
  <c r="F100" i="7" s="1"/>
  <c r="E99" i="7"/>
  <c r="F99" i="7"/>
  <c r="E98" i="7"/>
  <c r="F98" i="7" s="1"/>
  <c r="D96" i="7"/>
  <c r="E96" i="7" s="1"/>
  <c r="C96" i="7"/>
  <c r="D95" i="7"/>
  <c r="E95" i="7" s="1"/>
  <c r="C95" i="7"/>
  <c r="E94" i="7"/>
  <c r="F94" i="7" s="1"/>
  <c r="E93" i="7"/>
  <c r="F93" i="7" s="1"/>
  <c r="E92" i="7"/>
  <c r="F92" i="7"/>
  <c r="E91" i="7"/>
  <c r="F91" i="7" s="1"/>
  <c r="E90" i="7"/>
  <c r="F90" i="7" s="1"/>
  <c r="E89" i="7"/>
  <c r="F89" i="7" s="1"/>
  <c r="E88" i="7"/>
  <c r="F88" i="7"/>
  <c r="E87" i="7"/>
  <c r="F87" i="7" s="1"/>
  <c r="E86" i="7"/>
  <c r="F86" i="7" s="1"/>
  <c r="D84" i="7"/>
  <c r="C84" i="7"/>
  <c r="F84" i="7" s="1"/>
  <c r="D83" i="7"/>
  <c r="E83" i="7" s="1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8" i="7"/>
  <c r="F58" i="7" s="1"/>
  <c r="E57" i="7"/>
  <c r="F57" i="7" s="1"/>
  <c r="E56" i="7"/>
  <c r="F56" i="7" s="1"/>
  <c r="E55" i="7"/>
  <c r="F55" i="7"/>
  <c r="E54" i="7"/>
  <c r="F54" i="7" s="1"/>
  <c r="E53" i="7"/>
  <c r="F53" i="7" s="1"/>
  <c r="E52" i="7"/>
  <c r="F52" i="7" s="1"/>
  <c r="E51" i="7"/>
  <c r="F51" i="7"/>
  <c r="E50" i="7"/>
  <c r="F50" i="7" s="1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4" i="7"/>
  <c r="F34" i="7" s="1"/>
  <c r="E33" i="7"/>
  <c r="F33" i="7" s="1"/>
  <c r="F32" i="7"/>
  <c r="E32" i="7"/>
  <c r="E31" i="7"/>
  <c r="F31" i="7" s="1"/>
  <c r="E30" i="7"/>
  <c r="F30" i="7" s="1"/>
  <c r="E29" i="7"/>
  <c r="F29" i="7" s="1"/>
  <c r="F28" i="7"/>
  <c r="E28" i="7"/>
  <c r="E27" i="7"/>
  <c r="F27" i="7" s="1"/>
  <c r="E26" i="7"/>
  <c r="F26" i="7" s="1"/>
  <c r="D24" i="7"/>
  <c r="C24" i="7"/>
  <c r="D23" i="7"/>
  <c r="C23" i="7"/>
  <c r="E22" i="7"/>
  <c r="F22" i="7" s="1"/>
  <c r="F21" i="7"/>
  <c r="E21" i="7"/>
  <c r="E20" i="7"/>
  <c r="F20" i="7" s="1"/>
  <c r="E19" i="7"/>
  <c r="F19" i="7" s="1"/>
  <c r="E18" i="7"/>
  <c r="F18" i="7" s="1"/>
  <c r="F17" i="7"/>
  <c r="E17" i="7"/>
  <c r="E16" i="7"/>
  <c r="F16" i="7" s="1"/>
  <c r="E15" i="7"/>
  <c r="F15" i="7" s="1"/>
  <c r="E14" i="7"/>
  <c r="F14" i="7" s="1"/>
  <c r="D206" i="6"/>
  <c r="C206" i="6"/>
  <c r="D205" i="6"/>
  <c r="C205" i="6"/>
  <c r="D204" i="6"/>
  <c r="C204" i="6"/>
  <c r="D203" i="6"/>
  <c r="C203" i="6"/>
  <c r="D202" i="6"/>
  <c r="E202" i="6"/>
  <c r="C202" i="6"/>
  <c r="D201" i="6"/>
  <c r="C201" i="6"/>
  <c r="D200" i="6"/>
  <c r="E200" i="6" s="1"/>
  <c r="C200" i="6"/>
  <c r="D199" i="6"/>
  <c r="C199" i="6"/>
  <c r="D198" i="6"/>
  <c r="E198" i="6" s="1"/>
  <c r="C198" i="6"/>
  <c r="C207" i="6" s="1"/>
  <c r="D193" i="6"/>
  <c r="C193" i="6"/>
  <c r="D192" i="6"/>
  <c r="C192" i="6"/>
  <c r="E191" i="6"/>
  <c r="F191" i="6" s="1"/>
  <c r="E190" i="6"/>
  <c r="F190" i="6" s="1"/>
  <c r="E189" i="6"/>
  <c r="F189" i="6" s="1"/>
  <c r="E188" i="6"/>
  <c r="F188" i="6"/>
  <c r="E187" i="6"/>
  <c r="F187" i="6" s="1"/>
  <c r="E186" i="6"/>
  <c r="F186" i="6" s="1"/>
  <c r="E185" i="6"/>
  <c r="F185" i="6" s="1"/>
  <c r="E184" i="6"/>
  <c r="F184" i="6"/>
  <c r="E183" i="6"/>
  <c r="F183" i="6" s="1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F154" i="6" s="1"/>
  <c r="C154" i="6"/>
  <c r="D153" i="6"/>
  <c r="E153" i="6" s="1"/>
  <c r="F153" i="6" s="1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/>
  <c r="D140" i="6"/>
  <c r="E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C115" i="6"/>
  <c r="F115" i="6" s="1"/>
  <c r="D114" i="6"/>
  <c r="E114" i="6" s="1"/>
  <c r="C114" i="6"/>
  <c r="F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F102" i="6" s="1"/>
  <c r="D101" i="6"/>
  <c r="E101" i="6" s="1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/>
  <c r="D88" i="6"/>
  <c r="E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E63" i="6" s="1"/>
  <c r="C63" i="6"/>
  <c r="D62" i="6"/>
  <c r="C62" i="6"/>
  <c r="E61" i="6"/>
  <c r="F61" i="6" s="1"/>
  <c r="E60" i="6"/>
  <c r="F60" i="6"/>
  <c r="E59" i="6"/>
  <c r="F59" i="6" s="1"/>
  <c r="E58" i="6"/>
  <c r="F58" i="6" s="1"/>
  <c r="E57" i="6"/>
  <c r="F57" i="6" s="1"/>
  <c r="E56" i="6"/>
  <c r="F56" i="6"/>
  <c r="E55" i="6"/>
  <c r="F55" i="6" s="1"/>
  <c r="E54" i="6"/>
  <c r="F54" i="6" s="1"/>
  <c r="E53" i="6"/>
  <c r="F53" i="6" s="1"/>
  <c r="D50" i="6"/>
  <c r="C50" i="6"/>
  <c r="D49" i="6"/>
  <c r="C49" i="6"/>
  <c r="E48" i="6"/>
  <c r="F48" i="6"/>
  <c r="E47" i="6"/>
  <c r="F47" i="6" s="1"/>
  <c r="E46" i="6"/>
  <c r="F46" i="6" s="1"/>
  <c r="E45" i="6"/>
  <c r="F45" i="6" s="1"/>
  <c r="E44" i="6"/>
  <c r="F44" i="6" s="1"/>
  <c r="F43" i="6"/>
  <c r="E43" i="6"/>
  <c r="E42" i="6"/>
  <c r="F42" i="6" s="1"/>
  <c r="E41" i="6"/>
  <c r="F41" i="6" s="1"/>
  <c r="E40" i="6"/>
  <c r="F40" i="6" s="1"/>
  <c r="D37" i="6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 s="1"/>
  <c r="C164" i="5"/>
  <c r="E162" i="5"/>
  <c r="D162" i="5"/>
  <c r="C162" i="5"/>
  <c r="E161" i="5"/>
  <c r="D161" i="5"/>
  <c r="C161" i="5"/>
  <c r="E160" i="5"/>
  <c r="E166" i="5" s="1"/>
  <c r="C160" i="5"/>
  <c r="C166" i="5"/>
  <c r="E147" i="5"/>
  <c r="D147" i="5"/>
  <c r="C147" i="5"/>
  <c r="C143" i="5" s="1"/>
  <c r="E145" i="5"/>
  <c r="D145" i="5"/>
  <c r="C145" i="5"/>
  <c r="E144" i="5"/>
  <c r="D144" i="5"/>
  <c r="C144" i="5"/>
  <c r="E143" i="5"/>
  <c r="E149" i="5" s="1"/>
  <c r="D143" i="5"/>
  <c r="E126" i="5"/>
  <c r="D126" i="5"/>
  <c r="C126" i="5"/>
  <c r="E119" i="5"/>
  <c r="D119" i="5"/>
  <c r="C119" i="5"/>
  <c r="E108" i="5"/>
  <c r="D108" i="5"/>
  <c r="C108" i="5"/>
  <c r="E107" i="5"/>
  <c r="D107" i="5"/>
  <c r="D109" i="5" s="1"/>
  <c r="D106" i="5" s="1"/>
  <c r="C107" i="5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C95" i="5"/>
  <c r="C94" i="5" s="1"/>
  <c r="D94" i="5"/>
  <c r="E89" i="5"/>
  <c r="D89" i="5"/>
  <c r="C89" i="5"/>
  <c r="E87" i="5"/>
  <c r="D87" i="5"/>
  <c r="C87" i="5"/>
  <c r="E84" i="5"/>
  <c r="D84" i="5"/>
  <c r="D79" i="5" s="1"/>
  <c r="C84" i="5"/>
  <c r="E83" i="5"/>
  <c r="D83" i="5"/>
  <c r="C83" i="5"/>
  <c r="E75" i="5"/>
  <c r="E88" i="5" s="1"/>
  <c r="E90" i="5" s="1"/>
  <c r="E86" i="5" s="1"/>
  <c r="D75" i="5"/>
  <c r="D88" i="5"/>
  <c r="D90" i="5" s="1"/>
  <c r="D86" i="5" s="1"/>
  <c r="C75" i="5"/>
  <c r="C77" i="5" s="1"/>
  <c r="C88" i="5"/>
  <c r="E74" i="5"/>
  <c r="D74" i="5"/>
  <c r="C74" i="5"/>
  <c r="E67" i="5"/>
  <c r="D67" i="5"/>
  <c r="C67" i="5"/>
  <c r="E38" i="5"/>
  <c r="E57" i="5" s="1"/>
  <c r="E62" i="5" s="1"/>
  <c r="D38" i="5"/>
  <c r="D53" i="5" s="1"/>
  <c r="C38" i="5"/>
  <c r="E34" i="5"/>
  <c r="E33" i="5"/>
  <c r="D33" i="5"/>
  <c r="D34" i="5" s="1"/>
  <c r="E26" i="5"/>
  <c r="D26" i="5"/>
  <c r="C26" i="5"/>
  <c r="C15" i="5"/>
  <c r="C17" i="5" s="1"/>
  <c r="E13" i="5"/>
  <c r="D13" i="5"/>
  <c r="D25" i="5" s="1"/>
  <c r="D27" i="5" s="1"/>
  <c r="D21" i="5" s="1"/>
  <c r="C13" i="5"/>
  <c r="C25" i="5" s="1"/>
  <c r="C27" i="5" s="1"/>
  <c r="E174" i="4"/>
  <c r="F174" i="4" s="1"/>
  <c r="D171" i="4"/>
  <c r="C171" i="4"/>
  <c r="F171" i="4" s="1"/>
  <c r="F170" i="4"/>
  <c r="E170" i="4"/>
  <c r="E169" i="4"/>
  <c r="F169" i="4" s="1"/>
  <c r="F168" i="4"/>
  <c r="E168" i="4"/>
  <c r="E167" i="4"/>
  <c r="F167" i="4" s="1"/>
  <c r="E166" i="4"/>
  <c r="F166" i="4" s="1"/>
  <c r="E165" i="4"/>
  <c r="F165" i="4" s="1"/>
  <c r="F164" i="4"/>
  <c r="E164" i="4"/>
  <c r="E163" i="4"/>
  <c r="F163" i="4" s="1"/>
  <c r="E162" i="4"/>
  <c r="F162" i="4" s="1"/>
  <c r="E161" i="4"/>
  <c r="F161" i="4" s="1"/>
  <c r="F160" i="4"/>
  <c r="E160" i="4"/>
  <c r="E159" i="4"/>
  <c r="F159" i="4" s="1"/>
  <c r="E158" i="4"/>
  <c r="F158" i="4" s="1"/>
  <c r="D155" i="4"/>
  <c r="C155" i="4"/>
  <c r="E154" i="4"/>
  <c r="F154" i="4"/>
  <c r="E153" i="4"/>
  <c r="F153" i="4" s="1"/>
  <c r="E152" i="4"/>
  <c r="F152" i="4" s="1"/>
  <c r="E151" i="4"/>
  <c r="F151" i="4" s="1"/>
  <c r="F150" i="4"/>
  <c r="E150" i="4"/>
  <c r="E149" i="4"/>
  <c r="F149" i="4" s="1"/>
  <c r="E148" i="4"/>
  <c r="F148" i="4" s="1"/>
  <c r="F147" i="4"/>
  <c r="E147" i="4"/>
  <c r="E146" i="4"/>
  <c r="F146" i="4" s="1"/>
  <c r="E145" i="4"/>
  <c r="F145" i="4" s="1"/>
  <c r="E144" i="4"/>
  <c r="F144" i="4"/>
  <c r="E143" i="4"/>
  <c r="F143" i="4" s="1"/>
  <c r="E142" i="4"/>
  <c r="F142" i="4" s="1"/>
  <c r="E141" i="4"/>
  <c r="F141" i="4" s="1"/>
  <c r="E140" i="4"/>
  <c r="F140" i="4"/>
  <c r="E139" i="4"/>
  <c r="F139" i="4" s="1"/>
  <c r="E138" i="4"/>
  <c r="F138" i="4" s="1"/>
  <c r="F137" i="4"/>
  <c r="E137" i="4"/>
  <c r="F136" i="4"/>
  <c r="E136" i="4"/>
  <c r="F135" i="4"/>
  <c r="E135" i="4"/>
  <c r="E134" i="4"/>
  <c r="F134" i="4" s="1"/>
  <c r="E133" i="4"/>
  <c r="F133" i="4" s="1"/>
  <c r="E132" i="4"/>
  <c r="F132" i="4"/>
  <c r="F131" i="4"/>
  <c r="E131" i="4"/>
  <c r="E130" i="4"/>
  <c r="F130" i="4"/>
  <c r="E129" i="4"/>
  <c r="F129" i="4" s="1"/>
  <c r="E128" i="4"/>
  <c r="F128" i="4" s="1"/>
  <c r="E127" i="4"/>
  <c r="F127" i="4" s="1"/>
  <c r="E126" i="4"/>
  <c r="F126" i="4"/>
  <c r="E125" i="4"/>
  <c r="F125" i="4" s="1"/>
  <c r="E124" i="4"/>
  <c r="F124" i="4" s="1"/>
  <c r="E123" i="4"/>
  <c r="F123" i="4" s="1"/>
  <c r="E122" i="4"/>
  <c r="F122" i="4"/>
  <c r="E121" i="4"/>
  <c r="F121" i="4" s="1"/>
  <c r="D118" i="4"/>
  <c r="E118" i="4" s="1"/>
  <c r="C118" i="4"/>
  <c r="E117" i="4"/>
  <c r="F117" i="4" s="1"/>
  <c r="E116" i="4"/>
  <c r="F116" i="4" s="1"/>
  <c r="E115" i="4"/>
  <c r="F115" i="4"/>
  <c r="E114" i="4"/>
  <c r="F114" i="4" s="1"/>
  <c r="E113" i="4"/>
  <c r="F113" i="4" s="1"/>
  <c r="F112" i="4"/>
  <c r="E112" i="4"/>
  <c r="D109" i="4"/>
  <c r="E109" i="4" s="1"/>
  <c r="C109" i="4"/>
  <c r="E108" i="4"/>
  <c r="F108" i="4" s="1"/>
  <c r="E107" i="4"/>
  <c r="F107" i="4" s="1"/>
  <c r="E106" i="4"/>
  <c r="F106" i="4"/>
  <c r="E105" i="4"/>
  <c r="F105" i="4" s="1"/>
  <c r="E104" i="4"/>
  <c r="F104" i="4" s="1"/>
  <c r="E103" i="4"/>
  <c r="F103" i="4" s="1"/>
  <c r="F102" i="4"/>
  <c r="E102" i="4"/>
  <c r="E101" i="4"/>
  <c r="F101" i="4" s="1"/>
  <c r="E100" i="4"/>
  <c r="F100" i="4" s="1"/>
  <c r="E99" i="4"/>
  <c r="F99" i="4" s="1"/>
  <c r="E98" i="4"/>
  <c r="F98" i="4"/>
  <c r="E97" i="4"/>
  <c r="F97" i="4" s="1"/>
  <c r="E96" i="4"/>
  <c r="F96" i="4" s="1"/>
  <c r="E95" i="4"/>
  <c r="F95" i="4" s="1"/>
  <c r="E94" i="4"/>
  <c r="F94" i="4"/>
  <c r="E93" i="4"/>
  <c r="F93" i="4" s="1"/>
  <c r="E92" i="4"/>
  <c r="F92" i="4" s="1"/>
  <c r="E91" i="4"/>
  <c r="F91" i="4" s="1"/>
  <c r="F81" i="4"/>
  <c r="E81" i="4"/>
  <c r="D78" i="4"/>
  <c r="C78" i="4"/>
  <c r="E78" i="4" s="1"/>
  <c r="F78" i="4" s="1"/>
  <c r="E77" i="4"/>
  <c r="F77" i="4" s="1"/>
  <c r="E76" i="4"/>
  <c r="F76" i="4" s="1"/>
  <c r="E75" i="4"/>
  <c r="F75" i="4" s="1"/>
  <c r="E74" i="4"/>
  <c r="F74" i="4"/>
  <c r="E73" i="4"/>
  <c r="F73" i="4" s="1"/>
  <c r="E72" i="4"/>
  <c r="F72" i="4" s="1"/>
  <c r="E71" i="4"/>
  <c r="F71" i="4" s="1"/>
  <c r="E70" i="4"/>
  <c r="F70" i="4"/>
  <c r="E69" i="4"/>
  <c r="F69" i="4" s="1"/>
  <c r="E68" i="4"/>
  <c r="F68" i="4" s="1"/>
  <c r="F67" i="4"/>
  <c r="E67" i="4"/>
  <c r="E66" i="4"/>
  <c r="F66" i="4" s="1"/>
  <c r="E65" i="4"/>
  <c r="F65" i="4" s="1"/>
  <c r="E64" i="4"/>
  <c r="F64" i="4"/>
  <c r="E63" i="4"/>
  <c r="F63" i="4" s="1"/>
  <c r="E62" i="4"/>
  <c r="F62" i="4" s="1"/>
  <c r="D59" i="4"/>
  <c r="C59" i="4"/>
  <c r="E58" i="4"/>
  <c r="F58" i="4" s="1"/>
  <c r="E57" i="4"/>
  <c r="F57" i="4" s="1"/>
  <c r="F56" i="4"/>
  <c r="E56" i="4"/>
  <c r="E55" i="4"/>
  <c r="F55" i="4" s="1"/>
  <c r="E54" i="4"/>
  <c r="F54" i="4" s="1"/>
  <c r="E53" i="4"/>
  <c r="F53" i="4" s="1"/>
  <c r="F50" i="4"/>
  <c r="E50" i="4"/>
  <c r="E47" i="4"/>
  <c r="F47" i="4" s="1"/>
  <c r="E44" i="4"/>
  <c r="F44" i="4" s="1"/>
  <c r="D41" i="4"/>
  <c r="C41" i="4"/>
  <c r="E40" i="4"/>
  <c r="F40" i="4" s="1"/>
  <c r="F39" i="4"/>
  <c r="E39" i="4"/>
  <c r="E38" i="4"/>
  <c r="F38" i="4" s="1"/>
  <c r="D35" i="4"/>
  <c r="C35" i="4"/>
  <c r="E34" i="4"/>
  <c r="F34" i="4" s="1"/>
  <c r="E33" i="4"/>
  <c r="F33" i="4" s="1"/>
  <c r="D30" i="4"/>
  <c r="E30" i="4" s="1"/>
  <c r="C30" i="4"/>
  <c r="E29" i="4"/>
  <c r="F29" i="4" s="1"/>
  <c r="E28" i="4"/>
  <c r="F28" i="4" s="1"/>
  <c r="F27" i="4"/>
  <c r="E27" i="4"/>
  <c r="D24" i="4"/>
  <c r="E24" i="4" s="1"/>
  <c r="C24" i="4"/>
  <c r="E23" i="4"/>
  <c r="F23" i="4" s="1"/>
  <c r="E22" i="4"/>
  <c r="F22" i="4" s="1"/>
  <c r="E21" i="4"/>
  <c r="F21" i="4" s="1"/>
  <c r="D18" i="4"/>
  <c r="C18" i="4"/>
  <c r="F17" i="4"/>
  <c r="E17" i="4"/>
  <c r="E16" i="4"/>
  <c r="F16" i="4" s="1"/>
  <c r="E15" i="4"/>
  <c r="F15" i="4" s="1"/>
  <c r="D179" i="3"/>
  <c r="C179" i="3"/>
  <c r="F178" i="3"/>
  <c r="E178" i="3"/>
  <c r="E177" i="3"/>
  <c r="F177" i="3" s="1"/>
  <c r="E176" i="3"/>
  <c r="F176" i="3" s="1"/>
  <c r="F175" i="3"/>
  <c r="E175" i="3"/>
  <c r="E174" i="3"/>
  <c r="F174" i="3" s="1"/>
  <c r="E173" i="3"/>
  <c r="F173" i="3" s="1"/>
  <c r="E172" i="3"/>
  <c r="F172" i="3" s="1"/>
  <c r="F171" i="3"/>
  <c r="E171" i="3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F161" i="3"/>
  <c r="E161" i="3"/>
  <c r="E160" i="3"/>
  <c r="F160" i="3" s="1"/>
  <c r="E159" i="3"/>
  <c r="F159" i="3" s="1"/>
  <c r="E158" i="3"/>
  <c r="F158" i="3" s="1"/>
  <c r="F157" i="3"/>
  <c r="E157" i="3"/>
  <c r="E156" i="3"/>
  <c r="F156" i="3" s="1"/>
  <c r="E155" i="3"/>
  <c r="F155" i="3" s="1"/>
  <c r="D153" i="3"/>
  <c r="C153" i="3"/>
  <c r="F152" i="3"/>
  <c r="E152" i="3"/>
  <c r="E151" i="3"/>
  <c r="F151" i="3" s="1"/>
  <c r="E150" i="3"/>
  <c r="F150" i="3" s="1"/>
  <c r="F149" i="3"/>
  <c r="E149" i="3"/>
  <c r="E148" i="3"/>
  <c r="F148" i="3" s="1"/>
  <c r="E147" i="3"/>
  <c r="F147" i="3" s="1"/>
  <c r="E146" i="3"/>
  <c r="F146" i="3" s="1"/>
  <c r="E145" i="3"/>
  <c r="F145" i="3" s="1"/>
  <c r="E144" i="3"/>
  <c r="F144" i="3" s="1"/>
  <c r="F143" i="3"/>
  <c r="E143" i="3"/>
  <c r="E142" i="3"/>
  <c r="F142" i="3" s="1"/>
  <c r="D137" i="3"/>
  <c r="C137" i="3"/>
  <c r="F136" i="3"/>
  <c r="E136" i="3"/>
  <c r="E135" i="3"/>
  <c r="F135" i="3"/>
  <c r="E134" i="3"/>
  <c r="F134" i="3" s="1"/>
  <c r="E133" i="3"/>
  <c r="F133" i="3" s="1"/>
  <c r="E132" i="3"/>
  <c r="F132" i="3" s="1"/>
  <c r="E131" i="3"/>
  <c r="F131" i="3"/>
  <c r="E130" i="3"/>
  <c r="F130" i="3" s="1"/>
  <c r="E129" i="3"/>
  <c r="F129" i="3" s="1"/>
  <c r="E128" i="3"/>
  <c r="F128" i="3" s="1"/>
  <c r="E127" i="3"/>
  <c r="F127" i="3"/>
  <c r="E126" i="3"/>
  <c r="F126" i="3" s="1"/>
  <c r="D124" i="3"/>
  <c r="E124" i="3" s="1"/>
  <c r="C124" i="3"/>
  <c r="F123" i="3"/>
  <c r="E123" i="3"/>
  <c r="E122" i="3"/>
  <c r="F122" i="3" s="1"/>
  <c r="E121" i="3"/>
  <c r="F121" i="3"/>
  <c r="E120" i="3"/>
  <c r="F120" i="3" s="1"/>
  <c r="E119" i="3"/>
  <c r="F119" i="3" s="1"/>
  <c r="E118" i="3"/>
  <c r="F118" i="3" s="1"/>
  <c r="E117" i="3"/>
  <c r="F117" i="3"/>
  <c r="E116" i="3"/>
  <c r="F116" i="3" s="1"/>
  <c r="E115" i="3"/>
  <c r="F115" i="3" s="1"/>
  <c r="E114" i="3"/>
  <c r="F114" i="3" s="1"/>
  <c r="E113" i="3"/>
  <c r="F113" i="3"/>
  <c r="D111" i="3"/>
  <c r="C111" i="3"/>
  <c r="F110" i="3"/>
  <c r="E110" i="3"/>
  <c r="E109" i="3"/>
  <c r="F109" i="3"/>
  <c r="E108" i="3"/>
  <c r="F108" i="3" s="1"/>
  <c r="E107" i="3"/>
  <c r="F107" i="3" s="1"/>
  <c r="E106" i="3"/>
  <c r="F106" i="3" s="1"/>
  <c r="E105" i="3"/>
  <c r="F105" i="3"/>
  <c r="E104" i="3"/>
  <c r="F104" i="3" s="1"/>
  <c r="E103" i="3"/>
  <c r="F103" i="3" s="1"/>
  <c r="E102" i="3"/>
  <c r="F102" i="3" s="1"/>
  <c r="E101" i="3"/>
  <c r="F101" i="3"/>
  <c r="E100" i="3"/>
  <c r="F100" i="3" s="1"/>
  <c r="D94" i="3"/>
  <c r="E94" i="3" s="1"/>
  <c r="C94" i="3"/>
  <c r="F94" i="3" s="1"/>
  <c r="D93" i="3"/>
  <c r="E93" i="3" s="1"/>
  <c r="C93" i="3"/>
  <c r="D92" i="3"/>
  <c r="E92" i="3" s="1"/>
  <c r="C92" i="3"/>
  <c r="D91" i="3"/>
  <c r="E91" i="3" s="1"/>
  <c r="C91" i="3"/>
  <c r="D90" i="3"/>
  <c r="E90" i="3" s="1"/>
  <c r="C90" i="3"/>
  <c r="D89" i="3"/>
  <c r="E89" i="3" s="1"/>
  <c r="C89" i="3"/>
  <c r="D88" i="3"/>
  <c r="E88" i="3" s="1"/>
  <c r="C88" i="3"/>
  <c r="D87" i="3"/>
  <c r="E87" i="3" s="1"/>
  <c r="C87" i="3"/>
  <c r="D86" i="3"/>
  <c r="E86" i="3" s="1"/>
  <c r="C86" i="3"/>
  <c r="D85" i="3"/>
  <c r="E85" i="3" s="1"/>
  <c r="C85" i="3"/>
  <c r="D84" i="3"/>
  <c r="C84" i="3"/>
  <c r="C95" i="3" s="1"/>
  <c r="D81" i="3"/>
  <c r="C81" i="3"/>
  <c r="F80" i="3"/>
  <c r="E80" i="3"/>
  <c r="E79" i="3"/>
  <c r="F79" i="3" s="1"/>
  <c r="E78" i="3"/>
  <c r="F78" i="3" s="1"/>
  <c r="F77" i="3"/>
  <c r="E77" i="3"/>
  <c r="E76" i="3"/>
  <c r="F76" i="3" s="1"/>
  <c r="E75" i="3"/>
  <c r="F75" i="3" s="1"/>
  <c r="E74" i="3"/>
  <c r="F74" i="3" s="1"/>
  <c r="F73" i="3"/>
  <c r="E73" i="3"/>
  <c r="E72" i="3"/>
  <c r="F72" i="3" s="1"/>
  <c r="E71" i="3"/>
  <c r="F71" i="3" s="1"/>
  <c r="E70" i="3"/>
  <c r="F70" i="3" s="1"/>
  <c r="D68" i="3"/>
  <c r="E68" i="3" s="1"/>
  <c r="F68" i="3" s="1"/>
  <c r="C68" i="3"/>
  <c r="F67" i="3"/>
  <c r="E67" i="3"/>
  <c r="E66" i="3"/>
  <c r="F66" i="3" s="1"/>
  <c r="E65" i="3"/>
  <c r="F65" i="3" s="1"/>
  <c r="E64" i="3"/>
  <c r="F64" i="3" s="1"/>
  <c r="F63" i="3"/>
  <c r="E63" i="3"/>
  <c r="E62" i="3"/>
  <c r="F62" i="3" s="1"/>
  <c r="E61" i="3"/>
  <c r="F61" i="3" s="1"/>
  <c r="E60" i="3"/>
  <c r="F60" i="3" s="1"/>
  <c r="F59" i="3"/>
  <c r="E59" i="3"/>
  <c r="E58" i="3"/>
  <c r="F58" i="3" s="1"/>
  <c r="E57" i="3"/>
  <c r="F57" i="3" s="1"/>
  <c r="D51" i="3"/>
  <c r="E51" i="3" s="1"/>
  <c r="C51" i="3"/>
  <c r="F51" i="3" s="1"/>
  <c r="D50" i="3"/>
  <c r="E50" i="3" s="1"/>
  <c r="C50" i="3"/>
  <c r="D49" i="3"/>
  <c r="E49" i="3" s="1"/>
  <c r="C49" i="3"/>
  <c r="D48" i="3"/>
  <c r="E48" i="3" s="1"/>
  <c r="C48" i="3"/>
  <c r="D47" i="3"/>
  <c r="E47" i="3" s="1"/>
  <c r="C47" i="3"/>
  <c r="D46" i="3"/>
  <c r="E46" i="3" s="1"/>
  <c r="C46" i="3"/>
  <c r="D45" i="3"/>
  <c r="E45" i="3" s="1"/>
  <c r="C45" i="3"/>
  <c r="D44" i="3"/>
  <c r="E44" i="3" s="1"/>
  <c r="C44" i="3"/>
  <c r="D43" i="3"/>
  <c r="E43" i="3" s="1"/>
  <c r="C43" i="3"/>
  <c r="D42" i="3"/>
  <c r="E42" i="3" s="1"/>
  <c r="C42" i="3"/>
  <c r="D41" i="3"/>
  <c r="D52" i="3" s="1"/>
  <c r="C41" i="3"/>
  <c r="D38" i="3"/>
  <c r="E38" i="3" s="1"/>
  <c r="C38" i="3"/>
  <c r="F37" i="3"/>
  <c r="E37" i="3"/>
  <c r="F36" i="3"/>
  <c r="E36" i="3"/>
  <c r="E35" i="3"/>
  <c r="F35" i="3" s="1"/>
  <c r="E34" i="3"/>
  <c r="F34" i="3" s="1"/>
  <c r="E33" i="3"/>
  <c r="F33" i="3" s="1"/>
  <c r="F32" i="3"/>
  <c r="E32" i="3"/>
  <c r="E31" i="3"/>
  <c r="F31" i="3" s="1"/>
  <c r="E30" i="3"/>
  <c r="F30" i="3" s="1"/>
  <c r="E29" i="3"/>
  <c r="F29" i="3" s="1"/>
  <c r="F28" i="3"/>
  <c r="E28" i="3"/>
  <c r="E27" i="3"/>
  <c r="F27" i="3" s="1"/>
  <c r="D25" i="3"/>
  <c r="C25" i="3"/>
  <c r="F24" i="3"/>
  <c r="E24" i="3"/>
  <c r="E23" i="3"/>
  <c r="F23" i="3"/>
  <c r="E22" i="3"/>
  <c r="F22" i="3" s="1"/>
  <c r="E21" i="3"/>
  <c r="F21" i="3" s="1"/>
  <c r="E20" i="3"/>
  <c r="F20" i="3" s="1"/>
  <c r="E19" i="3"/>
  <c r="F19" i="3"/>
  <c r="E18" i="3"/>
  <c r="F18" i="3" s="1"/>
  <c r="E17" i="3"/>
  <c r="F17" i="3" s="1"/>
  <c r="E16" i="3"/>
  <c r="F16" i="3" s="1"/>
  <c r="E15" i="3"/>
  <c r="F15" i="3"/>
  <c r="E14" i="3"/>
  <c r="F14" i="3" s="1"/>
  <c r="E49" i="2"/>
  <c r="F49" i="2" s="1"/>
  <c r="D46" i="2"/>
  <c r="E46" i="2" s="1"/>
  <c r="C46" i="2"/>
  <c r="F46" i="2" s="1"/>
  <c r="F45" i="2"/>
  <c r="E45" i="2"/>
  <c r="F44" i="2"/>
  <c r="E44" i="2"/>
  <c r="D39" i="2"/>
  <c r="E39" i="2" s="1"/>
  <c r="C39" i="2"/>
  <c r="F39" i="2" s="1"/>
  <c r="E38" i="2"/>
  <c r="F38" i="2" s="1"/>
  <c r="F37" i="2"/>
  <c r="E37" i="2"/>
  <c r="E36" i="2"/>
  <c r="F36" i="2" s="1"/>
  <c r="D31" i="2"/>
  <c r="C31" i="2"/>
  <c r="E30" i="2"/>
  <c r="F30" i="2" s="1"/>
  <c r="F29" i="2"/>
  <c r="E29" i="2"/>
  <c r="E28" i="2"/>
  <c r="F28" i="2" s="1"/>
  <c r="E27" i="2"/>
  <c r="F27" i="2" s="1"/>
  <c r="E26" i="2"/>
  <c r="F26" i="2" s="1"/>
  <c r="F25" i="2"/>
  <c r="E25" i="2"/>
  <c r="E24" i="2"/>
  <c r="F24" i="2" s="1"/>
  <c r="E23" i="2"/>
  <c r="F23" i="2" s="1"/>
  <c r="E22" i="2"/>
  <c r="F22" i="2" s="1"/>
  <c r="F18" i="2"/>
  <c r="E18" i="2"/>
  <c r="E17" i="2"/>
  <c r="F17" i="2" s="1"/>
  <c r="D16" i="2"/>
  <c r="E16" i="2" s="1"/>
  <c r="F16" i="2" s="1"/>
  <c r="C16" i="2"/>
  <c r="C19" i="2" s="1"/>
  <c r="C33" i="2" s="1"/>
  <c r="F15" i="2"/>
  <c r="E15" i="2"/>
  <c r="E14" i="2"/>
  <c r="F14" i="2" s="1"/>
  <c r="F13" i="2"/>
  <c r="E13" i="2"/>
  <c r="E12" i="2"/>
  <c r="F12" i="2" s="1"/>
  <c r="D73" i="1"/>
  <c r="C73" i="1"/>
  <c r="E73" i="1" s="1"/>
  <c r="F73" i="1" s="1"/>
  <c r="E72" i="1"/>
  <c r="F72" i="1" s="1"/>
  <c r="E71" i="1"/>
  <c r="F71" i="1" s="1"/>
  <c r="F70" i="1"/>
  <c r="E70" i="1"/>
  <c r="F67" i="1"/>
  <c r="E67" i="1"/>
  <c r="E64" i="1"/>
  <c r="F64" i="1" s="1"/>
  <c r="F63" i="1"/>
  <c r="E63" i="1"/>
  <c r="D61" i="1"/>
  <c r="E61" i="1"/>
  <c r="C61" i="1"/>
  <c r="C65" i="1" s="1"/>
  <c r="F60" i="1"/>
  <c r="E60" i="1"/>
  <c r="F59" i="1"/>
  <c r="E59" i="1"/>
  <c r="D56" i="1"/>
  <c r="C56" i="1"/>
  <c r="F55" i="1"/>
  <c r="E55" i="1"/>
  <c r="F54" i="1"/>
  <c r="E54" i="1"/>
  <c r="E53" i="1"/>
  <c r="F53" i="1" s="1"/>
  <c r="F52" i="1"/>
  <c r="E52" i="1"/>
  <c r="E51" i="1"/>
  <c r="F51" i="1" s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E38" i="1" s="1"/>
  <c r="C38" i="1"/>
  <c r="C41" i="1" s="1"/>
  <c r="E37" i="1"/>
  <c r="F37" i="1" s="1"/>
  <c r="E36" i="1"/>
  <c r="F36" i="1" s="1"/>
  <c r="E33" i="1"/>
  <c r="F33" i="1"/>
  <c r="F32" i="1"/>
  <c r="E32" i="1"/>
  <c r="F31" i="1"/>
  <c r="E31" i="1"/>
  <c r="D29" i="1"/>
  <c r="C29" i="1"/>
  <c r="F29" i="1" s="1"/>
  <c r="F28" i="1"/>
  <c r="E28" i="1"/>
  <c r="F27" i="1"/>
  <c r="E27" i="1"/>
  <c r="F26" i="1"/>
  <c r="E26" i="1"/>
  <c r="F25" i="1"/>
  <c r="E25" i="1"/>
  <c r="D22" i="1"/>
  <c r="E22" i="1" s="1"/>
  <c r="F22" i="1" s="1"/>
  <c r="C22" i="1"/>
  <c r="F21" i="1"/>
  <c r="E21" i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E14" i="1"/>
  <c r="F14" i="1"/>
  <c r="E13" i="1"/>
  <c r="F13" i="1" s="1"/>
  <c r="D280" i="14"/>
  <c r="E280" i="14" s="1"/>
  <c r="F280" i="14" s="1"/>
  <c r="F165" i="14"/>
  <c r="E77" i="14"/>
  <c r="D37" i="14"/>
  <c r="C121" i="7"/>
  <c r="C208" i="6"/>
  <c r="E15" i="10"/>
  <c r="E25" i="10"/>
  <c r="E27" i="10" s="1"/>
  <c r="F59" i="12"/>
  <c r="E60" i="12"/>
  <c r="F60" i="12"/>
  <c r="E18" i="4"/>
  <c r="F18" i="4" s="1"/>
  <c r="E171" i="4"/>
  <c r="C91" i="14"/>
  <c r="C92" i="14" s="1"/>
  <c r="C49" i="14"/>
  <c r="E67" i="14"/>
  <c r="F67" i="14" s="1"/>
  <c r="C156" i="5"/>
  <c r="C152" i="5"/>
  <c r="C154" i="5"/>
  <c r="C157" i="5"/>
  <c r="C41" i="8"/>
  <c r="F41" i="8" s="1"/>
  <c r="F38" i="8"/>
  <c r="C176" i="4"/>
  <c r="F24" i="14"/>
  <c r="E24" i="14"/>
  <c r="C53" i="5"/>
  <c r="C57" i="5"/>
  <c r="C62" i="5" s="1"/>
  <c r="C43" i="5"/>
  <c r="C49" i="5"/>
  <c r="E25" i="5"/>
  <c r="E27" i="5" s="1"/>
  <c r="E15" i="5"/>
  <c r="E17" i="5" s="1"/>
  <c r="F61" i="1"/>
  <c r="C90" i="5"/>
  <c r="C86" i="5" s="1"/>
  <c r="E56" i="1"/>
  <c r="F56" i="1" s="1"/>
  <c r="E166" i="3"/>
  <c r="F166" i="3" s="1"/>
  <c r="F30" i="4"/>
  <c r="E226" i="14"/>
  <c r="F226" i="14" s="1"/>
  <c r="C227" i="14"/>
  <c r="E227" i="14" s="1"/>
  <c r="C48" i="10"/>
  <c r="C42" i="10" s="1"/>
  <c r="C59" i="10"/>
  <c r="C61" i="10" s="1"/>
  <c r="C57" i="10" s="1"/>
  <c r="E100" i="14"/>
  <c r="F100" i="14"/>
  <c r="E110" i="14"/>
  <c r="F110" i="14"/>
  <c r="E294" i="14"/>
  <c r="F294" i="14"/>
  <c r="C163" i="15"/>
  <c r="C156" i="15"/>
  <c r="C157" i="15" s="1"/>
  <c r="E151" i="15"/>
  <c r="C260" i="15"/>
  <c r="E195" i="15"/>
  <c r="E216" i="15"/>
  <c r="D240" i="15"/>
  <c r="D252" i="15" s="1"/>
  <c r="E252" i="15" s="1"/>
  <c r="D222" i="15"/>
  <c r="C252" i="15"/>
  <c r="E243" i="15"/>
  <c r="D65" i="1"/>
  <c r="E65" i="1" s="1"/>
  <c r="E62" i="6"/>
  <c r="F62" i="6" s="1"/>
  <c r="E89" i="6"/>
  <c r="E115" i="6"/>
  <c r="E141" i="6"/>
  <c r="E167" i="6"/>
  <c r="E193" i="6"/>
  <c r="F193" i="6" s="1"/>
  <c r="E199" i="6"/>
  <c r="F199" i="6" s="1"/>
  <c r="E201" i="6"/>
  <c r="F201" i="6" s="1"/>
  <c r="E203" i="6"/>
  <c r="F203" i="6" s="1"/>
  <c r="E205" i="6"/>
  <c r="F205" i="6" s="1"/>
  <c r="E107" i="7"/>
  <c r="F107" i="7" s="1"/>
  <c r="E112" i="7"/>
  <c r="F112" i="7" s="1"/>
  <c r="E114" i="7"/>
  <c r="F114" i="7" s="1"/>
  <c r="E116" i="7"/>
  <c r="F116" i="7" s="1"/>
  <c r="E118" i="7"/>
  <c r="F118" i="7" s="1"/>
  <c r="E120" i="7"/>
  <c r="F120" i="7" s="1"/>
  <c r="E38" i="8"/>
  <c r="E99" i="12"/>
  <c r="F99" i="12" s="1"/>
  <c r="E17" i="13"/>
  <c r="F17" i="13" s="1"/>
  <c r="E264" i="14"/>
  <c r="F264" i="14" s="1"/>
  <c r="E296" i="14"/>
  <c r="F296" i="14" s="1"/>
  <c r="E311" i="14"/>
  <c r="F311" i="14" s="1"/>
  <c r="E205" i="15"/>
  <c r="D210" i="15"/>
  <c r="D229" i="15"/>
  <c r="E229" i="15" s="1"/>
  <c r="E218" i="15"/>
  <c r="D217" i="15"/>
  <c r="D242" i="15"/>
  <c r="E242" i="15" s="1"/>
  <c r="D41" i="17"/>
  <c r="E39" i="17"/>
  <c r="C45" i="19"/>
  <c r="C39" i="19"/>
  <c r="C35" i="19"/>
  <c r="C29" i="19"/>
  <c r="C110" i="19"/>
  <c r="C53" i="19"/>
  <c r="E44" i="14"/>
  <c r="F44" i="14" s="1"/>
  <c r="C90" i="14"/>
  <c r="E48" i="14"/>
  <c r="F48" i="14" s="1"/>
  <c r="C193" i="14"/>
  <c r="C282" i="14" s="1"/>
  <c r="C192" i="14"/>
  <c r="C124" i="14"/>
  <c r="E124" i="14" s="1"/>
  <c r="F124" i="14" s="1"/>
  <c r="E123" i="14"/>
  <c r="F123" i="14"/>
  <c r="C277" i="14"/>
  <c r="C261" i="14"/>
  <c r="C254" i="14"/>
  <c r="C206" i="14"/>
  <c r="C190" i="14"/>
  <c r="F188" i="14"/>
  <c r="E188" i="14"/>
  <c r="E298" i="14"/>
  <c r="F298" i="14" s="1"/>
  <c r="E41" i="15"/>
  <c r="C43" i="15"/>
  <c r="C44" i="15" s="1"/>
  <c r="D55" i="15"/>
  <c r="E55" i="15" s="1"/>
  <c r="E54" i="15"/>
  <c r="D83" i="4"/>
  <c r="C214" i="14"/>
  <c r="E33" i="11"/>
  <c r="E36" i="11" s="1"/>
  <c r="E38" i="11" s="1"/>
  <c r="E40" i="11" s="1"/>
  <c r="G17" i="11"/>
  <c r="E31" i="11"/>
  <c r="E53" i="14"/>
  <c r="F53" i="14"/>
  <c r="E135" i="14"/>
  <c r="F135" i="14"/>
  <c r="C280" i="14"/>
  <c r="E191" i="14"/>
  <c r="F191" i="14" s="1"/>
  <c r="E198" i="14"/>
  <c r="C199" i="14"/>
  <c r="C274" i="14"/>
  <c r="C290" i="14"/>
  <c r="F198" i="14"/>
  <c r="E229" i="14"/>
  <c r="F229" i="14" s="1"/>
  <c r="D189" i="15"/>
  <c r="D261" i="15"/>
  <c r="E261" i="15" s="1"/>
  <c r="E188" i="15"/>
  <c r="E215" i="15"/>
  <c r="C239" i="15"/>
  <c r="E239" i="15" s="1"/>
  <c r="D15" i="5"/>
  <c r="D77" i="5"/>
  <c r="D71" i="5" s="1"/>
  <c r="E37" i="6"/>
  <c r="F198" i="6"/>
  <c r="F200" i="6"/>
  <c r="F202" i="6"/>
  <c r="E36" i="7"/>
  <c r="F36" i="7" s="1"/>
  <c r="E60" i="7"/>
  <c r="F60" i="7" s="1"/>
  <c r="E84" i="7"/>
  <c r="F113" i="7"/>
  <c r="F119" i="7"/>
  <c r="C43" i="8"/>
  <c r="F43" i="8" s="1"/>
  <c r="F84" i="12"/>
  <c r="F145" i="14"/>
  <c r="C300" i="14"/>
  <c r="C146" i="14"/>
  <c r="D33" i="15"/>
  <c r="E32" i="15"/>
  <c r="E251" i="15"/>
  <c r="D175" i="14"/>
  <c r="D176" i="14" s="1"/>
  <c r="D62" i="14"/>
  <c r="D210" i="14"/>
  <c r="D254" i="14"/>
  <c r="E254" i="14" s="1"/>
  <c r="F254" i="14" s="1"/>
  <c r="E214" i="14"/>
  <c r="D207" i="6"/>
  <c r="E207" i="6" s="1"/>
  <c r="F207" i="6" s="1"/>
  <c r="D208" i="6"/>
  <c r="E208" i="6"/>
  <c r="F208" i="6" s="1"/>
  <c r="D121" i="7"/>
  <c r="E121" i="7"/>
  <c r="D122" i="7"/>
  <c r="F158" i="14"/>
  <c r="D223" i="15"/>
  <c r="E223" i="15" s="1"/>
  <c r="E314" i="15"/>
  <c r="C41" i="17"/>
  <c r="C145" i="15"/>
  <c r="C169" i="15" s="1"/>
  <c r="D157" i="15"/>
  <c r="E157" i="15" s="1"/>
  <c r="D41" i="8"/>
  <c r="E41" i="8" s="1"/>
  <c r="C304" i="14"/>
  <c r="F52" i="14"/>
  <c r="F66" i="14"/>
  <c r="C68" i="14"/>
  <c r="E68" i="14" s="1"/>
  <c r="F68" i="14" s="1"/>
  <c r="C111" i="14"/>
  <c r="F130" i="14"/>
  <c r="C172" i="14"/>
  <c r="C266" i="14"/>
  <c r="C265" i="14" s="1"/>
  <c r="E163" i="15"/>
  <c r="C283" i="15"/>
  <c r="E283" i="15" s="1"/>
  <c r="E326" i="15"/>
  <c r="C285" i="14"/>
  <c r="E204" i="14"/>
  <c r="F204" i="14"/>
  <c r="C269" i="14"/>
  <c r="D71" i="15"/>
  <c r="D65" i="15"/>
  <c r="D66" i="15" s="1"/>
  <c r="D289" i="15"/>
  <c r="E289" i="15"/>
  <c r="E60" i="15"/>
  <c r="D144" i="15"/>
  <c r="E144" i="15" s="1"/>
  <c r="D175" i="15"/>
  <c r="E139" i="15"/>
  <c r="E231" i="15"/>
  <c r="C37" i="16"/>
  <c r="C38" i="16"/>
  <c r="C127" i="16" s="1"/>
  <c r="C129" i="16" s="1"/>
  <c r="C133" i="16" s="1"/>
  <c r="C22" i="16"/>
  <c r="C108" i="19"/>
  <c r="C109" i="19"/>
  <c r="D209" i="14"/>
  <c r="D174" i="14"/>
  <c r="E144" i="14"/>
  <c r="F144" i="14" s="1"/>
  <c r="E164" i="14"/>
  <c r="F164" i="14" s="1"/>
  <c r="F171" i="14"/>
  <c r="C215" i="14"/>
  <c r="F230" i="14"/>
  <c r="C239" i="14"/>
  <c r="F297" i="14"/>
  <c r="F307" i="14"/>
  <c r="D283" i="15"/>
  <c r="C168" i="15"/>
  <c r="C253" i="15"/>
  <c r="D244" i="15"/>
  <c r="E244" i="15" s="1"/>
  <c r="E260" i="15"/>
  <c r="C303" i="15"/>
  <c r="C306" i="15" s="1"/>
  <c r="D303" i="15"/>
  <c r="E303" i="15" s="1"/>
  <c r="D90" i="14"/>
  <c r="C33" i="19"/>
  <c r="D34" i="19"/>
  <c r="C101" i="19"/>
  <c r="D102" i="19"/>
  <c r="D103" i="19" s="1"/>
  <c r="D125" i="14"/>
  <c r="D138" i="14"/>
  <c r="D140" i="14" s="1"/>
  <c r="D141" i="14" s="1"/>
  <c r="D322" i="14" s="1"/>
  <c r="D267" i="14"/>
  <c r="D277" i="14"/>
  <c r="D285" i="14"/>
  <c r="E285" i="14" s="1"/>
  <c r="F285" i="14" s="1"/>
  <c r="D22" i="19"/>
  <c r="E30" i="19"/>
  <c r="E48" i="19" s="1"/>
  <c r="E36" i="19"/>
  <c r="E40" i="19"/>
  <c r="E46" i="19"/>
  <c r="C54" i="19"/>
  <c r="D160" i="14"/>
  <c r="D192" i="14"/>
  <c r="E192" i="14" s="1"/>
  <c r="F192" i="14" s="1"/>
  <c r="D200" i="14"/>
  <c r="D206" i="14"/>
  <c r="E206" i="14" s="1"/>
  <c r="F206" i="14" s="1"/>
  <c r="D274" i="14"/>
  <c r="E274" i="14" s="1"/>
  <c r="F274" i="14" s="1"/>
  <c r="C222" i="15"/>
  <c r="E222" i="15" s="1"/>
  <c r="E19" i="17"/>
  <c r="F19" i="17" s="1"/>
  <c r="E43" i="17"/>
  <c r="F43" i="17" s="1"/>
  <c r="D23" i="19"/>
  <c r="C111" i="19"/>
  <c r="D199" i="14"/>
  <c r="E199" i="14"/>
  <c r="D205" i="14"/>
  <c r="D215" i="14"/>
  <c r="D216" i="14" s="1"/>
  <c r="E216" i="14" s="1"/>
  <c r="F216" i="14" s="1"/>
  <c r="D261" i="14"/>
  <c r="C30" i="19"/>
  <c r="C48" i="19" s="1"/>
  <c r="C36" i="19"/>
  <c r="C40" i="19"/>
  <c r="D190" i="14"/>
  <c r="E190" i="14" s="1"/>
  <c r="F190" i="14" s="1"/>
  <c r="D288" i="14"/>
  <c r="D291" i="14" s="1"/>
  <c r="D305" i="14" s="1"/>
  <c r="D309" i="14" s="1"/>
  <c r="D46" i="19"/>
  <c r="D40" i="19"/>
  <c r="D36" i="19"/>
  <c r="D30" i="19"/>
  <c r="D56" i="19" s="1"/>
  <c r="D54" i="19"/>
  <c r="D53" i="19"/>
  <c r="D45" i="19"/>
  <c r="D39" i="19"/>
  <c r="D35" i="19"/>
  <c r="D29" i="19"/>
  <c r="D47" i="19" s="1"/>
  <c r="E239" i="14"/>
  <c r="F239" i="14" s="1"/>
  <c r="D168" i="15"/>
  <c r="E168" i="15" s="1"/>
  <c r="D180" i="15"/>
  <c r="D145" i="15"/>
  <c r="E145" i="15" s="1"/>
  <c r="D76" i="15"/>
  <c r="D77" i="15" s="1"/>
  <c r="D17" i="5"/>
  <c r="D24" i="5"/>
  <c r="D20" i="5"/>
  <c r="C112" i="19"/>
  <c r="C55" i="19"/>
  <c r="C47" i="19"/>
  <c r="C37" i="19"/>
  <c r="F39" i="17"/>
  <c r="C41" i="2"/>
  <c r="C50" i="14"/>
  <c r="D286" i="14"/>
  <c r="F199" i="14"/>
  <c r="D300" i="14"/>
  <c r="E300" i="14" s="1"/>
  <c r="F300" i="14" s="1"/>
  <c r="F121" i="7"/>
  <c r="E38" i="19"/>
  <c r="E56" i="19"/>
  <c r="D306" i="15"/>
  <c r="D310" i="15" s="1"/>
  <c r="C173" i="14"/>
  <c r="E172" i="14"/>
  <c r="F172" i="14" s="1"/>
  <c r="D63" i="14"/>
  <c r="E146" i="14"/>
  <c r="F146" i="14" s="1"/>
  <c r="F214" i="14"/>
  <c r="C216" i="14"/>
  <c r="D241" i="15"/>
  <c r="E240" i="15"/>
  <c r="D294" i="15"/>
  <c r="C223" i="15"/>
  <c r="D270" i="14"/>
  <c r="D287" i="14"/>
  <c r="D279" i="14"/>
  <c r="D284" i="14"/>
  <c r="E277" i="14"/>
  <c r="F277" i="14" s="1"/>
  <c r="E111" i="14"/>
  <c r="F111" i="14" s="1"/>
  <c r="D211" i="14"/>
  <c r="C194" i="14"/>
  <c r="C196" i="14" s="1"/>
  <c r="D234" i="15"/>
  <c r="D211" i="15"/>
  <c r="D246" i="15"/>
  <c r="E24" i="5"/>
  <c r="E24" i="10"/>
  <c r="E17" i="10"/>
  <c r="E28" i="10" s="1"/>
  <c r="E290" i="14"/>
  <c r="F290" i="14" s="1"/>
  <c r="D284" i="15"/>
  <c r="D263" i="14"/>
  <c r="C56" i="19"/>
  <c r="C38" i="19"/>
  <c r="D255" i="14"/>
  <c r="D193" i="14"/>
  <c r="E193" i="14" s="1"/>
  <c r="F193" i="14" s="1"/>
  <c r="E269" i="14"/>
  <c r="F269" i="14" s="1"/>
  <c r="E33" i="15"/>
  <c r="E20" i="10"/>
  <c r="E21" i="10"/>
  <c r="D139" i="14"/>
  <c r="C254" i="15"/>
  <c r="E173" i="14"/>
  <c r="F173" i="14" s="1"/>
  <c r="C48" i="2"/>
  <c r="D181" i="15"/>
  <c r="D169" i="15"/>
  <c r="D37" i="19"/>
  <c r="D48" i="19"/>
  <c r="D289" i="14"/>
  <c r="D194" i="14"/>
  <c r="D195" i="14" s="1"/>
  <c r="E195" i="14" s="1"/>
  <c r="F195" i="14" s="1"/>
  <c r="D282" i="14"/>
  <c r="D281" i="14" s="1"/>
  <c r="D235" i="15"/>
  <c r="C195" i="14"/>
  <c r="D112" i="5"/>
  <c r="D111" i="5" s="1"/>
  <c r="D28" i="5"/>
  <c r="D99" i="5" s="1"/>
  <c r="D101" i="5" s="1"/>
  <c r="D98" i="5" s="1"/>
  <c r="E194" i="14"/>
  <c r="F194" i="14" s="1"/>
  <c r="D22" i="5"/>
  <c r="E21" i="5" l="1"/>
  <c r="E70" i="10"/>
  <c r="E72" i="10" s="1"/>
  <c r="E69" i="10" s="1"/>
  <c r="E22" i="10"/>
  <c r="D126" i="15"/>
  <c r="D115" i="15"/>
  <c r="D124" i="15"/>
  <c r="D109" i="15"/>
  <c r="D114" i="15"/>
  <c r="D112" i="15"/>
  <c r="D110" i="15"/>
  <c r="D111" i="15"/>
  <c r="D125" i="15"/>
  <c r="D127" i="15"/>
  <c r="D122" i="15"/>
  <c r="D113" i="15"/>
  <c r="D123" i="15"/>
  <c r="D121" i="15"/>
  <c r="D247" i="15"/>
  <c r="D295" i="15"/>
  <c r="C258" i="15"/>
  <c r="C87" i="15"/>
  <c r="C100" i="15"/>
  <c r="C89" i="15"/>
  <c r="C97" i="15"/>
  <c r="C95" i="15"/>
  <c r="C99" i="15"/>
  <c r="C101" i="15"/>
  <c r="C83" i="15"/>
  <c r="C86" i="15"/>
  <c r="C88" i="15"/>
  <c r="C98" i="15"/>
  <c r="C96" i="15"/>
  <c r="C85" i="15"/>
  <c r="C84" i="15"/>
  <c r="C281" i="14"/>
  <c r="E281" i="14" s="1"/>
  <c r="F281" i="14" s="1"/>
  <c r="E282" i="14"/>
  <c r="F282" i="14" s="1"/>
  <c r="E112" i="5"/>
  <c r="E111" i="5" s="1"/>
  <c r="E28" i="5"/>
  <c r="E99" i="5" s="1"/>
  <c r="E101" i="5" s="1"/>
  <c r="E98" i="5" s="1"/>
  <c r="E20" i="5"/>
  <c r="E84" i="3"/>
  <c r="D95" i="3"/>
  <c r="E95" i="3" s="1"/>
  <c r="C155" i="5"/>
  <c r="C153" i="5"/>
  <c r="C158" i="5" s="1"/>
  <c r="D166" i="5"/>
  <c r="F16" i="9"/>
  <c r="C19" i="9"/>
  <c r="D25" i="10"/>
  <c r="D27" i="10" s="1"/>
  <c r="D15" i="10"/>
  <c r="C210" i="15"/>
  <c r="D21" i="14"/>
  <c r="E20" i="14"/>
  <c r="F20" i="14" s="1"/>
  <c r="E169" i="15"/>
  <c r="D266" i="14"/>
  <c r="D38" i="19"/>
  <c r="D55" i="19"/>
  <c r="C126" i="14"/>
  <c r="F227" i="14"/>
  <c r="E215" i="14"/>
  <c r="F215" i="14" s="1"/>
  <c r="C113" i="19"/>
  <c r="E261" i="14"/>
  <c r="F261" i="14" s="1"/>
  <c r="D271" i="14"/>
  <c r="D268" i="14"/>
  <c r="C125" i="14"/>
  <c r="G33" i="11"/>
  <c r="G36" i="11" s="1"/>
  <c r="G38" i="11" s="1"/>
  <c r="G40" i="11" s="1"/>
  <c r="D43" i="8"/>
  <c r="E43" i="8" s="1"/>
  <c r="E90" i="14"/>
  <c r="F90" i="14" s="1"/>
  <c r="E156" i="15"/>
  <c r="D19" i="2"/>
  <c r="C83" i="4"/>
  <c r="E29" i="1"/>
  <c r="E31" i="2"/>
  <c r="E25" i="3"/>
  <c r="F25" i="3" s="1"/>
  <c r="E59" i="4"/>
  <c r="F59" i="4" s="1"/>
  <c r="C109" i="5"/>
  <c r="C106" i="5" s="1"/>
  <c r="E109" i="5"/>
  <c r="E106" i="5" s="1"/>
  <c r="C149" i="5"/>
  <c r="F63" i="6"/>
  <c r="E206" i="6"/>
  <c r="F206" i="6" s="1"/>
  <c r="E35" i="7"/>
  <c r="F35" i="7" s="1"/>
  <c r="E117" i="7"/>
  <c r="F117" i="7" s="1"/>
  <c r="E61" i="8"/>
  <c r="D65" i="8"/>
  <c r="D75" i="8" s="1"/>
  <c r="C27" i="10"/>
  <c r="C20" i="10" s="1"/>
  <c r="E109" i="14"/>
  <c r="F109" i="14" s="1"/>
  <c r="E129" i="14"/>
  <c r="F129" i="14" s="1"/>
  <c r="F38" i="3"/>
  <c r="F42" i="3"/>
  <c r="F43" i="3"/>
  <c r="F44" i="3"/>
  <c r="F45" i="3"/>
  <c r="F46" i="3"/>
  <c r="F47" i="3"/>
  <c r="F48" i="3"/>
  <c r="F49" i="3"/>
  <c r="F50" i="3"/>
  <c r="E81" i="3"/>
  <c r="F85" i="3"/>
  <c r="F86" i="3"/>
  <c r="F87" i="3"/>
  <c r="F88" i="3"/>
  <c r="F89" i="3"/>
  <c r="F90" i="3"/>
  <c r="F91" i="3"/>
  <c r="F92" i="3"/>
  <c r="F93" i="3"/>
  <c r="E111" i="3"/>
  <c r="F111" i="3" s="1"/>
  <c r="F124" i="3"/>
  <c r="E137" i="3"/>
  <c r="F137" i="3" s="1"/>
  <c r="E153" i="3"/>
  <c r="E179" i="3"/>
  <c r="F24" i="4"/>
  <c r="E35" i="4"/>
  <c r="F35" i="4" s="1"/>
  <c r="E41" i="4"/>
  <c r="F109" i="4"/>
  <c r="F118" i="4"/>
  <c r="E155" i="4"/>
  <c r="C71" i="5"/>
  <c r="C79" i="5"/>
  <c r="E79" i="5"/>
  <c r="D149" i="5"/>
  <c r="E23" i="6"/>
  <c r="E24" i="6"/>
  <c r="E49" i="6"/>
  <c r="F49" i="6" s="1"/>
  <c r="E102" i="6"/>
  <c r="E192" i="6"/>
  <c r="F192" i="6" s="1"/>
  <c r="E204" i="6"/>
  <c r="F204" i="6" s="1"/>
  <c r="E23" i="7"/>
  <c r="E24" i="7"/>
  <c r="E59" i="7"/>
  <c r="F59" i="7" s="1"/>
  <c r="E71" i="7"/>
  <c r="E72" i="7"/>
  <c r="E108" i="7"/>
  <c r="F108" i="7" s="1"/>
  <c r="E115" i="7"/>
  <c r="F115" i="7" s="1"/>
  <c r="E56" i="8"/>
  <c r="E73" i="8"/>
  <c r="E16" i="9"/>
  <c r="E31" i="9"/>
  <c r="E39" i="9"/>
  <c r="D80" i="10"/>
  <c r="D77" i="10" s="1"/>
  <c r="E30" i="12"/>
  <c r="F30" i="12" s="1"/>
  <c r="E37" i="12"/>
  <c r="F37" i="12" s="1"/>
  <c r="E50" i="12"/>
  <c r="F50" i="12" s="1"/>
  <c r="E70" i="12"/>
  <c r="F70" i="12" s="1"/>
  <c r="E21" i="13"/>
  <c r="F21" i="13" s="1"/>
  <c r="F17" i="14"/>
  <c r="E35" i="14"/>
  <c r="F35" i="14" s="1"/>
  <c r="C37" i="14"/>
  <c r="C283" i="14"/>
  <c r="C267" i="14"/>
  <c r="E267" i="14" s="1"/>
  <c r="E36" i="15"/>
  <c r="D102" i="14"/>
  <c r="E101" i="14"/>
  <c r="F101" i="14" s="1"/>
  <c r="E23" i="14"/>
  <c r="F23" i="14" s="1"/>
  <c r="E29" i="14"/>
  <c r="F29" i="14" s="1"/>
  <c r="E47" i="14"/>
  <c r="F47" i="14" s="1"/>
  <c r="E94" i="14"/>
  <c r="E155" i="14"/>
  <c r="F155" i="14" s="1"/>
  <c r="F170" i="14"/>
  <c r="C181" i="14"/>
  <c r="E223" i="14"/>
  <c r="E21" i="15"/>
  <c r="E39" i="15"/>
  <c r="E72" i="15"/>
  <c r="E74" i="15"/>
  <c r="E161" i="15"/>
  <c r="E165" i="15"/>
  <c r="E167" i="15"/>
  <c r="E174" i="15"/>
  <c r="E176" i="15"/>
  <c r="E177" i="15"/>
  <c r="E178" i="15"/>
  <c r="E179" i="15"/>
  <c r="E221" i="15"/>
  <c r="E227" i="15"/>
  <c r="E228" i="15"/>
  <c r="E233" i="15"/>
  <c r="E277" i="15"/>
  <c r="E291" i="15"/>
  <c r="E293" i="15"/>
  <c r="E20" i="17"/>
  <c r="F20" i="17" s="1"/>
  <c r="E40" i="17"/>
  <c r="E22" i="19"/>
  <c r="E77" i="19"/>
  <c r="C102" i="19"/>
  <c r="C103" i="19" s="1"/>
  <c r="E102" i="19"/>
  <c r="C93" i="19"/>
  <c r="E93" i="19"/>
  <c r="C98" i="19"/>
  <c r="E98" i="19"/>
  <c r="D272" i="14"/>
  <c r="C310" i="15"/>
  <c r="E310" i="15" s="1"/>
  <c r="E306" i="15"/>
  <c r="F31" i="2"/>
  <c r="F81" i="3"/>
  <c r="F95" i="3"/>
  <c r="F153" i="3"/>
  <c r="F179" i="3"/>
  <c r="F41" i="4"/>
  <c r="F155" i="4"/>
  <c r="C28" i="5"/>
  <c r="C99" i="5" s="1"/>
  <c r="C101" i="5" s="1"/>
  <c r="C112" i="5"/>
  <c r="C111" i="5" s="1"/>
  <c r="C98" i="5"/>
  <c r="E137" i="5"/>
  <c r="E136" i="5"/>
  <c r="E138" i="5"/>
  <c r="E140" i="5"/>
  <c r="E139" i="5"/>
  <c r="E135" i="5"/>
  <c r="E156" i="5"/>
  <c r="E157" i="5"/>
  <c r="E152" i="5"/>
  <c r="E154" i="5"/>
  <c r="E155" i="5"/>
  <c r="E153" i="5"/>
  <c r="D157" i="5"/>
  <c r="D152" i="5"/>
  <c r="D154" i="5"/>
  <c r="D153" i="5"/>
  <c r="D156" i="5"/>
  <c r="D155" i="5"/>
  <c r="C43" i="1"/>
  <c r="F65" i="1"/>
  <c r="C75" i="1"/>
  <c r="C21" i="5"/>
  <c r="C22" i="5"/>
  <c r="D136" i="5"/>
  <c r="D139" i="5"/>
  <c r="D135" i="5"/>
  <c r="D140" i="5"/>
  <c r="D138" i="5"/>
  <c r="D137" i="5"/>
  <c r="C137" i="5"/>
  <c r="C139" i="5"/>
  <c r="C138" i="5"/>
  <c r="C140" i="5"/>
  <c r="C135" i="5"/>
  <c r="C136" i="5"/>
  <c r="D75" i="1"/>
  <c r="E75" i="1" s="1"/>
  <c r="F38" i="1"/>
  <c r="D41" i="1"/>
  <c r="E41" i="3"/>
  <c r="F41" i="3" s="1"/>
  <c r="F84" i="3"/>
  <c r="D176" i="4"/>
  <c r="E176" i="4" s="1"/>
  <c r="F176" i="4" s="1"/>
  <c r="C24" i="5"/>
  <c r="C20" i="5" s="1"/>
  <c r="D57" i="5"/>
  <c r="D62" i="5" s="1"/>
  <c r="E43" i="5"/>
  <c r="D43" i="5"/>
  <c r="E49" i="5"/>
  <c r="E53" i="5"/>
  <c r="E77" i="5"/>
  <c r="E71" i="5" s="1"/>
  <c r="F23" i="6"/>
  <c r="F24" i="6"/>
  <c r="E50" i="6"/>
  <c r="F50" i="6" s="1"/>
  <c r="F23" i="7"/>
  <c r="F24" i="7"/>
  <c r="C52" i="3"/>
  <c r="D49" i="5"/>
  <c r="E75" i="6"/>
  <c r="F75" i="6" s="1"/>
  <c r="E76" i="6"/>
  <c r="F76" i="6" s="1"/>
  <c r="E127" i="6"/>
  <c r="F127" i="6" s="1"/>
  <c r="E128" i="6"/>
  <c r="F128" i="6" s="1"/>
  <c r="E179" i="6"/>
  <c r="E180" i="6"/>
  <c r="E47" i="7"/>
  <c r="E48" i="7"/>
  <c r="C21" i="10"/>
  <c r="C22" i="10"/>
  <c r="C32" i="14"/>
  <c r="E31" i="14"/>
  <c r="F31" i="14" s="1"/>
  <c r="C61" i="14"/>
  <c r="E60" i="14"/>
  <c r="F60" i="14" s="1"/>
  <c r="F95" i="7"/>
  <c r="F96" i="7"/>
  <c r="F16" i="12"/>
  <c r="F23" i="12"/>
  <c r="F45" i="12"/>
  <c r="F55" i="12"/>
  <c r="F65" i="12"/>
  <c r="F75" i="12"/>
  <c r="F92" i="12"/>
  <c r="F13" i="13"/>
  <c r="C122" i="7"/>
  <c r="C65" i="8"/>
  <c r="F65" i="8" s="1"/>
  <c r="F73" i="8"/>
  <c r="D19" i="9"/>
  <c r="C15" i="10"/>
  <c r="E48" i="10"/>
  <c r="E42" i="10" s="1"/>
  <c r="F17" i="11"/>
  <c r="F73" i="12"/>
  <c r="E36" i="14"/>
  <c r="F36" i="14" s="1"/>
  <c r="E76" i="14"/>
  <c r="F76" i="14" s="1"/>
  <c r="E85" i="14"/>
  <c r="F85" i="14" s="1"/>
  <c r="E88" i="14"/>
  <c r="F88" i="14" s="1"/>
  <c r="F94" i="14"/>
  <c r="F136" i="14"/>
  <c r="C137" i="14"/>
  <c r="C159" i="14"/>
  <c r="E179" i="14"/>
  <c r="F189" i="14"/>
  <c r="C200" i="14"/>
  <c r="E203" i="14"/>
  <c r="F203" i="14" s="1"/>
  <c r="C205" i="14"/>
  <c r="F223" i="14"/>
  <c r="E237" i="14"/>
  <c r="F237" i="14" s="1"/>
  <c r="F238" i="14"/>
  <c r="C306" i="14"/>
  <c r="F250" i="14"/>
  <c r="C255" i="14"/>
  <c r="C262" i="14"/>
  <c r="C278" i="14"/>
  <c r="F299" i="14"/>
  <c r="C22" i="15"/>
  <c r="D43" i="15"/>
  <c r="E38" i="15"/>
  <c r="E40" i="15"/>
  <c r="E302" i="15"/>
  <c r="E316" i="15"/>
  <c r="D320" i="15"/>
  <c r="E320" i="15" s="1"/>
  <c r="E330" i="15"/>
  <c r="C65" i="16"/>
  <c r="C114" i="16" s="1"/>
  <c r="C116" i="16" s="1"/>
  <c r="C119" i="16" s="1"/>
  <c r="C123" i="16" s="1"/>
  <c r="D33" i="11"/>
  <c r="C31" i="11"/>
  <c r="G31" i="11" s="1"/>
  <c r="E30" i="14"/>
  <c r="F30" i="14" s="1"/>
  <c r="E59" i="14"/>
  <c r="F59" i="14" s="1"/>
  <c r="F179" i="14"/>
  <c r="E89" i="14"/>
  <c r="F89" i="14" s="1"/>
  <c r="C65" i="15"/>
  <c r="C71" i="15"/>
  <c r="C175" i="15"/>
  <c r="E175" i="15" s="1"/>
  <c r="C211" i="15"/>
  <c r="C217" i="15"/>
  <c r="E219" i="15"/>
  <c r="D245" i="15"/>
  <c r="E324" i="15"/>
  <c r="C49" i="16"/>
  <c r="E16" i="17"/>
  <c r="F16" i="17" s="1"/>
  <c r="E44" i="17"/>
  <c r="E45" i="17"/>
  <c r="F45" i="17" s="1"/>
  <c r="D77" i="19"/>
  <c r="E69" i="15"/>
  <c r="C189" i="15"/>
  <c r="E189" i="15" s="1"/>
  <c r="E265" i="15"/>
  <c r="E36" i="17"/>
  <c r="F36" i="17" s="1"/>
  <c r="E101" i="19"/>
  <c r="E103" i="19" s="1"/>
  <c r="E53" i="19" l="1"/>
  <c r="E35" i="19"/>
  <c r="E45" i="19"/>
  <c r="E110" i="19"/>
  <c r="E29" i="19"/>
  <c r="E39" i="19"/>
  <c r="E283" i="14"/>
  <c r="C284" i="14"/>
  <c r="E284" i="14" s="1"/>
  <c r="F284" i="14" s="1"/>
  <c r="F283" i="14"/>
  <c r="C286" i="14"/>
  <c r="E286" i="14" s="1"/>
  <c r="F286" i="14" s="1"/>
  <c r="C287" i="14"/>
  <c r="E19" i="2"/>
  <c r="F19" i="2" s="1"/>
  <c r="D33" i="2"/>
  <c r="F125" i="14"/>
  <c r="E125" i="14"/>
  <c r="D304" i="14"/>
  <c r="D273" i="14"/>
  <c r="E266" i="14"/>
  <c r="F266" i="14" s="1"/>
  <c r="D265" i="14"/>
  <c r="E265" i="14" s="1"/>
  <c r="F265" i="14" s="1"/>
  <c r="D126" i="14"/>
  <c r="D161" i="14"/>
  <c r="D162" i="14" s="1"/>
  <c r="D49" i="14"/>
  <c r="D91" i="14"/>
  <c r="E21" i="14"/>
  <c r="F21" i="14" s="1"/>
  <c r="D196" i="14"/>
  <c r="D21" i="10"/>
  <c r="D22" i="10"/>
  <c r="D20" i="10"/>
  <c r="C90" i="15"/>
  <c r="C91" i="15" s="1"/>
  <c r="C105" i="15" s="1"/>
  <c r="C102" i="15"/>
  <c r="C103" i="15" s="1"/>
  <c r="D128" i="15"/>
  <c r="D129" i="15" s="1"/>
  <c r="D116" i="15"/>
  <c r="E22" i="5"/>
  <c r="E109" i="19"/>
  <c r="E111" i="19"/>
  <c r="E108" i="19"/>
  <c r="F40" i="17"/>
  <c r="E41" i="17"/>
  <c r="F41" i="17" s="1"/>
  <c r="F181" i="14"/>
  <c r="E181" i="14"/>
  <c r="D103" i="14"/>
  <c r="E102" i="14"/>
  <c r="F102" i="14" s="1"/>
  <c r="C268" i="14"/>
  <c r="C270" i="14"/>
  <c r="E270" i="14" s="1"/>
  <c r="F270" i="14" s="1"/>
  <c r="F267" i="14"/>
  <c r="E37" i="14"/>
  <c r="F37" i="14" s="1"/>
  <c r="E113" i="19"/>
  <c r="C127" i="14"/>
  <c r="C234" i="15"/>
  <c r="E234" i="15" s="1"/>
  <c r="C180" i="15"/>
  <c r="E180" i="15" s="1"/>
  <c r="E210" i="15"/>
  <c r="D24" i="10"/>
  <c r="D17" i="10"/>
  <c r="D28" i="10" s="1"/>
  <c r="D70" i="10" s="1"/>
  <c r="D72" i="10" s="1"/>
  <c r="F19" i="9"/>
  <c r="C33" i="9"/>
  <c r="E83" i="4"/>
  <c r="F83" i="4" s="1"/>
  <c r="C271" i="14"/>
  <c r="D117" i="15"/>
  <c r="C76" i="15"/>
  <c r="E71" i="15"/>
  <c r="D108" i="19"/>
  <c r="D110" i="19"/>
  <c r="D112" i="19"/>
  <c r="D109" i="19"/>
  <c r="D111" i="19"/>
  <c r="D113" i="19"/>
  <c r="E46" i="17"/>
  <c r="F46" i="17" s="1"/>
  <c r="E245" i="15"/>
  <c r="D253" i="15"/>
  <c r="C241" i="15"/>
  <c r="E241" i="15" s="1"/>
  <c r="E217" i="15"/>
  <c r="C66" i="15"/>
  <c r="E65" i="15"/>
  <c r="E43" i="15"/>
  <c r="D259" i="15"/>
  <c r="D44" i="15"/>
  <c r="C284" i="15"/>
  <c r="E284" i="15" s="1"/>
  <c r="E22" i="15"/>
  <c r="C288" i="14"/>
  <c r="C279" i="14"/>
  <c r="E278" i="14"/>
  <c r="F278" i="14" s="1"/>
  <c r="E306" i="14"/>
  <c r="E205" i="14"/>
  <c r="F205" i="14"/>
  <c r="E200" i="14"/>
  <c r="F200" i="14"/>
  <c r="C138" i="14"/>
  <c r="F137" i="14"/>
  <c r="E137" i="14"/>
  <c r="C207" i="14"/>
  <c r="C24" i="10"/>
  <c r="C17" i="10"/>
  <c r="C28" i="10" s="1"/>
  <c r="C70" i="10" s="1"/>
  <c r="C72" i="10" s="1"/>
  <c r="C75" i="8"/>
  <c r="F31" i="11"/>
  <c r="E41" i="1"/>
  <c r="F41" i="1" s="1"/>
  <c r="D43" i="1"/>
  <c r="E43" i="1" s="1"/>
  <c r="F43" i="1" s="1"/>
  <c r="C141" i="5"/>
  <c r="D141" i="5"/>
  <c r="D158" i="5"/>
  <c r="E141" i="5"/>
  <c r="C246" i="15"/>
  <c r="E246" i="15" s="1"/>
  <c r="E255" i="14"/>
  <c r="F255" i="14" s="1"/>
  <c r="C235" i="15"/>
  <c r="E235" i="15" s="1"/>
  <c r="C181" i="15"/>
  <c r="E181" i="15" s="1"/>
  <c r="E211" i="15"/>
  <c r="F33" i="11"/>
  <c r="F36" i="11" s="1"/>
  <c r="F38" i="11" s="1"/>
  <c r="F40" i="11" s="1"/>
  <c r="D36" i="11"/>
  <c r="D38" i="11" s="1"/>
  <c r="D40" i="11" s="1"/>
  <c r="F44" i="17"/>
  <c r="C294" i="15"/>
  <c r="E294" i="15" s="1"/>
  <c r="E262" i="14"/>
  <c r="C263" i="14"/>
  <c r="C272" i="14"/>
  <c r="F262" i="14"/>
  <c r="E159" i="14"/>
  <c r="C161" i="14"/>
  <c r="C160" i="14"/>
  <c r="F159" i="14"/>
  <c r="D33" i="9"/>
  <c r="E19" i="9"/>
  <c r="E122" i="7"/>
  <c r="F122" i="7"/>
  <c r="E65" i="8"/>
  <c r="C139" i="14"/>
  <c r="E61" i="14"/>
  <c r="F61" i="14" s="1"/>
  <c r="C104" i="14"/>
  <c r="C174" i="14"/>
  <c r="C105" i="14"/>
  <c r="E32" i="14"/>
  <c r="C140" i="14"/>
  <c r="C62" i="14"/>
  <c r="F32" i="14"/>
  <c r="C175" i="14"/>
  <c r="F75" i="1"/>
  <c r="E158" i="5"/>
  <c r="E52" i="3"/>
  <c r="F52" i="3" s="1"/>
  <c r="D131" i="15" l="1"/>
  <c r="F33" i="9"/>
  <c r="C41" i="9"/>
  <c r="E103" i="14"/>
  <c r="F103" i="14" s="1"/>
  <c r="D105" i="14"/>
  <c r="D106" i="14" s="1"/>
  <c r="D104" i="14"/>
  <c r="E196" i="14"/>
  <c r="F196" i="14" s="1"/>
  <c r="D197" i="14"/>
  <c r="D92" i="14"/>
  <c r="E91" i="14"/>
  <c r="F91" i="14" s="1"/>
  <c r="D323" i="14"/>
  <c r="D183" i="14"/>
  <c r="D310" i="14"/>
  <c r="D312" i="14" s="1"/>
  <c r="E304" i="14"/>
  <c r="F304" i="14" s="1"/>
  <c r="D313" i="14"/>
  <c r="E268" i="14"/>
  <c r="F268" i="14" s="1"/>
  <c r="D50" i="14"/>
  <c r="E49" i="14"/>
  <c r="F49" i="14" s="1"/>
  <c r="D127" i="14"/>
  <c r="E126" i="14"/>
  <c r="F126" i="14" s="1"/>
  <c r="E271" i="14"/>
  <c r="F271" i="14" s="1"/>
  <c r="E33" i="2"/>
  <c r="F33" i="2" s="1"/>
  <c r="D41" i="2"/>
  <c r="E287" i="14"/>
  <c r="F287" i="14" s="1"/>
  <c r="E47" i="19"/>
  <c r="E112" i="19"/>
  <c r="E37" i="19"/>
  <c r="E55" i="19"/>
  <c r="C106" i="14"/>
  <c r="E105" i="14"/>
  <c r="F105" i="14" s="1"/>
  <c r="C176" i="14"/>
  <c r="F175" i="14"/>
  <c r="E175" i="14"/>
  <c r="F62" i="14"/>
  <c r="E62" i="14"/>
  <c r="C63" i="14"/>
  <c r="E174" i="14"/>
  <c r="F174" i="14"/>
  <c r="E104" i="14"/>
  <c r="F104" i="14" s="1"/>
  <c r="E33" i="9"/>
  <c r="D41" i="9"/>
  <c r="E160" i="14"/>
  <c r="F160" i="14" s="1"/>
  <c r="C273" i="14"/>
  <c r="E272" i="14"/>
  <c r="F272" i="14" s="1"/>
  <c r="F75" i="8"/>
  <c r="E75" i="8"/>
  <c r="E138" i="14"/>
  <c r="F138" i="14" s="1"/>
  <c r="D99" i="15"/>
  <c r="E99" i="15" s="1"/>
  <c r="D88" i="15"/>
  <c r="E88" i="15" s="1"/>
  <c r="D101" i="15"/>
  <c r="E101" i="15" s="1"/>
  <c r="D86" i="15"/>
  <c r="E86" i="15" s="1"/>
  <c r="D258" i="15"/>
  <c r="D89" i="15"/>
  <c r="E89" i="15" s="1"/>
  <c r="D85" i="15"/>
  <c r="E85" i="15" s="1"/>
  <c r="D87" i="15"/>
  <c r="E87" i="15" s="1"/>
  <c r="E44" i="15"/>
  <c r="D95" i="15"/>
  <c r="D84" i="15"/>
  <c r="D97" i="15"/>
  <c r="E97" i="15" s="1"/>
  <c r="D83" i="15"/>
  <c r="D100" i="15"/>
  <c r="E100" i="15" s="1"/>
  <c r="D96" i="15"/>
  <c r="D98" i="15"/>
  <c r="E98" i="15" s="1"/>
  <c r="E66" i="15"/>
  <c r="C247" i="15"/>
  <c r="E247" i="15" s="1"/>
  <c r="C295" i="15"/>
  <c r="E295" i="15" s="1"/>
  <c r="E140" i="14"/>
  <c r="C141" i="14"/>
  <c r="F140" i="14"/>
  <c r="E139" i="14"/>
  <c r="F139" i="14" s="1"/>
  <c r="E161" i="14"/>
  <c r="C162" i="14"/>
  <c r="F161" i="14"/>
  <c r="E263" i="14"/>
  <c r="F263" i="14" s="1"/>
  <c r="E207" i="14"/>
  <c r="C208" i="14"/>
  <c r="F207" i="14"/>
  <c r="F279" i="14"/>
  <c r="E279" i="14"/>
  <c r="F288" i="14"/>
  <c r="C289" i="14"/>
  <c r="C291" i="14"/>
  <c r="E288" i="14"/>
  <c r="D263" i="15"/>
  <c r="E253" i="15"/>
  <c r="D254" i="15"/>
  <c r="E254" i="15" s="1"/>
  <c r="E76" i="15"/>
  <c r="C259" i="15"/>
  <c r="C263" i="15" s="1"/>
  <c r="C264" i="15" s="1"/>
  <c r="C266" i="15" s="1"/>
  <c r="C267" i="15" s="1"/>
  <c r="C77" i="15"/>
  <c r="C48" i="9" l="1"/>
  <c r="F48" i="9" s="1"/>
  <c r="F41" i="9"/>
  <c r="E263" i="15"/>
  <c r="E41" i="2"/>
  <c r="F41" i="2" s="1"/>
  <c r="D48" i="2"/>
  <c r="E48" i="2" s="1"/>
  <c r="F48" i="2" s="1"/>
  <c r="E127" i="14"/>
  <c r="F127" i="14" s="1"/>
  <c r="D148" i="14"/>
  <c r="E50" i="14"/>
  <c r="F50" i="14" s="1"/>
  <c r="D70" i="14"/>
  <c r="D251" i="14"/>
  <c r="D314" i="14"/>
  <c r="D256" i="14"/>
  <c r="D257" i="14" s="1"/>
  <c r="D315" i="14"/>
  <c r="D324" i="14"/>
  <c r="D325" i="14" s="1"/>
  <c r="E92" i="14"/>
  <c r="F92" i="14" s="1"/>
  <c r="D113" i="14"/>
  <c r="C113" i="15"/>
  <c r="E113" i="15" s="1"/>
  <c r="C125" i="15"/>
  <c r="E125" i="15" s="1"/>
  <c r="C114" i="15"/>
  <c r="E114" i="15" s="1"/>
  <c r="C127" i="15"/>
  <c r="E127" i="15" s="1"/>
  <c r="C112" i="15"/>
  <c r="E112" i="15" s="1"/>
  <c r="C126" i="15"/>
  <c r="E126" i="15" s="1"/>
  <c r="C122" i="15"/>
  <c r="C111" i="15"/>
  <c r="E111" i="15" s="1"/>
  <c r="C121" i="15"/>
  <c r="C110" i="15"/>
  <c r="C123" i="15"/>
  <c r="E123" i="15" s="1"/>
  <c r="C109" i="15"/>
  <c r="C115" i="15"/>
  <c r="E115" i="15" s="1"/>
  <c r="C124" i="15"/>
  <c r="E124" i="15" s="1"/>
  <c r="E77" i="15"/>
  <c r="C305" i="14"/>
  <c r="E291" i="14"/>
  <c r="F291" i="14" s="1"/>
  <c r="C268" i="15"/>
  <c r="C271" i="15" s="1"/>
  <c r="C269" i="15"/>
  <c r="E259" i="15"/>
  <c r="E289" i="14"/>
  <c r="F289" i="14" s="1"/>
  <c r="C197" i="14"/>
  <c r="C323" i="14"/>
  <c r="E162" i="14"/>
  <c r="F162" i="14" s="1"/>
  <c r="C183" i="14"/>
  <c r="E95" i="15"/>
  <c r="E273" i="14"/>
  <c r="F273" i="14"/>
  <c r="E176" i="14"/>
  <c r="F176" i="14"/>
  <c r="E208" i="14"/>
  <c r="F208" i="14"/>
  <c r="C209" i="14"/>
  <c r="C210" i="14"/>
  <c r="C322" i="14"/>
  <c r="C148" i="14"/>
  <c r="E141" i="14"/>
  <c r="F141" i="14" s="1"/>
  <c r="C211" i="14"/>
  <c r="D102" i="15"/>
  <c r="E102" i="15" s="1"/>
  <c r="E96" i="15"/>
  <c r="E83" i="15"/>
  <c r="D90" i="15"/>
  <c r="E90" i="15" s="1"/>
  <c r="E84" i="15"/>
  <c r="D264" i="15"/>
  <c r="E258" i="15"/>
  <c r="E41" i="9"/>
  <c r="D48" i="9"/>
  <c r="E48" i="9" s="1"/>
  <c r="E63" i="14"/>
  <c r="C70" i="14"/>
  <c r="F63" i="14"/>
  <c r="E106" i="14"/>
  <c r="C324" i="14"/>
  <c r="F106" i="14"/>
  <c r="C113" i="14"/>
  <c r="D318" i="14" l="1"/>
  <c r="E113" i="14"/>
  <c r="F113" i="14" s="1"/>
  <c r="E324" i="14"/>
  <c r="C325" i="14"/>
  <c r="F324" i="14"/>
  <c r="E264" i="15"/>
  <c r="D266" i="15"/>
  <c r="E70" i="14"/>
  <c r="F70" i="14"/>
  <c r="D91" i="15"/>
  <c r="E211" i="14"/>
  <c r="F211" i="14" s="1"/>
  <c r="E148" i="14"/>
  <c r="F148" i="14" s="1"/>
  <c r="E322" i="14"/>
  <c r="F322" i="14" s="1"/>
  <c r="E209" i="14"/>
  <c r="F209" i="14" s="1"/>
  <c r="E183" i="14"/>
  <c r="F183" i="14" s="1"/>
  <c r="E323" i="14"/>
  <c r="F323" i="14" s="1"/>
  <c r="E305" i="14"/>
  <c r="C309" i="14"/>
  <c r="F305" i="14"/>
  <c r="E109" i="15"/>
  <c r="E110" i="15"/>
  <c r="C116" i="15"/>
  <c r="E116" i="15" s="1"/>
  <c r="E210" i="14"/>
  <c r="F210" i="14" s="1"/>
  <c r="D103" i="15"/>
  <c r="E103" i="15" s="1"/>
  <c r="E197" i="14"/>
  <c r="F197" i="14" s="1"/>
  <c r="E121" i="15"/>
  <c r="C128" i="15"/>
  <c r="E128" i="15" s="1"/>
  <c r="E122" i="15"/>
  <c r="C129" i="15" l="1"/>
  <c r="E129" i="15" s="1"/>
  <c r="C117" i="15"/>
  <c r="C310" i="14"/>
  <c r="E309" i="14"/>
  <c r="F309" i="14" s="1"/>
  <c r="D105" i="15"/>
  <c r="E105" i="15" s="1"/>
  <c r="E91" i="15"/>
  <c r="E325" i="14"/>
  <c r="F325" i="14" s="1"/>
  <c r="E266" i="15"/>
  <c r="D267" i="15"/>
  <c r="C312" i="14" l="1"/>
  <c r="E310" i="14"/>
  <c r="F310" i="14" s="1"/>
  <c r="E117" i="15"/>
  <c r="C131" i="15"/>
  <c r="E131" i="15" s="1"/>
  <c r="D269" i="15"/>
  <c r="E269" i="15" s="1"/>
  <c r="E267" i="15"/>
  <c r="D268" i="15"/>
  <c r="C313" i="14" l="1"/>
  <c r="E312" i="14"/>
  <c r="F312" i="14" s="1"/>
  <c r="E268" i="15"/>
  <c r="D271" i="15"/>
  <c r="E271" i="15" s="1"/>
  <c r="F313" i="14" l="1"/>
  <c r="C315" i="14"/>
  <c r="C251" i="14"/>
  <c r="C256" i="14"/>
  <c r="C314" i="14"/>
  <c r="E313" i="14"/>
  <c r="C318" i="14" l="1"/>
  <c r="E314" i="14"/>
  <c r="F314" i="14" s="1"/>
  <c r="E251" i="14"/>
  <c r="F251" i="14" s="1"/>
  <c r="C257" i="14"/>
  <c r="F256" i="14"/>
  <c r="E256" i="14"/>
  <c r="F315" i="14"/>
  <c r="E315" i="14"/>
  <c r="F257" i="14" l="1"/>
  <c r="E257" i="14"/>
  <c r="F318" i="14"/>
  <c r="E318" i="14"/>
</calcChain>
</file>

<file path=xl/sharedStrings.xml><?xml version="1.0" encoding="utf-8"?>
<sst xmlns="http://schemas.openxmlformats.org/spreadsheetml/2006/main" count="2300" uniqueCount="978">
  <si>
    <t>DANBURY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</si>
  <si>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</si>
  <si>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</si>
  <si>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</si>
  <si>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</si>
  <si>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</si>
  <si>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</si>
  <si>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</si>
  <si>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</si>
  <si>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</si>
  <si>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</si>
  <si>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</si>
  <si>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</si>
  <si>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</si>
  <si>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</si>
  <si>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</si>
  <si>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</si>
  <si>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</si>
  <si>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</si>
  <si>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</si>
  <si>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</si>
  <si>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</si>
  <si>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</si>
  <si>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</si>
  <si>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</si>
  <si>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</si>
  <si>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</si>
  <si>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</si>
  <si>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</si>
  <si>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</si>
  <si>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</si>
  <si>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</si>
  <si>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</si>
  <si>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</si>
  <si>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</si>
  <si>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</si>
  <si>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</si>
  <si>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</si>
  <si>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</si>
  <si>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</si>
  <si>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</si>
  <si>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</si>
  <si>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</si>
  <si>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</si>
  <si>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</si>
  <si>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</si>
  <si>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</si>
  <si>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</si>
  <si>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</si>
  <si>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</si>
  <si>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</si>
  <si>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</si>
  <si>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</si>
  <si>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</si>
  <si>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</si>
  <si>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</si>
  <si>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</si>
  <si>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</si>
  <si>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</si>
  <si>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</si>
  <si>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</si>
  <si>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</si>
  <si>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</si>
  <si>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</si>
  <si>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</si>
  <si>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</si>
  <si>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</si>
  <si>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</si>
  <si>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</si>
  <si>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</si>
  <si>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</si>
  <si>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</si>
  <si>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</si>
  <si>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</si>
  <si>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</si>
  <si>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</si>
  <si>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</si>
  <si>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</si>
  <si>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</si>
  <si>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</si>
  <si>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</si>
  <si>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</si>
  <si>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</si>
  <si>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</si>
  <si>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</si>
  <si>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</si>
  <si>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</si>
  <si>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</si>
  <si>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</si>
  <si>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</si>
  <si>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</si>
  <si>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</si>
  <si>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</si>
  <si>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</si>
  <si>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</si>
  <si>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</si>
  <si>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</si>
  <si>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</si>
  <si>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</si>
  <si>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</si>
  <si>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</si>
  <si>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</si>
  <si>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</si>
  <si>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</si>
  <si>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</si>
  <si>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</si>
  <si>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</si>
  <si>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</si>
  <si>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</si>
  <si>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</si>
  <si>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</si>
  <si>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</si>
  <si>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</si>
  <si>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</si>
  <si>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</si>
  <si>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</si>
  <si>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</si>
  <si>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</si>
  <si>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</si>
  <si>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</si>
  <si>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</si>
  <si>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</si>
  <si>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</si>
  <si>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</si>
  <si>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</si>
  <si>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</si>
  <si>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</si>
  <si>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</si>
  <si>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</si>
  <si>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</si>
  <si>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</si>
  <si>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</si>
  <si>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</si>
  <si>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</si>
  <si>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</si>
  <si>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</si>
  <si>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</si>
  <si>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</si>
  <si>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</si>
  <si>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</si>
  <si>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</si>
  <si>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</si>
  <si>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</si>
  <si>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</si>
  <si>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</si>
  <si>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</si>
  <si>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</si>
  <si>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</si>
  <si>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</si>
  <si>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</si>
  <si>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</si>
  <si>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</si>
  <si>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</si>
  <si>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</si>
  <si>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</si>
  <si>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</si>
  <si>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</si>
  <si>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</si>
  <si>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</si>
  <si>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</si>
  <si>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</si>
  <si>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</si>
  <si>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</si>
  <si>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</si>
  <si>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</si>
  <si>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</si>
  <si>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</si>
  <si>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</si>
  <si>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</si>
  <si>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</si>
  <si>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</si>
  <si>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</si>
  <si>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</si>
  <si>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</si>
  <si>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</si>
  <si>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</si>
  <si>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</si>
  <si>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</si>
  <si>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</si>
  <si>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</si>
  <si>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</si>
  <si>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</si>
  <si>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</si>
  <si>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</si>
  <si>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</si>
  <si>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</si>
  <si>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</si>
  <si>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</si>
  <si>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</si>
  <si>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</si>
  <si>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</si>
  <si>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</si>
  <si>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</si>
  <si>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</si>
  <si>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</si>
  <si>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</si>
  <si>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</si>
  <si>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</si>
  <si>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</si>
  <si>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</si>
  <si>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</si>
  <si>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</si>
  <si>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</si>
  <si>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</si>
  <si>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</si>
  <si>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</si>
  <si>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</si>
  <si>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</si>
  <si>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</si>
  <si>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</si>
  <si>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</si>
  <si>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</si>
  <si>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</si>
  <si>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</si>
  <si>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</si>
  <si>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</si>
  <si>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</si>
  <si>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</si>
  <si>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</si>
  <si>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</si>
  <si>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</si>
  <si>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</si>
  <si>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</si>
  <si>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</si>
  <si>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</si>
  <si>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</si>
  <si>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</si>
  <si>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</si>
  <si>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</si>
  <si>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</si>
  <si>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</si>
  <si>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</si>
  <si>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</si>
  <si>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</si>
  <si>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</si>
  <si>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</si>
  <si>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</si>
  <si>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</si>
  <si>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</si>
  <si>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</si>
  <si>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</si>
  <si>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</si>
  <si>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</si>
  <si>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</si>
  <si>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</si>
  <si>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</si>
  <si>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</si>
  <si>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</si>
  <si>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</si>
  <si>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</si>
  <si>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</si>
  <si>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</si>
  <si>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</si>
  <si>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</si>
  <si>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</si>
  <si>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</si>
  <si>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</si>
  <si>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</si>
  <si>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</si>
  <si>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</si>
  <si>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</si>
  <si>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</si>
  <si>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</si>
  <si>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</si>
  <si>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</si>
  <si>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</si>
  <si>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</si>
  <si>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</si>
  <si>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</si>
  <si>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</si>
  <si>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</si>
  <si>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</si>
  <si>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</si>
  <si>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</si>
  <si>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</si>
  <si>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</si>
  <si>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</si>
  <si>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</si>
  <si>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</si>
  <si>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</si>
  <si>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</si>
  <si>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</si>
  <si>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</si>
  <si>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</si>
  <si>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</si>
  <si>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</si>
  <si>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</si>
  <si>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</si>
  <si>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</si>
  <si>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</si>
  <si>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</si>
  <si>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</si>
  <si>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</si>
  <si>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</si>
  <si>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</si>
  <si>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</si>
  <si>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</si>
  <si>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</si>
  <si>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</si>
  <si>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</si>
  <si>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</si>
  <si>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</si>
  <si>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</si>
  <si>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</si>
  <si>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</si>
  <si>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</si>
  <si>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</si>
  <si>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</si>
  <si>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</si>
  <si>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</si>
  <si>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</si>
  <si>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</si>
  <si>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</si>
  <si>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</si>
  <si>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</si>
  <si>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</si>
  <si>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</si>
  <si>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</si>
  <si>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</si>
  <si>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</si>
  <si>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</si>
  <si>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</si>
  <si>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</si>
  <si>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</si>
  <si>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</si>
  <si>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</si>
  <si>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</si>
  <si>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</si>
  <si>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</si>
  <si>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</si>
  <si>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</si>
  <si>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</si>
  <si>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</si>
  <si>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</si>
  <si>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</si>
  <si>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</si>
  <si>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</si>
  <si>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</si>
  <si>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</si>
  <si>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</si>
  <si>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</si>
  <si>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</si>
  <si>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</si>
  <si>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</si>
  <si>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</si>
  <si>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</si>
  <si>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</si>
  <si>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</si>
  <si>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</si>
  <si>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</si>
  <si>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</si>
  <si>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</si>
  <si>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</si>
  <si>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</si>
  <si>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</si>
  <si>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</si>
  <si>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</si>
  <si>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</si>
  <si>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</si>
  <si>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</si>
  <si>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</si>
  <si>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</si>
  <si>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</si>
  <si>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</si>
  <si>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</si>
  <si>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</si>
  <si>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</si>
  <si>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</si>
  <si>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</si>
  <si>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</si>
  <si>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</si>
  <si>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</si>
  <si>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</si>
  <si>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</si>
  <si>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</si>
  <si>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</si>
  <si>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</si>
  <si>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</si>
  <si>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</si>
  <si>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</si>
  <si>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</si>
  <si>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</si>
  <si>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</si>
  <si>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</si>
  <si>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</si>
  <si>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</si>
  <si>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</si>
  <si>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</si>
  <si>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</si>
  <si>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</si>
  <si>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</si>
  <si>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</si>
  <si>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</si>
  <si>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</si>
  <si>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</si>
  <si>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</si>
  <si>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</si>
  <si>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</si>
  <si>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</si>
  <si>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</si>
  <si>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</si>
  <si>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</si>
  <si>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</si>
  <si>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</si>
  <si>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</si>
  <si>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</si>
  <si>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</si>
  <si>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</si>
  <si>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</si>
  <si>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</si>
  <si>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</si>
  <si>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</si>
  <si>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</si>
  <si>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</si>
  <si>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</si>
  <si>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</si>
  <si>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</si>
  <si>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</si>
  <si>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</si>
  <si>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</si>
  <si>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</si>
  <si>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</si>
  <si>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</si>
  <si>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</si>
  <si>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</si>
  <si>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</si>
  <si>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</si>
  <si>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</si>
  <si>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</si>
  <si>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</si>
  <si>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</si>
  <si>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</si>
  <si>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</si>
  <si>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</si>
  <si>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</si>
  <si>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</si>
  <si>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</si>
  <si>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</si>
  <si>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</si>
  <si>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</si>
  <si>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</si>
  <si>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</si>
  <si>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</si>
  <si>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</si>
  <si>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</si>
  <si>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</si>
  <si>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</si>
  <si>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</si>
  <si>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</si>
  <si>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</si>
  <si>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</si>
  <si>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</si>
  <si>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</si>
  <si>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</si>
  <si>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</si>
  <si>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</si>
  <si>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</si>
  <si>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</si>
  <si>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</si>
  <si>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</si>
  <si>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</si>
  <si>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</si>
  <si>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</si>
  <si>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</si>
  <si>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</si>
  <si>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</si>
  <si>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</si>
  <si>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</si>
  <si>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</si>
  <si>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</si>
  <si>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</si>
  <si>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</si>
  <si>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</si>
  <si>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</si>
  <si>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</si>
  <si>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</si>
  <si>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</si>
  <si>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</si>
  <si>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</si>
  <si>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WESTERN CONNECTICUT HEALTHCARE,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</si>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</sst>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38643022</v>
      </c>
      <c r="D13" s="23">
        <v>26334940</v>
      </c>
      <c r="E13" s="23">
        <f t="shared" ref="E13:E22" si="0">D13-C13</f>
        <v>-12308082</v>
      </c>
      <c r="F13" s="24">
        <f t="shared" ref="F13:F22" si="1">IF(C13=0,0,E13/C13)</f>
        <v>-0.31850723269003134</v>
      </c>
    </row>
    <row r="14" spans="1:8" ht="24" customHeight="1" x14ac:dyDescent="0.2">
      <c r="A14" s="21">
        <v>2</v>
      </c>
      <c r="B14" s="22" t="s">
        <v>17</v>
      </c>
      <c r="C14" s="23">
        <v>144958291</v>
      </c>
      <c r="D14" s="23">
        <v>173186305</v>
      </c>
      <c r="E14" s="23">
        <f t="shared" si="0"/>
        <v>28228014</v>
      </c>
      <c r="F14" s="24">
        <f t="shared" si="1"/>
        <v>0.19473197293696018</v>
      </c>
    </row>
    <row r="15" spans="1:8" ht="30" customHeight="1" x14ac:dyDescent="0.2">
      <c r="A15" s="21">
        <v>3</v>
      </c>
      <c r="B15" s="22" t="s">
        <v>18</v>
      </c>
      <c r="C15" s="23">
        <v>41637724</v>
      </c>
      <c r="D15" s="23">
        <v>51429630</v>
      </c>
      <c r="E15" s="23">
        <f t="shared" si="0"/>
        <v>9791906</v>
      </c>
      <c r="F15" s="24">
        <f t="shared" si="1"/>
        <v>0.23516909809959832</v>
      </c>
    </row>
    <row r="16" spans="1:8" ht="24" customHeight="1" x14ac:dyDescent="0.2">
      <c r="A16" s="21">
        <v>4</v>
      </c>
      <c r="B16" s="22" t="s">
        <v>19</v>
      </c>
      <c r="C16" s="23">
        <v>1756854</v>
      </c>
      <c r="D16" s="23">
        <v>1679707</v>
      </c>
      <c r="E16" s="23">
        <f t="shared" si="0"/>
        <v>-77147</v>
      </c>
      <c r="F16" s="24">
        <f t="shared" si="1"/>
        <v>-4.3912015454898361E-2</v>
      </c>
    </row>
    <row r="17" spans="1:11" ht="24" customHeight="1" x14ac:dyDescent="0.2">
      <c r="A17" s="21">
        <v>5</v>
      </c>
      <c r="B17" s="22" t="s">
        <v>20</v>
      </c>
      <c r="C17" s="23">
        <v>3777584</v>
      </c>
      <c r="D17" s="23">
        <v>4041813</v>
      </c>
      <c r="E17" s="23">
        <f t="shared" si="0"/>
        <v>264229</v>
      </c>
      <c r="F17" s="24">
        <f t="shared" si="1"/>
        <v>6.9946558435232675E-2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7249038</v>
      </c>
      <c r="D19" s="23">
        <v>7538558</v>
      </c>
      <c r="E19" s="23">
        <f t="shared" si="0"/>
        <v>289520</v>
      </c>
      <c r="F19" s="24">
        <f t="shared" si="1"/>
        <v>3.9939092607874316E-2</v>
      </c>
    </row>
    <row r="20" spans="1:11" ht="24" customHeight="1" x14ac:dyDescent="0.2">
      <c r="A20" s="21">
        <v>8</v>
      </c>
      <c r="B20" s="22" t="s">
        <v>23</v>
      </c>
      <c r="C20" s="23">
        <v>3805773</v>
      </c>
      <c r="D20" s="23">
        <v>5454623</v>
      </c>
      <c r="E20" s="23">
        <f t="shared" si="0"/>
        <v>1648850</v>
      </c>
      <c r="F20" s="24">
        <f t="shared" si="1"/>
        <v>0.4332496972362776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241828286</v>
      </c>
      <c r="D22" s="27">
        <f>SUM(D13:D21)</f>
        <v>269665576</v>
      </c>
      <c r="E22" s="27">
        <f t="shared" si="0"/>
        <v>27837290</v>
      </c>
      <c r="F22" s="28">
        <f t="shared" si="1"/>
        <v>0.11511180292614735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146734669</v>
      </c>
      <c r="D33" s="23">
        <v>150579966</v>
      </c>
      <c r="E33" s="23">
        <f>D33-C33</f>
        <v>3845297</v>
      </c>
      <c r="F33" s="24">
        <f>IF(C33=0,0,E33/C33)</f>
        <v>2.6205783719728839E-2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410335554</v>
      </c>
      <c r="D36" s="23">
        <v>438070317</v>
      </c>
      <c r="E36" s="23">
        <f>D36-C36</f>
        <v>27734763</v>
      </c>
      <c r="F36" s="24">
        <f>IF(C36=0,0,E36/C36)</f>
        <v>6.7590445745288746E-2</v>
      </c>
    </row>
    <row r="37" spans="1:8" ht="24" customHeight="1" x14ac:dyDescent="0.2">
      <c r="A37" s="21">
        <v>2</v>
      </c>
      <c r="B37" s="22" t="s">
        <v>39</v>
      </c>
      <c r="C37" s="23">
        <v>251993763</v>
      </c>
      <c r="D37" s="23">
        <v>274705979</v>
      </c>
      <c r="E37" s="23">
        <f>D37-C37</f>
        <v>22712216</v>
      </c>
      <c r="F37" s="24">
        <f>IF(C37=0,0,E37/C37)</f>
        <v>9.0130071989122998E-2</v>
      </c>
    </row>
    <row r="38" spans="1:8" ht="24" customHeight="1" x14ac:dyDescent="0.25">
      <c r="A38" s="25"/>
      <c r="B38" s="26" t="s">
        <v>40</v>
      </c>
      <c r="C38" s="27">
        <f>C36-C37</f>
        <v>158341791</v>
      </c>
      <c r="D38" s="27">
        <f>D36-D37</f>
        <v>163364338</v>
      </c>
      <c r="E38" s="27">
        <f>D38-C38</f>
        <v>5022547</v>
      </c>
      <c r="F38" s="28">
        <f>IF(C38=0,0,E38/C38)</f>
        <v>3.1719655109875573E-2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12550101</v>
      </c>
      <c r="D40" s="23">
        <v>19811944</v>
      </c>
      <c r="E40" s="23">
        <f>D40-C40</f>
        <v>7261843</v>
      </c>
      <c r="F40" s="24">
        <f>IF(C40=0,0,E40/C40)</f>
        <v>0.57862825167701837</v>
      </c>
    </row>
    <row r="41" spans="1:8" ht="24" customHeight="1" x14ac:dyDescent="0.25">
      <c r="A41" s="25"/>
      <c r="B41" s="26" t="s">
        <v>42</v>
      </c>
      <c r="C41" s="27">
        <f>+C38+C40</f>
        <v>170891892</v>
      </c>
      <c r="D41" s="27">
        <f>+D38+D40</f>
        <v>183176282</v>
      </c>
      <c r="E41" s="27">
        <f>D41-C41</f>
        <v>12284390</v>
      </c>
      <c r="F41" s="28">
        <f>IF(C41=0,0,E41/C41)</f>
        <v>7.1883983822942282E-2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559454847</v>
      </c>
      <c r="D43" s="27">
        <f>D22+D29+D31+D32+D33+D41</f>
        <v>603421824</v>
      </c>
      <c r="E43" s="27">
        <f>D43-C43</f>
        <v>43966977</v>
      </c>
      <c r="F43" s="28">
        <f>IF(C43=0,0,E43/C43)</f>
        <v>7.8588964302958308E-2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19951815</v>
      </c>
      <c r="D49" s="23">
        <v>20675079</v>
      </c>
      <c r="E49" s="23">
        <f t="shared" ref="E49:E56" si="2">D49-C49</f>
        <v>723264</v>
      </c>
      <c r="F49" s="24">
        <f t="shared" ref="F49:F56" si="3">IF(C49=0,0,E49/C49)</f>
        <v>3.6250536605316359E-2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14142886</v>
      </c>
      <c r="D50" s="23">
        <v>14821485</v>
      </c>
      <c r="E50" s="23">
        <f t="shared" si="2"/>
        <v>678599</v>
      </c>
      <c r="F50" s="24">
        <f t="shared" si="3"/>
        <v>4.7981649572795819E-2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8646835</v>
      </c>
      <c r="D51" s="23">
        <v>11079973</v>
      </c>
      <c r="E51" s="23">
        <f t="shared" si="2"/>
        <v>2433138</v>
      </c>
      <c r="F51" s="24">
        <f t="shared" si="3"/>
        <v>0.28139058973601322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2460000</v>
      </c>
      <c r="D53" s="23">
        <v>2545000</v>
      </c>
      <c r="E53" s="23">
        <f t="shared" si="2"/>
        <v>85000</v>
      </c>
      <c r="F53" s="24">
        <f t="shared" si="3"/>
        <v>3.4552845528455285E-2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4422852</v>
      </c>
      <c r="D55" s="23">
        <v>34856735</v>
      </c>
      <c r="E55" s="23">
        <f t="shared" si="2"/>
        <v>30433883</v>
      </c>
      <c r="F55" s="24">
        <f t="shared" si="3"/>
        <v>6.8810538991582808</v>
      </c>
    </row>
    <row r="56" spans="1:6" ht="24" customHeight="1" x14ac:dyDescent="0.25">
      <c r="A56" s="25"/>
      <c r="B56" s="26" t="s">
        <v>54</v>
      </c>
      <c r="C56" s="27">
        <f>SUM(C49:C55)</f>
        <v>49624388</v>
      </c>
      <c r="D56" s="27">
        <f>SUM(D49:D55)</f>
        <v>83978272</v>
      </c>
      <c r="E56" s="27">
        <f t="shared" si="2"/>
        <v>34353884</v>
      </c>
      <c r="F56" s="28">
        <f t="shared" si="3"/>
        <v>0.69227824028781981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114675000</v>
      </c>
      <c r="D60" s="23">
        <v>81260000</v>
      </c>
      <c r="E60" s="23">
        <f>D60-C60</f>
        <v>-33415000</v>
      </c>
      <c r="F60" s="24">
        <f>IF(C60=0,0,E60/C60)</f>
        <v>-0.29138870721604537</v>
      </c>
    </row>
    <row r="61" spans="1:6" ht="24" customHeight="1" x14ac:dyDescent="0.25">
      <c r="A61" s="25"/>
      <c r="B61" s="26" t="s">
        <v>58</v>
      </c>
      <c r="C61" s="27">
        <f>SUM(C59:C60)</f>
        <v>114675000</v>
      </c>
      <c r="D61" s="27">
        <f>SUM(D59:D60)</f>
        <v>81260000</v>
      </c>
      <c r="E61" s="27">
        <f>D61-C61</f>
        <v>-33415000</v>
      </c>
      <c r="F61" s="28">
        <f>IF(C61=0,0,E61/C61)</f>
        <v>-0.29138870721604537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14488471</v>
      </c>
      <c r="D64" s="23">
        <v>14178425</v>
      </c>
      <c r="E64" s="23">
        <f>D64-C64</f>
        <v>-310046</v>
      </c>
      <c r="F64" s="24">
        <f>IF(C64=0,0,E64/C64)</f>
        <v>-2.1399497572932299E-2</v>
      </c>
    </row>
    <row r="65" spans="1:6" ht="24" customHeight="1" x14ac:dyDescent="0.25">
      <c r="A65" s="25"/>
      <c r="B65" s="26" t="s">
        <v>61</v>
      </c>
      <c r="C65" s="27">
        <f>SUM(C61:C64)</f>
        <v>129163471</v>
      </c>
      <c r="D65" s="27">
        <f>SUM(D61:D64)</f>
        <v>95438425</v>
      </c>
      <c r="E65" s="27">
        <f>D65-C65</f>
        <v>-33725046</v>
      </c>
      <c r="F65" s="28">
        <f>IF(C65=0,0,E65/C65)</f>
        <v>-0.26110359019385598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325008268</v>
      </c>
      <c r="D70" s="23">
        <v>368034236</v>
      </c>
      <c r="E70" s="23">
        <f>D70-C70</f>
        <v>43025968</v>
      </c>
      <c r="F70" s="24">
        <f>IF(C70=0,0,E70/C70)</f>
        <v>0.13238422599144462</v>
      </c>
    </row>
    <row r="71" spans="1:6" ht="24" customHeight="1" x14ac:dyDescent="0.2">
      <c r="A71" s="21">
        <v>2</v>
      </c>
      <c r="B71" s="22" t="s">
        <v>65</v>
      </c>
      <c r="C71" s="23">
        <v>28552625</v>
      </c>
      <c r="D71" s="23">
        <v>28224280</v>
      </c>
      <c r="E71" s="23">
        <f>D71-C71</f>
        <v>-328345</v>
      </c>
      <c r="F71" s="24">
        <f>IF(C71=0,0,E71/C71)</f>
        <v>-1.1499643202682765E-2</v>
      </c>
    </row>
    <row r="72" spans="1:6" ht="24" customHeight="1" x14ac:dyDescent="0.2">
      <c r="A72" s="21">
        <v>3</v>
      </c>
      <c r="B72" s="22" t="s">
        <v>66</v>
      </c>
      <c r="C72" s="23">
        <v>27106095</v>
      </c>
      <c r="D72" s="23">
        <v>27746611</v>
      </c>
      <c r="E72" s="23">
        <f>D72-C72</f>
        <v>640516</v>
      </c>
      <c r="F72" s="24">
        <f>IF(C72=0,0,E72/C72)</f>
        <v>2.3629962191160328E-2</v>
      </c>
    </row>
    <row r="73" spans="1:6" ht="24" customHeight="1" x14ac:dyDescent="0.25">
      <c r="A73" s="21"/>
      <c r="B73" s="26" t="s">
        <v>67</v>
      </c>
      <c r="C73" s="27">
        <f>SUM(C70:C72)</f>
        <v>380666988</v>
      </c>
      <c r="D73" s="27">
        <f>SUM(D70:D72)</f>
        <v>424005127</v>
      </c>
      <c r="E73" s="27">
        <f>D73-C73</f>
        <v>43338139</v>
      </c>
      <c r="F73" s="28">
        <f>IF(C73=0,0,E73/C73)</f>
        <v>0.11384790477287197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559454847</v>
      </c>
      <c r="D75" s="27">
        <f>D56+D65+D67+D73</f>
        <v>603421824</v>
      </c>
      <c r="E75" s="27">
        <f>D75-C75</f>
        <v>43966977</v>
      </c>
      <c r="F75" s="28">
        <f>IF(C75=0,0,E75/C75)</f>
        <v>7.8588964302958308E-2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0</v>
      </c>
      <c r="D11" s="51">
        <v>0</v>
      </c>
      <c r="E11" s="51">
        <v>606865978</v>
      </c>
      <c r="F11" s="28"/>
    </row>
    <row r="12" spans="1:6" ht="24" customHeight="1" x14ac:dyDescent="0.25">
      <c r="A12" s="44">
        <v>2</v>
      </c>
      <c r="B12" s="48" t="s">
        <v>76</v>
      </c>
      <c r="C12" s="49">
        <v>0</v>
      </c>
      <c r="D12" s="49">
        <v>0</v>
      </c>
      <c r="E12" s="49">
        <v>18085423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0</v>
      </c>
      <c r="D13" s="51">
        <f>+D11+D12</f>
        <v>0</v>
      </c>
      <c r="E13" s="51">
        <f>+E11+E12</f>
        <v>624951401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0</v>
      </c>
      <c r="D14" s="49">
        <v>0</v>
      </c>
      <c r="E14" s="49">
        <v>603204688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0</v>
      </c>
      <c r="D15" s="51">
        <f>+D13-D14</f>
        <v>0</v>
      </c>
      <c r="E15" s="51">
        <f>+E13-E14</f>
        <v>21746713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0</v>
      </c>
      <c r="D16" s="49">
        <v>0</v>
      </c>
      <c r="E16" s="49">
        <v>21814720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0</v>
      </c>
      <c r="D17" s="51">
        <f>D15+D16</f>
        <v>0</v>
      </c>
      <c r="E17" s="51">
        <f>E15+E16</f>
        <v>43561433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0</v>
      </c>
      <c r="D20" s="169">
        <f>IF(+D27=0,0,+D24/+D27)</f>
        <v>0</v>
      </c>
      <c r="E20" s="169">
        <f>IF(+E27=0,0,+E24/+E27)</f>
        <v>3.362376644957258E-2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0</v>
      </c>
      <c r="D21" s="169">
        <f>IF(+D27=0,0,+D26/+D27)</f>
        <v>0</v>
      </c>
      <c r="E21" s="169">
        <f>IF(+E27=0,0,+E26/+E27)</f>
        <v>3.3728915742016731E-2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0</v>
      </c>
      <c r="D22" s="169">
        <f>IF(+D27=0,0,+D28/+D27)</f>
        <v>0</v>
      </c>
      <c r="E22" s="169">
        <f>IF(+E27=0,0,+E28/+E27)</f>
        <v>6.7352682191589311E-2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0</v>
      </c>
      <c r="D24" s="51">
        <f>+D15</f>
        <v>0</v>
      </c>
      <c r="E24" s="51">
        <f>+E15</f>
        <v>21746713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0</v>
      </c>
      <c r="D25" s="51">
        <f>+D13</f>
        <v>0</v>
      </c>
      <c r="E25" s="51">
        <f>+E13</f>
        <v>624951401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0</v>
      </c>
      <c r="D26" s="51">
        <f>+D16</f>
        <v>0</v>
      </c>
      <c r="E26" s="51">
        <f>+E16</f>
        <v>21814720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0</v>
      </c>
      <c r="D27" s="51">
        <f>SUM(D25:D26)</f>
        <v>0</v>
      </c>
      <c r="E27" s="51">
        <f>SUM(E25:E26)</f>
        <v>646766121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0</v>
      </c>
      <c r="D28" s="51">
        <f>+D17</f>
        <v>0</v>
      </c>
      <c r="E28" s="51">
        <f>+E17</f>
        <v>43561433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0</v>
      </c>
      <c r="D31" s="51">
        <v>0</v>
      </c>
      <c r="E31" s="52">
        <v>246220345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0</v>
      </c>
      <c r="D32" s="51">
        <v>0</v>
      </c>
      <c r="E32" s="51">
        <v>311713268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0</v>
      </c>
      <c r="D33" s="51">
        <f>+D32-C32</f>
        <v>0</v>
      </c>
      <c r="E33" s="51">
        <f>+E32-D32</f>
        <v>311713268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</v>
      </c>
      <c r="D34" s="171">
        <f>IF(C32=0,0,+D33/C32)</f>
        <v>0</v>
      </c>
      <c r="E34" s="171">
        <f>IF(D32=0,0,+E33/D32)</f>
        <v>0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0</v>
      </c>
      <c r="D38" s="269">
        <f>IF(+D40=0,0,+D39/+D40)</f>
        <v>0</v>
      </c>
      <c r="E38" s="269">
        <f>IF(+E40=0,0,+E39/+E40)</f>
        <v>1.3901656677788425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0</v>
      </c>
      <c r="D39" s="270">
        <v>0</v>
      </c>
      <c r="E39" s="270">
        <v>149502503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0</v>
      </c>
      <c r="D40" s="270">
        <v>0</v>
      </c>
      <c r="E40" s="270">
        <v>107542940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0</v>
      </c>
      <c r="D42" s="271">
        <f>IF((D48/365)=0,0,+D45/(D48/365))</f>
        <v>0</v>
      </c>
      <c r="E42" s="271">
        <f>IF((E48/365)=0,0,+E45/(E48/365))</f>
        <v>26.298091344576871</v>
      </c>
    </row>
    <row r="43" spans="1:14" ht="24" customHeight="1" x14ac:dyDescent="0.2">
      <c r="A43" s="17">
        <v>5</v>
      </c>
      <c r="B43" s="188" t="s">
        <v>16</v>
      </c>
      <c r="C43" s="272">
        <v>0</v>
      </c>
      <c r="D43" s="272">
        <v>0</v>
      </c>
      <c r="E43" s="272">
        <v>41061454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0</v>
      </c>
      <c r="D45" s="270">
        <f>+D43+D44</f>
        <v>0</v>
      </c>
      <c r="E45" s="270">
        <f>+E43+E44</f>
        <v>41061454</v>
      </c>
    </row>
    <row r="46" spans="1:14" ht="24" customHeight="1" x14ac:dyDescent="0.2">
      <c r="A46" s="17">
        <v>8</v>
      </c>
      <c r="B46" s="45" t="s">
        <v>324</v>
      </c>
      <c r="C46" s="270">
        <f>+C14</f>
        <v>0</v>
      </c>
      <c r="D46" s="270">
        <f>+D14</f>
        <v>0</v>
      </c>
      <c r="E46" s="270">
        <f>+E14</f>
        <v>603204688</v>
      </c>
    </row>
    <row r="47" spans="1:14" ht="24" customHeight="1" x14ac:dyDescent="0.2">
      <c r="A47" s="17">
        <v>9</v>
      </c>
      <c r="B47" s="45" t="s">
        <v>347</v>
      </c>
      <c r="C47" s="270">
        <v>0</v>
      </c>
      <c r="D47" s="270">
        <v>0</v>
      </c>
      <c r="E47" s="270">
        <v>33299043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0</v>
      </c>
      <c r="D48" s="270">
        <f>+D46-D47</f>
        <v>0</v>
      </c>
      <c r="E48" s="270">
        <f>+E46-E47</f>
        <v>569905645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0</v>
      </c>
      <c r="D50" s="278">
        <f>IF((D55/365)=0,0,+D54/(D55/365))</f>
        <v>0</v>
      </c>
      <c r="E50" s="278">
        <f>IF((E55/365)=0,0,+E54/(E55/365))</f>
        <v>30.797672587603849</v>
      </c>
    </row>
    <row r="51" spans="1:5" ht="24" customHeight="1" x14ac:dyDescent="0.2">
      <c r="A51" s="17">
        <v>12</v>
      </c>
      <c r="B51" s="188" t="s">
        <v>350</v>
      </c>
      <c r="C51" s="279">
        <v>0</v>
      </c>
      <c r="D51" s="279">
        <v>0</v>
      </c>
      <c r="E51" s="279">
        <v>66087968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14882325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0</v>
      </c>
      <c r="D54" s="280">
        <f>+D51+D52-D53</f>
        <v>0</v>
      </c>
      <c r="E54" s="280">
        <f>+E51+E52-E53</f>
        <v>51205643</v>
      </c>
    </row>
    <row r="55" spans="1:5" ht="24" customHeight="1" x14ac:dyDescent="0.2">
      <c r="A55" s="17">
        <v>16</v>
      </c>
      <c r="B55" s="45" t="s">
        <v>75</v>
      </c>
      <c r="C55" s="270">
        <f>+C11</f>
        <v>0</v>
      </c>
      <c r="D55" s="270">
        <f>+D11</f>
        <v>0</v>
      </c>
      <c r="E55" s="270">
        <f>+E11</f>
        <v>606865978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0</v>
      </c>
      <c r="D57" s="283">
        <f>IF((D61/365)=0,0,+D58/(D61/365))</f>
        <v>0</v>
      </c>
      <c r="E57" s="283">
        <f>IF((E61/365)=0,0,+E58/(E61/365))</f>
        <v>68.876617461825631</v>
      </c>
    </row>
    <row r="58" spans="1:5" ht="24" customHeight="1" x14ac:dyDescent="0.2">
      <c r="A58" s="17">
        <v>18</v>
      </c>
      <c r="B58" s="45" t="s">
        <v>54</v>
      </c>
      <c r="C58" s="281">
        <f>+C40</f>
        <v>0</v>
      </c>
      <c r="D58" s="281">
        <f>+D40</f>
        <v>0</v>
      </c>
      <c r="E58" s="281">
        <f>+E40</f>
        <v>107542940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0</v>
      </c>
      <c r="D59" s="281">
        <f t="shared" si="0"/>
        <v>0</v>
      </c>
      <c r="E59" s="281">
        <f t="shared" si="0"/>
        <v>603204688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0</v>
      </c>
      <c r="D60" s="176">
        <f t="shared" si="0"/>
        <v>0</v>
      </c>
      <c r="E60" s="176">
        <f t="shared" si="0"/>
        <v>33299043</v>
      </c>
    </row>
    <row r="61" spans="1:5" ht="24" customHeight="1" x14ac:dyDescent="0.2">
      <c r="A61" s="17">
        <v>21</v>
      </c>
      <c r="B61" s="45" t="s">
        <v>353</v>
      </c>
      <c r="C61" s="281">
        <f>+C59-C60</f>
        <v>0</v>
      </c>
      <c r="D61" s="281">
        <f>+D59-D60</f>
        <v>0</v>
      </c>
      <c r="E61" s="281">
        <f>+E59-E60</f>
        <v>569905645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0</v>
      </c>
      <c r="D65" s="284">
        <f>IF(D67=0,0,(D66/D67)*100)</f>
        <v>0</v>
      </c>
      <c r="E65" s="284">
        <f>IF(E67=0,0,(E66/E67)*100)</f>
        <v>44.559261561212416</v>
      </c>
    </row>
    <row r="66" spans="1:5" ht="24" customHeight="1" x14ac:dyDescent="0.2">
      <c r="A66" s="17">
        <v>2</v>
      </c>
      <c r="B66" s="45" t="s">
        <v>67</v>
      </c>
      <c r="C66" s="281">
        <f>+C32</f>
        <v>0</v>
      </c>
      <c r="D66" s="281">
        <f>+D32</f>
        <v>0</v>
      </c>
      <c r="E66" s="281">
        <f>+E32</f>
        <v>311713268</v>
      </c>
    </row>
    <row r="67" spans="1:5" ht="24" customHeight="1" x14ac:dyDescent="0.2">
      <c r="A67" s="17">
        <v>3</v>
      </c>
      <c r="B67" s="45" t="s">
        <v>43</v>
      </c>
      <c r="C67" s="281">
        <v>0</v>
      </c>
      <c r="D67" s="281">
        <v>0</v>
      </c>
      <c r="E67" s="281">
        <v>699547652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0</v>
      </c>
      <c r="D69" s="284">
        <f>IF(D75=0,0,(D72/D75)*100)</f>
        <v>0</v>
      </c>
      <c r="E69" s="284">
        <f>IF(E75=0,0,(E72/E75)*100)</f>
        <v>38.427413008732664</v>
      </c>
    </row>
    <row r="70" spans="1:5" ht="24" customHeight="1" x14ac:dyDescent="0.2">
      <c r="A70" s="17">
        <v>5</v>
      </c>
      <c r="B70" s="45" t="s">
        <v>358</v>
      </c>
      <c r="C70" s="281">
        <f>+C28</f>
        <v>0</v>
      </c>
      <c r="D70" s="281">
        <f>+D28</f>
        <v>0</v>
      </c>
      <c r="E70" s="281">
        <f>+E28</f>
        <v>43561433</v>
      </c>
    </row>
    <row r="71" spans="1:5" ht="24" customHeight="1" x14ac:dyDescent="0.2">
      <c r="A71" s="17">
        <v>6</v>
      </c>
      <c r="B71" s="45" t="s">
        <v>347</v>
      </c>
      <c r="C71" s="176">
        <f>+C47</f>
        <v>0</v>
      </c>
      <c r="D71" s="176">
        <f>+D47</f>
        <v>0</v>
      </c>
      <c r="E71" s="176">
        <f>+E47</f>
        <v>33299043</v>
      </c>
    </row>
    <row r="72" spans="1:5" ht="24" customHeight="1" x14ac:dyDescent="0.2">
      <c r="A72" s="17">
        <v>7</v>
      </c>
      <c r="B72" s="45" t="s">
        <v>359</v>
      </c>
      <c r="C72" s="281">
        <f>+C70+C71</f>
        <v>0</v>
      </c>
      <c r="D72" s="281">
        <f>+D70+D71</f>
        <v>0</v>
      </c>
      <c r="E72" s="281">
        <f>+E70+E71</f>
        <v>76860476</v>
      </c>
    </row>
    <row r="73" spans="1:5" ht="24" customHeight="1" x14ac:dyDescent="0.2">
      <c r="A73" s="17">
        <v>8</v>
      </c>
      <c r="B73" s="45" t="s">
        <v>54</v>
      </c>
      <c r="C73" s="270">
        <f>+C40</f>
        <v>0</v>
      </c>
      <c r="D73" s="270">
        <f>+D40</f>
        <v>0</v>
      </c>
      <c r="E73" s="270">
        <f>+E40</f>
        <v>107542940</v>
      </c>
    </row>
    <row r="74" spans="1:5" ht="24" customHeight="1" x14ac:dyDescent="0.2">
      <c r="A74" s="17">
        <v>9</v>
      </c>
      <c r="B74" s="45" t="s">
        <v>58</v>
      </c>
      <c r="C74" s="281">
        <v>0</v>
      </c>
      <c r="D74" s="281">
        <v>0</v>
      </c>
      <c r="E74" s="281">
        <v>92471763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0</v>
      </c>
      <c r="D75" s="270">
        <f>+D73+D74</f>
        <v>0</v>
      </c>
      <c r="E75" s="270">
        <f>+E73+E74</f>
        <v>200014703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0</v>
      </c>
      <c r="D77" s="286">
        <f>IF(D80=0,0,(D78/D80)*100)</f>
        <v>0</v>
      </c>
      <c r="E77" s="286">
        <f>IF(E80=0,0,(E78/E80)*100)</f>
        <v>22.878571918216338</v>
      </c>
    </row>
    <row r="78" spans="1:5" ht="24" customHeight="1" x14ac:dyDescent="0.2">
      <c r="A78" s="17">
        <v>12</v>
      </c>
      <c r="B78" s="45" t="s">
        <v>58</v>
      </c>
      <c r="C78" s="270">
        <f>+C74</f>
        <v>0</v>
      </c>
      <c r="D78" s="270">
        <f>+D74</f>
        <v>0</v>
      </c>
      <c r="E78" s="270">
        <f>+E74</f>
        <v>92471763</v>
      </c>
    </row>
    <row r="79" spans="1:5" ht="24" customHeight="1" x14ac:dyDescent="0.2">
      <c r="A79" s="17">
        <v>13</v>
      </c>
      <c r="B79" s="45" t="s">
        <v>67</v>
      </c>
      <c r="C79" s="270">
        <f>+C32</f>
        <v>0</v>
      </c>
      <c r="D79" s="270">
        <f>+D32</f>
        <v>0</v>
      </c>
      <c r="E79" s="270">
        <f>+E32</f>
        <v>311713268</v>
      </c>
    </row>
    <row r="80" spans="1:5" ht="24" customHeight="1" x14ac:dyDescent="0.2">
      <c r="A80" s="17">
        <v>14</v>
      </c>
      <c r="B80" s="45" t="s">
        <v>362</v>
      </c>
      <c r="C80" s="270">
        <f>+C78+C79</f>
        <v>0</v>
      </c>
      <c r="D80" s="270">
        <f>+D78+D79</f>
        <v>0</v>
      </c>
      <c r="E80" s="270">
        <f>+E78+E79</f>
        <v>404185031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FILING&amp;R&amp;8WESTERN CONNECTICUT HEALTHCARE,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61079</v>
      </c>
      <c r="D11" s="297">
        <v>177</v>
      </c>
      <c r="E11" s="297">
        <v>215</v>
      </c>
      <c r="F11" s="298">
        <f>IF(D11=0,0,$C11/(D11*365))</f>
        <v>0.94542218094574726</v>
      </c>
      <c r="G11" s="298">
        <f>IF(E11=0,0,$C11/(E11*365))</f>
        <v>0.77832430710417333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3741</v>
      </c>
      <c r="D13" s="297">
        <v>11</v>
      </c>
      <c r="E13" s="297">
        <v>20</v>
      </c>
      <c r="F13" s="298">
        <f>IF(D13=0,0,$C13/(D13*365))</f>
        <v>0.93175591531755919</v>
      </c>
      <c r="G13" s="298">
        <f>IF(E13=0,0,$C13/(E13*365))</f>
        <v>0.5124657534246575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110</v>
      </c>
      <c r="D15" s="297">
        <v>1</v>
      </c>
      <c r="E15" s="297">
        <v>1</v>
      </c>
      <c r="F15" s="298">
        <f t="shared" ref="F15:G17" si="0">IF(D15=0,0,$C15/(D15*365))</f>
        <v>0.30136986301369861</v>
      </c>
      <c r="G15" s="298">
        <f t="shared" si="0"/>
        <v>0.30136986301369861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6942</v>
      </c>
      <c r="D16" s="297">
        <v>20</v>
      </c>
      <c r="E16" s="297">
        <v>22</v>
      </c>
      <c r="F16" s="298">
        <f t="shared" si="0"/>
        <v>0.95095890410958905</v>
      </c>
      <c r="G16" s="298">
        <f t="shared" si="0"/>
        <v>0.86450809464508094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7052</v>
      </c>
      <c r="D17" s="300">
        <f>SUM(D15:D16)</f>
        <v>21</v>
      </c>
      <c r="E17" s="300">
        <f>SUM(E15:E16)</f>
        <v>23</v>
      </c>
      <c r="F17" s="301">
        <f t="shared" si="0"/>
        <v>0.92002609262883239</v>
      </c>
      <c r="G17" s="301">
        <f t="shared" si="0"/>
        <v>0.84002382370458606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4416</v>
      </c>
      <c r="D19" s="297">
        <v>13</v>
      </c>
      <c r="E19" s="297">
        <v>14</v>
      </c>
      <c r="F19" s="298">
        <f>IF(D19=0,0,$C19/(D19*365))</f>
        <v>0.93066385669125395</v>
      </c>
      <c r="G19" s="298">
        <f>IF(E19=0,0,$C19/(E19*365))</f>
        <v>0.86418786692759297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6763</v>
      </c>
      <c r="D21" s="297">
        <v>19</v>
      </c>
      <c r="E21" s="297">
        <v>34</v>
      </c>
      <c r="F21" s="298">
        <f>IF(D21=0,0,$C21/(D21*365))</f>
        <v>0.97519826964671952</v>
      </c>
      <c r="G21" s="298">
        <f>IF(E21=0,0,$C21/(E21*365))</f>
        <v>0.54496373892022565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4922</v>
      </c>
      <c r="D23" s="297">
        <v>14</v>
      </c>
      <c r="E23" s="297">
        <v>26</v>
      </c>
      <c r="F23" s="298">
        <f>IF(D23=0,0,$C23/(D23*365))</f>
        <v>0.96320939334637967</v>
      </c>
      <c r="G23" s="298">
        <f>IF(E23=0,0,$C23/(E23*365))</f>
        <v>0.51865121180189677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4119</v>
      </c>
      <c r="D25" s="297">
        <v>12</v>
      </c>
      <c r="E25" s="297">
        <v>15</v>
      </c>
      <c r="F25" s="298">
        <f>IF(D25=0,0,$C25/(D25*365))</f>
        <v>0.94041095890410964</v>
      </c>
      <c r="G25" s="298">
        <f>IF(E25=0,0,$C25/(E25*365))</f>
        <v>0.75232876712328767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3792</v>
      </c>
      <c r="D27" s="297">
        <v>11</v>
      </c>
      <c r="E27" s="297">
        <v>18</v>
      </c>
      <c r="F27" s="298">
        <f>IF(D27=0,0,$C27/(D27*365))</f>
        <v>0.94445828144458277</v>
      </c>
      <c r="G27" s="298">
        <f>IF(E27=0,0,$C27/(E27*365))</f>
        <v>0.57716894977168953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90962</v>
      </c>
      <c r="D31" s="300">
        <f>SUM(D10:D29)-D17-D23</f>
        <v>264</v>
      </c>
      <c r="E31" s="300">
        <f>SUM(E10:E29)-E17-E23</f>
        <v>339</v>
      </c>
      <c r="F31" s="301">
        <f>IF(D31=0,0,$C31/(D31*365))</f>
        <v>0.94398090493980902</v>
      </c>
      <c r="G31" s="301">
        <f>IF(E31=0,0,$C31/(E31*365))</f>
        <v>0.73513557198852386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95884</v>
      </c>
      <c r="D33" s="300">
        <f>SUM(D10:D29)-D17</f>
        <v>278</v>
      </c>
      <c r="E33" s="300">
        <f>SUM(E10:E29)-E17</f>
        <v>365</v>
      </c>
      <c r="F33" s="301">
        <f>IF(D33=0,0,$C33/(D33*365))</f>
        <v>0.94494924608258601</v>
      </c>
      <c r="G33" s="301">
        <f>IF(E33=0,0,$C33/(E33*365))</f>
        <v>0.71971476824920244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95884</v>
      </c>
      <c r="D36" s="300">
        <f>+D33</f>
        <v>278</v>
      </c>
      <c r="E36" s="300">
        <f>+E33</f>
        <v>365</v>
      </c>
      <c r="F36" s="301">
        <f>+F33</f>
        <v>0.94494924608258601</v>
      </c>
      <c r="G36" s="301">
        <f>+G33</f>
        <v>0.71971476824920244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91794</v>
      </c>
      <c r="D37" s="302">
        <v>271</v>
      </c>
      <c r="E37" s="302">
        <v>351</v>
      </c>
      <c r="F37" s="301">
        <f>IF(D37=0,0,$C37/(D37*365))</f>
        <v>0.92800889652732144</v>
      </c>
      <c r="G37" s="301">
        <f>IF(E37=0,0,$C37/(E37*365))</f>
        <v>0.71649689731881516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4090</v>
      </c>
      <c r="D38" s="300">
        <f>+D36-D37</f>
        <v>7</v>
      </c>
      <c r="E38" s="300">
        <f>+E36-E37</f>
        <v>14</v>
      </c>
      <c r="F38" s="301">
        <f>+F36-F37</f>
        <v>1.6940349555264578E-2</v>
      </c>
      <c r="G38" s="301">
        <f>+G36-G37</f>
        <v>3.2178709303872788E-3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4.4556289082075082E-2</v>
      </c>
      <c r="D40" s="148">
        <f>IF(D37=0,0,D38/D37)</f>
        <v>2.5830258302583026E-2</v>
      </c>
      <c r="E40" s="148">
        <f>IF(E37=0,0,E38/E37)</f>
        <v>3.9886039886039885E-2</v>
      </c>
      <c r="F40" s="148">
        <f>IF(F37=0,0,F38/F37)</f>
        <v>1.8254512018857395E-2</v>
      </c>
      <c r="G40" s="148">
        <f>IF(G37=0,0,G38/G37)</f>
        <v>4.4911163501597726E-3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371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FILING&amp;RDANBURY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13046</v>
      </c>
      <c r="D12" s="296">
        <v>11998</v>
      </c>
      <c r="E12" s="296">
        <f>+D12-C12</f>
        <v>-1048</v>
      </c>
      <c r="F12" s="316">
        <f>IF(C12=0,0,+E12/C12)</f>
        <v>-8.0331135980377125E-2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15358</v>
      </c>
      <c r="D13" s="296">
        <v>13625</v>
      </c>
      <c r="E13" s="296">
        <f>+D13-C13</f>
        <v>-1733</v>
      </c>
      <c r="F13" s="316">
        <f>IF(C13=0,0,+E13/C13)</f>
        <v>-0.1128402135694752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10842</v>
      </c>
      <c r="D14" s="296">
        <v>11040</v>
      </c>
      <c r="E14" s="296">
        <f>+D14-C14</f>
        <v>198</v>
      </c>
      <c r="F14" s="316">
        <f>IF(C14=0,0,+E14/C14)</f>
        <v>1.8262313226342003E-2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8277</v>
      </c>
      <c r="D15" s="296">
        <v>8814</v>
      </c>
      <c r="E15" s="296">
        <f>+D15-C15</f>
        <v>537</v>
      </c>
      <c r="F15" s="316">
        <f>IF(C15=0,0,+E15/C15)</f>
        <v>6.4878579195360636E-2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47523</v>
      </c>
      <c r="D16" s="300">
        <f>SUM(D12:D15)</f>
        <v>45477</v>
      </c>
      <c r="E16" s="300">
        <f>+D16-C16</f>
        <v>-2046</v>
      </c>
      <c r="F16" s="309">
        <f>IF(C16=0,0,+E16/C16)</f>
        <v>-4.3052837573385516E-2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1428</v>
      </c>
      <c r="D19" s="296">
        <v>1413</v>
      </c>
      <c r="E19" s="296">
        <f>+D19-C19</f>
        <v>-15</v>
      </c>
      <c r="F19" s="316">
        <f>IF(C19=0,0,+E19/C19)</f>
        <v>-1.050420168067227E-2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7073</v>
      </c>
      <c r="D20" s="296">
        <v>6897</v>
      </c>
      <c r="E20" s="296">
        <f>+D20-C20</f>
        <v>-176</v>
      </c>
      <c r="F20" s="316">
        <f>IF(C20=0,0,+E20/C20)</f>
        <v>-2.4883359253499222E-2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131</v>
      </c>
      <c r="D21" s="296">
        <v>163</v>
      </c>
      <c r="E21" s="296">
        <f>+D21-C21</f>
        <v>32</v>
      </c>
      <c r="F21" s="316">
        <f>IF(C21=0,0,+E21/C21)</f>
        <v>0.24427480916030533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6170</v>
      </c>
      <c r="D22" s="296">
        <v>6554</v>
      </c>
      <c r="E22" s="296">
        <f>+D22-C22</f>
        <v>384</v>
      </c>
      <c r="F22" s="316">
        <f>IF(C22=0,0,+E22/C22)</f>
        <v>6.2236628849270663E-2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14802</v>
      </c>
      <c r="D23" s="300">
        <f>SUM(D19:D22)</f>
        <v>15027</v>
      </c>
      <c r="E23" s="300">
        <f>+D23-C23</f>
        <v>225</v>
      </c>
      <c r="F23" s="309">
        <f>IF(C23=0,0,+E23/C23)</f>
        <v>1.5200648561005269E-2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100</v>
      </c>
      <c r="D27" s="296">
        <v>167</v>
      </c>
      <c r="E27" s="296">
        <f>+D27-C27</f>
        <v>67</v>
      </c>
      <c r="F27" s="316">
        <f>IF(C27=0,0,+E27/C27)</f>
        <v>0.67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100</v>
      </c>
      <c r="D30" s="300">
        <f>SUM(D26:D29)</f>
        <v>167</v>
      </c>
      <c r="E30" s="300">
        <f>+D30-C30</f>
        <v>67</v>
      </c>
      <c r="F30" s="309">
        <f>IF(C30=0,0,+E30/C30)</f>
        <v>0.67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3</v>
      </c>
      <c r="D33" s="296">
        <v>7</v>
      </c>
      <c r="E33" s="296">
        <f>+D33-C33</f>
        <v>4</v>
      </c>
      <c r="F33" s="316">
        <f>IF(C33=0,0,+E33/C33)</f>
        <v>1.3333333333333333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747</v>
      </c>
      <c r="D34" s="296">
        <v>567</v>
      </c>
      <c r="E34" s="296">
        <f>+D34-C34</f>
        <v>-180</v>
      </c>
      <c r="F34" s="316">
        <f>IF(C34=0,0,+E34/C34)</f>
        <v>-0.24096385542168675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750</v>
      </c>
      <c r="D37" s="300">
        <f>SUM(D33:D36)</f>
        <v>574</v>
      </c>
      <c r="E37" s="300">
        <f>+D37-C37</f>
        <v>-176</v>
      </c>
      <c r="F37" s="309">
        <f>IF(C37=0,0,+E37/C37)</f>
        <v>-0.23466666666666666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432</v>
      </c>
      <c r="D43" s="296">
        <v>479</v>
      </c>
      <c r="E43" s="296">
        <f>+D43-C43</f>
        <v>47</v>
      </c>
      <c r="F43" s="316">
        <f>IF(C43=0,0,+E43/C43)</f>
        <v>0.10879629629629629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11932</v>
      </c>
      <c r="D44" s="296">
        <v>10168</v>
      </c>
      <c r="E44" s="296">
        <f>+D44-C44</f>
        <v>-1764</v>
      </c>
      <c r="F44" s="316">
        <f>IF(C44=0,0,+E44/C44)</f>
        <v>-0.14783774723432785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12364</v>
      </c>
      <c r="D45" s="300">
        <f>SUM(D43:D44)</f>
        <v>10647</v>
      </c>
      <c r="E45" s="300">
        <f>+D45-C45</f>
        <v>-1717</v>
      </c>
      <c r="F45" s="309">
        <f>IF(C45=0,0,+E45/C45)</f>
        <v>-0.13887091556130701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612</v>
      </c>
      <c r="D48" s="296">
        <v>871</v>
      </c>
      <c r="E48" s="296">
        <f>+D48-C48</f>
        <v>259</v>
      </c>
      <c r="F48" s="316">
        <f>IF(C48=0,0,+E48/C48)</f>
        <v>0.42320261437908496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688</v>
      </c>
      <c r="D49" s="296">
        <v>800</v>
      </c>
      <c r="E49" s="296">
        <f>+D49-C49</f>
        <v>112</v>
      </c>
      <c r="F49" s="316">
        <f>IF(C49=0,0,+E49/C49)</f>
        <v>0.16279069767441862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1300</v>
      </c>
      <c r="D50" s="300">
        <f>SUM(D48:D49)</f>
        <v>1671</v>
      </c>
      <c r="E50" s="300">
        <f>+D50-C50</f>
        <v>371</v>
      </c>
      <c r="F50" s="309">
        <f>IF(C50=0,0,+E50/C50)</f>
        <v>0.2853846153846154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83</v>
      </c>
      <c r="D53" s="296">
        <v>100</v>
      </c>
      <c r="E53" s="296">
        <f>+D53-C53</f>
        <v>17</v>
      </c>
      <c r="F53" s="316">
        <f>IF(C53=0,0,+E53/C53)</f>
        <v>0.20481927710843373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368</v>
      </c>
      <c r="D54" s="296">
        <v>305</v>
      </c>
      <c r="E54" s="296">
        <f>+D54-C54</f>
        <v>-63</v>
      </c>
      <c r="F54" s="316">
        <f>IF(C54=0,0,+E54/C54)</f>
        <v>-0.17119565217391305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451</v>
      </c>
      <c r="D55" s="300">
        <f>SUM(D53:D54)</f>
        <v>405</v>
      </c>
      <c r="E55" s="300">
        <f>+D55-C55</f>
        <v>-46</v>
      </c>
      <c r="F55" s="309">
        <f>IF(C55=0,0,+E55/C55)</f>
        <v>-0.10199556541019955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12</v>
      </c>
      <c r="D58" s="296">
        <v>19</v>
      </c>
      <c r="E58" s="296">
        <f>+D58-C58</f>
        <v>7</v>
      </c>
      <c r="F58" s="316">
        <f>IF(C58=0,0,+E58/C58)</f>
        <v>0.58333333333333337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53</v>
      </c>
      <c r="D59" s="296">
        <v>100</v>
      </c>
      <c r="E59" s="296">
        <f>+D59-C59</f>
        <v>47</v>
      </c>
      <c r="F59" s="316">
        <f>IF(C59=0,0,+E59/C59)</f>
        <v>0.8867924528301887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65</v>
      </c>
      <c r="D60" s="300">
        <f>SUM(D58:D59)</f>
        <v>119</v>
      </c>
      <c r="E60" s="300">
        <f>SUM(E58:E59)</f>
        <v>54</v>
      </c>
      <c r="F60" s="309">
        <f>IF(C60=0,0,+E60/C60)</f>
        <v>0.83076923076923082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4892</v>
      </c>
      <c r="D63" s="296">
        <v>4625</v>
      </c>
      <c r="E63" s="296">
        <f>+D63-C63</f>
        <v>-267</v>
      </c>
      <c r="F63" s="316">
        <f>IF(C63=0,0,+E63/C63)</f>
        <v>-5.457890433360589E-2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7902</v>
      </c>
      <c r="D64" s="296">
        <v>7615</v>
      </c>
      <c r="E64" s="296">
        <f>+D64-C64</f>
        <v>-287</v>
      </c>
      <c r="F64" s="316">
        <f>IF(C64=0,0,+E64/C64)</f>
        <v>-3.6319919007846112E-2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12794</v>
      </c>
      <c r="D65" s="300">
        <f>SUM(D63:D64)</f>
        <v>12240</v>
      </c>
      <c r="E65" s="300">
        <f>+D65-C65</f>
        <v>-554</v>
      </c>
      <c r="F65" s="309">
        <f>IF(C65=0,0,+E65/C65)</f>
        <v>-4.3301547600437702E-2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946</v>
      </c>
      <c r="D68" s="296">
        <v>834</v>
      </c>
      <c r="E68" s="296">
        <f>+D68-C68</f>
        <v>-112</v>
      </c>
      <c r="F68" s="316">
        <f>IF(C68=0,0,+E68/C68)</f>
        <v>-0.11839323467230443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10084</v>
      </c>
      <c r="D69" s="296">
        <v>9891</v>
      </c>
      <c r="E69" s="296">
        <f>+D69-C69</f>
        <v>-193</v>
      </c>
      <c r="F69" s="318">
        <f>IF(C69=0,0,+E69/C69)</f>
        <v>-1.9139230464101546E-2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11030</v>
      </c>
      <c r="D70" s="300">
        <f>SUM(D68:D69)</f>
        <v>10725</v>
      </c>
      <c r="E70" s="300">
        <f>+D70-C70</f>
        <v>-305</v>
      </c>
      <c r="F70" s="309">
        <f>IF(C70=0,0,+E70/C70)</f>
        <v>-2.7651858567543066E-2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13885</v>
      </c>
      <c r="D73" s="319">
        <v>14124</v>
      </c>
      <c r="E73" s="296">
        <f>+D73-C73</f>
        <v>239</v>
      </c>
      <c r="F73" s="316">
        <f>IF(C73=0,0,+E73/C73)</f>
        <v>1.7212819589485055E-2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55697</v>
      </c>
      <c r="D74" s="319">
        <v>56136</v>
      </c>
      <c r="E74" s="296">
        <f>+D74-C74</f>
        <v>439</v>
      </c>
      <c r="F74" s="316">
        <f>IF(C74=0,0,+E74/C74)</f>
        <v>7.8819325996014149E-3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69582</v>
      </c>
      <c r="D75" s="300">
        <f>SUM(D73:D74)</f>
        <v>70260</v>
      </c>
      <c r="E75" s="300">
        <f>SUM(E73:E74)</f>
        <v>678</v>
      </c>
      <c r="F75" s="309">
        <f>IF(C75=0,0,+E75/C75)</f>
        <v>9.7438992842976638E-3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12686</v>
      </c>
      <c r="D80" s="319">
        <v>12450</v>
      </c>
      <c r="E80" s="296">
        <f t="shared" si="0"/>
        <v>-236</v>
      </c>
      <c r="F80" s="316">
        <f t="shared" si="1"/>
        <v>-1.8603184612959168E-2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22772</v>
      </c>
      <c r="D81" s="319">
        <v>21803</v>
      </c>
      <c r="E81" s="296">
        <f t="shared" si="0"/>
        <v>-969</v>
      </c>
      <c r="F81" s="316">
        <f t="shared" si="1"/>
        <v>-4.2552257157913227E-2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43139</v>
      </c>
      <c r="D82" s="319">
        <v>39551</v>
      </c>
      <c r="E82" s="296">
        <f t="shared" si="0"/>
        <v>-3588</v>
      </c>
      <c r="F82" s="316">
        <f t="shared" si="1"/>
        <v>-8.3172998910498619E-2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3052</v>
      </c>
      <c r="D83" s="319">
        <v>3067</v>
      </c>
      <c r="E83" s="296">
        <f t="shared" si="0"/>
        <v>15</v>
      </c>
      <c r="F83" s="316">
        <f t="shared" si="1"/>
        <v>4.9148099606815205E-3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81649</v>
      </c>
      <c r="D84" s="320">
        <f>SUM(D79:D83)</f>
        <v>76871</v>
      </c>
      <c r="E84" s="300">
        <f t="shared" si="0"/>
        <v>-4778</v>
      </c>
      <c r="F84" s="309">
        <f t="shared" si="1"/>
        <v>-5.8518781613981802E-2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42532</v>
      </c>
      <c r="D87" s="322">
        <v>41425</v>
      </c>
      <c r="E87" s="323">
        <f t="shared" ref="E87:E92" si="2">+D87-C87</f>
        <v>-1107</v>
      </c>
      <c r="F87" s="318">
        <f t="shared" ref="F87:F92" si="3">IF(C87=0,0,+E87/C87)</f>
        <v>-2.6027461675914604E-2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5557</v>
      </c>
      <c r="D88" s="322">
        <v>6715</v>
      </c>
      <c r="E88" s="296">
        <f t="shared" si="2"/>
        <v>1158</v>
      </c>
      <c r="F88" s="316">
        <f t="shared" si="3"/>
        <v>0.20838581968688141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2803</v>
      </c>
      <c r="D89" s="322">
        <v>2931</v>
      </c>
      <c r="E89" s="296">
        <f t="shared" si="2"/>
        <v>128</v>
      </c>
      <c r="F89" s="316">
        <f t="shared" si="3"/>
        <v>4.5665358544416695E-2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0</v>
      </c>
      <c r="D91" s="322">
        <v>0</v>
      </c>
      <c r="E91" s="296">
        <f t="shared" si="2"/>
        <v>0</v>
      </c>
      <c r="F91" s="316">
        <f t="shared" si="3"/>
        <v>0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50892</v>
      </c>
      <c r="D92" s="320">
        <f>SUM(D87:D91)</f>
        <v>51071</v>
      </c>
      <c r="E92" s="300">
        <f t="shared" si="2"/>
        <v>179</v>
      </c>
      <c r="F92" s="309">
        <f t="shared" si="3"/>
        <v>3.5172522203882734E-3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551.4</v>
      </c>
      <c r="D96" s="325">
        <v>564.29999999999995</v>
      </c>
      <c r="E96" s="326">
        <f>+D96-C96</f>
        <v>12.899999999999977</v>
      </c>
      <c r="F96" s="316">
        <f>IF(C96=0,0,+E96/C96)</f>
        <v>2.339499455930355E-2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79.599999999999994</v>
      </c>
      <c r="D97" s="325">
        <v>87.4</v>
      </c>
      <c r="E97" s="326">
        <f>+D97-C97</f>
        <v>7.8000000000000114</v>
      </c>
      <c r="F97" s="316">
        <f>IF(C97=0,0,+E97/C97)</f>
        <v>9.7989949748743865E-2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1817</v>
      </c>
      <c r="D98" s="325">
        <v>1841.1</v>
      </c>
      <c r="E98" s="326">
        <f>+D98-C98</f>
        <v>24.099999999999909</v>
      </c>
      <c r="F98" s="316">
        <f>IF(C98=0,0,+E98/C98)</f>
        <v>1.3263621353879972E-2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2448</v>
      </c>
      <c r="D99" s="327">
        <f>SUM(D96:D98)</f>
        <v>2492.7999999999997</v>
      </c>
      <c r="E99" s="327">
        <f>+D99-C99</f>
        <v>44.799999999999727</v>
      </c>
      <c r="F99" s="309">
        <f>IF(C99=0,0,+E99/C99)</f>
        <v>1.8300653594771132E-2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FILING&amp;RDANBURY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7902</v>
      </c>
      <c r="D12" s="296">
        <v>7615</v>
      </c>
      <c r="E12" s="296">
        <f>+D12-C12</f>
        <v>-287</v>
      </c>
      <c r="F12" s="316">
        <f>IF(C12=0,0,+E12/C12)</f>
        <v>-3.6319919007846112E-2</v>
      </c>
    </row>
    <row r="13" spans="1:16" ht="15.75" customHeight="1" x14ac:dyDescent="0.25">
      <c r="A13" s="294"/>
      <c r="B13" s="135" t="s">
        <v>584</v>
      </c>
      <c r="C13" s="300">
        <f>SUM(C11:C12)</f>
        <v>7902</v>
      </c>
      <c r="D13" s="300">
        <f>SUM(D11:D12)</f>
        <v>7615</v>
      </c>
      <c r="E13" s="300">
        <f>+D13-C13</f>
        <v>-287</v>
      </c>
      <c r="F13" s="309">
        <f>IF(C13=0,0,+E13/C13)</f>
        <v>-3.6319919007846112E-2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10084</v>
      </c>
      <c r="D16" s="296">
        <v>9891</v>
      </c>
      <c r="E16" s="296">
        <f>+D16-C16</f>
        <v>-193</v>
      </c>
      <c r="F16" s="316">
        <f>IF(C16=0,0,+E16/C16)</f>
        <v>-1.9139230464101546E-2</v>
      </c>
    </row>
    <row r="17" spans="1:6" ht="15.75" customHeight="1" x14ac:dyDescent="0.25">
      <c r="A17" s="294"/>
      <c r="B17" s="135" t="s">
        <v>585</v>
      </c>
      <c r="C17" s="300">
        <f>SUM(C15:C16)</f>
        <v>10084</v>
      </c>
      <c r="D17" s="300">
        <f>SUM(D15:D16)</f>
        <v>9891</v>
      </c>
      <c r="E17" s="300">
        <f>+D17-C17</f>
        <v>-193</v>
      </c>
      <c r="F17" s="309">
        <f>IF(C17=0,0,+E17/C17)</f>
        <v>-1.9139230464101546E-2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55697</v>
      </c>
      <c r="D20" s="296">
        <v>56136</v>
      </c>
      <c r="E20" s="296">
        <f>+D20-C20</f>
        <v>439</v>
      </c>
      <c r="F20" s="316">
        <f>IF(C20=0,0,+E20/C20)</f>
        <v>7.8819325996014149E-3</v>
      </c>
    </row>
    <row r="21" spans="1:6" ht="15.75" customHeight="1" x14ac:dyDescent="0.25">
      <c r="A21" s="294"/>
      <c r="B21" s="135" t="s">
        <v>587</v>
      </c>
      <c r="C21" s="300">
        <f>SUM(C19:C20)</f>
        <v>55697</v>
      </c>
      <c r="D21" s="300">
        <f>SUM(D19:D20)</f>
        <v>56136</v>
      </c>
      <c r="E21" s="300">
        <f>+D21-C21</f>
        <v>439</v>
      </c>
      <c r="F21" s="309">
        <f>IF(C21=0,0,+E21/C21)</f>
        <v>7.8819325996014149E-3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FILING&amp;RDANBURY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602</v>
      </c>
      <c r="C15" s="361">
        <v>249602920</v>
      </c>
      <c r="D15" s="361">
        <v>262457541</v>
      </c>
      <c r="E15" s="361">
        <f t="shared" ref="E15:E24" si="0">D15-C15</f>
        <v>12854621</v>
      </c>
      <c r="F15" s="362">
        <f t="shared" ref="F15:F24" si="1">IF(C15=0,0,E15/C15)</f>
        <v>5.1500282929382399E-2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86419238</v>
      </c>
      <c r="D16" s="361">
        <v>90713748</v>
      </c>
      <c r="E16" s="361">
        <f t="shared" si="0"/>
        <v>4294510</v>
      </c>
      <c r="F16" s="362">
        <f t="shared" si="1"/>
        <v>4.9693911904198924E-2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0.34622687106384814</v>
      </c>
      <c r="D17" s="366">
        <f>IF(LN_IA1=0,0,LN_IA2/LN_IA1)</f>
        <v>0.34563208835367393</v>
      </c>
      <c r="E17" s="367">
        <f t="shared" si="0"/>
        <v>-5.9478271017421314E-4</v>
      </c>
      <c r="F17" s="362">
        <f t="shared" si="1"/>
        <v>-1.717898753342367E-3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8566</v>
      </c>
      <c r="D18" s="369">
        <v>8917</v>
      </c>
      <c r="E18" s="369">
        <f t="shared" si="0"/>
        <v>351</v>
      </c>
      <c r="F18" s="362">
        <f t="shared" si="1"/>
        <v>4.0975951435909409E-2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1.3711</v>
      </c>
      <c r="D19" s="372">
        <v>1.3485</v>
      </c>
      <c r="E19" s="373">
        <f t="shared" si="0"/>
        <v>-2.2599999999999953E-2</v>
      </c>
      <c r="F19" s="362">
        <f t="shared" si="1"/>
        <v>-1.6483115746480894E-2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11744.8426</v>
      </c>
      <c r="D20" s="376">
        <f>LN_IA4*LN_IA5</f>
        <v>12024.574500000001</v>
      </c>
      <c r="E20" s="376">
        <f t="shared" si="0"/>
        <v>279.73190000000068</v>
      </c>
      <c r="F20" s="362">
        <f t="shared" si="1"/>
        <v>2.3817424339088265E-2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7358.0584213193288</v>
      </c>
      <c r="D21" s="378">
        <f>IF(LN_IA6=0,0,LN_IA2/LN_IA6)</f>
        <v>7544.02977003469</v>
      </c>
      <c r="E21" s="378">
        <f t="shared" si="0"/>
        <v>185.97134871536127</v>
      </c>
      <c r="F21" s="362">
        <f t="shared" si="1"/>
        <v>2.5274513746252083E-2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46411</v>
      </c>
      <c r="D22" s="369">
        <v>49996</v>
      </c>
      <c r="E22" s="369">
        <f t="shared" si="0"/>
        <v>3585</v>
      </c>
      <c r="F22" s="362">
        <f t="shared" si="1"/>
        <v>7.7244618732628043E-2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1862.0421451810994</v>
      </c>
      <c r="D23" s="378">
        <f>IF(LN_IA8=0,0,LN_IA2/LN_IA8)</f>
        <v>1814.4201136090887</v>
      </c>
      <c r="E23" s="378">
        <f t="shared" si="0"/>
        <v>-47.622031572010656</v>
      </c>
      <c r="F23" s="362">
        <f t="shared" si="1"/>
        <v>-2.5575163105332942E-2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5.4180480971281808</v>
      </c>
      <c r="D24" s="379">
        <f>IF(LN_IA4=0,0,LN_IA8/LN_IA4)</f>
        <v>5.6068184366939553</v>
      </c>
      <c r="E24" s="379">
        <f t="shared" si="0"/>
        <v>0.18877033956577449</v>
      </c>
      <c r="F24" s="362">
        <f t="shared" si="1"/>
        <v>3.484102322122825E-2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177971128</v>
      </c>
      <c r="D27" s="361">
        <v>189128726</v>
      </c>
      <c r="E27" s="361">
        <f t="shared" ref="E27:E32" si="2">D27-C27</f>
        <v>11157598</v>
      </c>
      <c r="F27" s="362">
        <f t="shared" ref="F27:F32" si="3">IF(C27=0,0,E27/C27)</f>
        <v>6.2693303826225122E-2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61613338</v>
      </c>
      <c r="D28" s="361">
        <v>65361297</v>
      </c>
      <c r="E28" s="361">
        <f t="shared" si="2"/>
        <v>3747959</v>
      </c>
      <c r="F28" s="362">
        <f t="shared" si="3"/>
        <v>6.0830318915686729E-2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0.34619850248968476</v>
      </c>
      <c r="D29" s="366">
        <f>IF(LN_IA11=0,0,LN_IA12/LN_IA11)</f>
        <v>0.34559158929669942</v>
      </c>
      <c r="E29" s="367">
        <f t="shared" si="2"/>
        <v>-6.0691319298533664E-4</v>
      </c>
      <c r="F29" s="362">
        <f t="shared" si="3"/>
        <v>-1.7530786199845567E-3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0.71301701117919614</v>
      </c>
      <c r="D30" s="366">
        <f>IF(LN_IA1=0,0,LN_IA11/LN_IA1)</f>
        <v>0.72060694190531949</v>
      </c>
      <c r="E30" s="367">
        <f t="shared" si="2"/>
        <v>7.5899307261233506E-3</v>
      </c>
      <c r="F30" s="362">
        <f t="shared" si="3"/>
        <v>1.0644810161781457E-2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6107.7037177609946</v>
      </c>
      <c r="D31" s="376">
        <f>LN_IA14*LN_IA4</f>
        <v>6425.6521009697335</v>
      </c>
      <c r="E31" s="376">
        <f t="shared" si="2"/>
        <v>317.94838320873896</v>
      </c>
      <c r="F31" s="362">
        <f t="shared" si="3"/>
        <v>5.2056942821924364E-2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10087.807275397219</v>
      </c>
      <c r="D32" s="378">
        <f>IF(LN_IA15=0,0,LN_IA12/LN_IA15)</f>
        <v>10171.932120342453</v>
      </c>
      <c r="E32" s="378">
        <f t="shared" si="2"/>
        <v>84.124844945234145</v>
      </c>
      <c r="F32" s="362">
        <f t="shared" si="3"/>
        <v>8.3392597269778459E-3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427574048</v>
      </c>
      <c r="D35" s="361">
        <f>LN_IA1+LN_IA11</f>
        <v>451586267</v>
      </c>
      <c r="E35" s="361">
        <f>D35-C35</f>
        <v>24012219</v>
      </c>
      <c r="F35" s="362">
        <f>IF(C35=0,0,E35/C35)</f>
        <v>5.6159205902038281E-2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148032576</v>
      </c>
      <c r="D36" s="361">
        <f>LN_IA2+LN_IA12</f>
        <v>156075045</v>
      </c>
      <c r="E36" s="361">
        <f>D36-C36</f>
        <v>8042469</v>
      </c>
      <c r="F36" s="362">
        <f>IF(C36=0,0,E36/C36)</f>
        <v>5.4329048492677723E-2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279541472</v>
      </c>
      <c r="D37" s="361">
        <f>LN_IA17-LN_IA18</f>
        <v>295511222</v>
      </c>
      <c r="E37" s="361">
        <f>D37-C37</f>
        <v>15969750</v>
      </c>
      <c r="F37" s="362">
        <f>IF(C37=0,0,E37/C37)</f>
        <v>5.7128374855234358E-2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196757326</v>
      </c>
      <c r="D42" s="361">
        <v>197098422</v>
      </c>
      <c r="E42" s="361">
        <f t="shared" ref="E42:E53" si="4">D42-C42</f>
        <v>341096</v>
      </c>
      <c r="F42" s="362">
        <f t="shared" ref="F42:F53" si="5">IF(C42=0,0,E42/C42)</f>
        <v>1.7335872921956665E-3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114566154</v>
      </c>
      <c r="D43" s="361">
        <v>116901612</v>
      </c>
      <c r="E43" s="361">
        <f t="shared" si="4"/>
        <v>2335458</v>
      </c>
      <c r="F43" s="362">
        <f t="shared" si="5"/>
        <v>2.0385235241465818E-2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0.58227135085175941</v>
      </c>
      <c r="D44" s="366">
        <f>IF(LN_IB1=0,0,LN_IB2/LN_IB1)</f>
        <v>0.59311287636792953</v>
      </c>
      <c r="E44" s="367">
        <f t="shared" si="4"/>
        <v>1.0841525516170125E-2</v>
      </c>
      <c r="F44" s="362">
        <f t="shared" si="5"/>
        <v>1.8619369646661995E-2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9049</v>
      </c>
      <c r="D45" s="369">
        <v>8752</v>
      </c>
      <c r="E45" s="369">
        <f t="shared" si="4"/>
        <v>-297</v>
      </c>
      <c r="F45" s="362">
        <f t="shared" si="5"/>
        <v>-3.2821306221681952E-2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1.1226</v>
      </c>
      <c r="D46" s="372">
        <v>1.1614</v>
      </c>
      <c r="E46" s="373">
        <f t="shared" si="4"/>
        <v>3.8799999999999946E-2</v>
      </c>
      <c r="F46" s="362">
        <f t="shared" si="5"/>
        <v>3.456262248352035E-2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10158.4074</v>
      </c>
      <c r="D47" s="376">
        <f>LN_IB4*LN_IB5</f>
        <v>10164.5728</v>
      </c>
      <c r="E47" s="376">
        <f t="shared" si="4"/>
        <v>6.1653999999998632</v>
      </c>
      <c r="F47" s="362">
        <f t="shared" si="5"/>
        <v>6.0692584548241912E-4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11277.964102916369</v>
      </c>
      <c r="D48" s="378">
        <f>IF(LN_IB6=0,0,LN_IB2/LN_IB6)</f>
        <v>11500.887868105978</v>
      </c>
      <c r="E48" s="378">
        <f t="shared" si="4"/>
        <v>222.92376518960918</v>
      </c>
      <c r="F48" s="362">
        <f t="shared" si="5"/>
        <v>1.9766312709929918E-2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-3919.9056815970398</v>
      </c>
      <c r="D49" s="378">
        <f>LN_IA7-LN_IB7</f>
        <v>-3956.8580980712877</v>
      </c>
      <c r="E49" s="378">
        <f t="shared" si="4"/>
        <v>-36.952416474247912</v>
      </c>
      <c r="F49" s="362">
        <f t="shared" si="5"/>
        <v>9.4268636737179952E-3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-39819998.883237414</v>
      </c>
      <c r="D50" s="391">
        <f>LN_IB8*LN_IB6</f>
        <v>-40219772.197115146</v>
      </c>
      <c r="E50" s="391">
        <f t="shared" si="4"/>
        <v>-399773.31387773156</v>
      </c>
      <c r="F50" s="362">
        <f t="shared" si="5"/>
        <v>1.003951092640587E-2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33026</v>
      </c>
      <c r="D51" s="369">
        <v>32965</v>
      </c>
      <c r="E51" s="369">
        <f t="shared" si="4"/>
        <v>-61</v>
      </c>
      <c r="F51" s="362">
        <f t="shared" si="5"/>
        <v>-1.8470296130321565E-3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3468.9685096590565</v>
      </c>
      <c r="D52" s="378">
        <f>IF(LN_IB10=0,0,LN_IB2/LN_IB10)</f>
        <v>3546.2342484453206</v>
      </c>
      <c r="E52" s="378">
        <f t="shared" si="4"/>
        <v>77.265738786264137</v>
      </c>
      <c r="F52" s="362">
        <f t="shared" si="5"/>
        <v>2.2273404492178024E-2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3.6496850480716101</v>
      </c>
      <c r="D53" s="379">
        <f>IF(LN_IB4=0,0,LN_IB10/LN_IB4)</f>
        <v>3.7665676416819012</v>
      </c>
      <c r="E53" s="379">
        <f t="shared" si="4"/>
        <v>0.11688259361029107</v>
      </c>
      <c r="F53" s="362">
        <f t="shared" si="5"/>
        <v>3.2025391799779687E-2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275093595</v>
      </c>
      <c r="D56" s="361">
        <v>279872948</v>
      </c>
      <c r="E56" s="361">
        <f t="shared" ref="E56:E63" si="6">D56-C56</f>
        <v>4779353</v>
      </c>
      <c r="F56" s="362">
        <f t="shared" ref="F56:F63" si="7">IF(C56=0,0,E56/C56)</f>
        <v>1.7373552444941511E-2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154051987</v>
      </c>
      <c r="D57" s="361">
        <v>161524726</v>
      </c>
      <c r="E57" s="361">
        <f t="shared" si="6"/>
        <v>7472739</v>
      </c>
      <c r="F57" s="362">
        <f t="shared" si="7"/>
        <v>4.8507904023334665E-2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0.55999845070911225</v>
      </c>
      <c r="D58" s="366">
        <f>IF(LN_IB13=0,0,LN_IB14/LN_IB13)</f>
        <v>0.57713590096603407</v>
      </c>
      <c r="E58" s="367">
        <f t="shared" si="6"/>
        <v>1.7137450256921816E-2</v>
      </c>
      <c r="F58" s="362">
        <f t="shared" si="7"/>
        <v>3.0602674409582892E-2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1.398136479045258</v>
      </c>
      <c r="D59" s="366">
        <f>IF(LN_IB1=0,0,LN_IB13/LN_IB1)</f>
        <v>1.419965442442761</v>
      </c>
      <c r="E59" s="367">
        <f t="shared" si="6"/>
        <v>2.1828963397503065E-2</v>
      </c>
      <c r="F59" s="362">
        <f t="shared" si="7"/>
        <v>1.5612898829740396E-2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12651.736998880539</v>
      </c>
      <c r="D60" s="376">
        <f>LN_IB16*LN_IB4</f>
        <v>12427.537552259044</v>
      </c>
      <c r="E60" s="376">
        <f t="shared" si="6"/>
        <v>-224.19944662149464</v>
      </c>
      <c r="F60" s="362">
        <f t="shared" si="7"/>
        <v>-1.7720843125440599E-2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12176.350726673418</v>
      </c>
      <c r="D61" s="378">
        <f>IF(LN_IB17=0,0,LN_IB14/LN_IB17)</f>
        <v>12997.32351004954</v>
      </c>
      <c r="E61" s="378">
        <f t="shared" si="6"/>
        <v>820.97278337612261</v>
      </c>
      <c r="F61" s="362">
        <f t="shared" si="7"/>
        <v>6.7423549288680232E-2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-2088.5434512761985</v>
      </c>
      <c r="D62" s="378">
        <f>LN_IA16-LN_IB18</f>
        <v>-2825.391389707087</v>
      </c>
      <c r="E62" s="378">
        <f t="shared" si="6"/>
        <v>-736.84793843088846</v>
      </c>
      <c r="F62" s="362">
        <f t="shared" si="7"/>
        <v>0.35280469648866514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-26423702.456280734</v>
      </c>
      <c r="D63" s="361">
        <f>LN_IB19*LN_IB17</f>
        <v>-35112657.595414191</v>
      </c>
      <c r="E63" s="361">
        <f t="shared" si="6"/>
        <v>-8688955.1391334571</v>
      </c>
      <c r="F63" s="362">
        <f t="shared" si="7"/>
        <v>0.32883185668283027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471850921</v>
      </c>
      <c r="D66" s="361">
        <f>LN_IB1+LN_IB13</f>
        <v>476971370</v>
      </c>
      <c r="E66" s="361">
        <f>D66-C66</f>
        <v>5120449</v>
      </c>
      <c r="F66" s="362">
        <f>IF(C66=0,0,E66/C66)</f>
        <v>1.0851836400251511E-2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268618141</v>
      </c>
      <c r="D67" s="361">
        <f>LN_IB2+LN_IB14</f>
        <v>278426338</v>
      </c>
      <c r="E67" s="361">
        <f>D67-C67</f>
        <v>9808197</v>
      </c>
      <c r="F67" s="362">
        <f>IF(C67=0,0,E67/C67)</f>
        <v>3.6513531675435133E-2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203232780</v>
      </c>
      <c r="D68" s="361">
        <f>LN_IB21-LN_IB22</f>
        <v>198545032</v>
      </c>
      <c r="E68" s="361">
        <f>D68-C68</f>
        <v>-4687748</v>
      </c>
      <c r="F68" s="362">
        <f>IF(C68=0,0,E68/C68)</f>
        <v>-2.3065905017881465E-2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-66243701.339518145</v>
      </c>
      <c r="D70" s="353">
        <f>LN_IB9+LN_IB20</f>
        <v>-75332429.792529345</v>
      </c>
      <c r="E70" s="361">
        <f>D70-C70</f>
        <v>-9088728.4530111998</v>
      </c>
      <c r="F70" s="362">
        <f>IF(C70=0,0,E70/C70)</f>
        <v>0.13720139830998929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419231815</v>
      </c>
      <c r="D73" s="400">
        <v>427508232</v>
      </c>
      <c r="E73" s="400">
        <f>D73-C73</f>
        <v>8276417</v>
      </c>
      <c r="F73" s="401">
        <f>IF(C73=0,0,E73/C73)</f>
        <v>1.9741862864105387E-2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258865186</v>
      </c>
      <c r="D74" s="400">
        <v>264490798</v>
      </c>
      <c r="E74" s="400">
        <f>D74-C74</f>
        <v>5625612</v>
      </c>
      <c r="F74" s="401">
        <f>IF(C74=0,0,E74/C74)</f>
        <v>2.1731821443150723E-2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160366629</v>
      </c>
      <c r="D76" s="353">
        <f>LN_IB32-LN_IB33</f>
        <v>163017434</v>
      </c>
      <c r="E76" s="400">
        <f>D76-C76</f>
        <v>2650805</v>
      </c>
      <c r="F76" s="401">
        <f>IF(C76=0,0,E76/C76)</f>
        <v>1.6529654682708332E-2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0.3825249498299646</v>
      </c>
      <c r="D77" s="366">
        <f>IF(LN_IB1=0,0,LN_IB34/LN_IB32)</f>
        <v>0.38131998824293983</v>
      </c>
      <c r="E77" s="405">
        <f>D77-C77</f>
        <v>-1.2049615870247665E-3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6683450</v>
      </c>
      <c r="D83" s="361">
        <v>6593905</v>
      </c>
      <c r="E83" s="361">
        <f t="shared" ref="E83:E95" si="8">D83-C83</f>
        <v>-89545</v>
      </c>
      <c r="F83" s="362">
        <f t="shared" ref="F83:F95" si="9">IF(C83=0,0,E83/C83)</f>
        <v>-1.3398020483432957E-2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677729</v>
      </c>
      <c r="D84" s="361">
        <v>1946025</v>
      </c>
      <c r="E84" s="361">
        <f t="shared" si="8"/>
        <v>1268296</v>
      </c>
      <c r="F84" s="362">
        <f t="shared" si="9"/>
        <v>1.87139107224274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0.10140406526569362</v>
      </c>
      <c r="D85" s="366">
        <f>IF(LN_IC1=0,0,LN_IC2/LN_IC1)</f>
        <v>0.29512481602328211</v>
      </c>
      <c r="E85" s="367">
        <f t="shared" si="8"/>
        <v>0.19372075075758849</v>
      </c>
      <c r="F85" s="362">
        <f t="shared" si="9"/>
        <v>1.9103844628912217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322</v>
      </c>
      <c r="D86" s="369">
        <v>298</v>
      </c>
      <c r="E86" s="369">
        <f t="shared" si="8"/>
        <v>-24</v>
      </c>
      <c r="F86" s="362">
        <f t="shared" si="9"/>
        <v>-7.4534161490683232E-2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1.0331999999999999</v>
      </c>
      <c r="D87" s="372">
        <v>1.2416</v>
      </c>
      <c r="E87" s="373">
        <f t="shared" si="8"/>
        <v>0.20840000000000014</v>
      </c>
      <c r="F87" s="362">
        <f t="shared" si="9"/>
        <v>0.2017034456058848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332.69039999999995</v>
      </c>
      <c r="D88" s="376">
        <f>LN_IC4*LN_IC5</f>
        <v>369.99680000000001</v>
      </c>
      <c r="E88" s="376">
        <f t="shared" si="8"/>
        <v>37.306400000000053</v>
      </c>
      <c r="F88" s="362">
        <f t="shared" si="9"/>
        <v>0.11213548692718533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2037.1161897067066</v>
      </c>
      <c r="D89" s="378">
        <f>IF(LN_IC6=0,0,LN_IC2/LN_IC6)</f>
        <v>5259.5725152217528</v>
      </c>
      <c r="E89" s="378">
        <f t="shared" si="8"/>
        <v>3222.456325515046</v>
      </c>
      <c r="F89" s="362">
        <f t="shared" si="9"/>
        <v>1.5818716388381355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9240.8479132096618</v>
      </c>
      <c r="D90" s="378">
        <f>LN_IB7-LN_IC7</f>
        <v>6241.3153528842249</v>
      </c>
      <c r="E90" s="378">
        <f t="shared" si="8"/>
        <v>-2999.5325603254369</v>
      </c>
      <c r="F90" s="362">
        <f t="shared" si="9"/>
        <v>-0.32459494934849509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5320.942231612622</v>
      </c>
      <c r="D91" s="378">
        <f>LN_IA7-LN_IC7</f>
        <v>2284.4572548129372</v>
      </c>
      <c r="E91" s="378">
        <f t="shared" si="8"/>
        <v>-3036.4849767996848</v>
      </c>
      <c r="F91" s="362">
        <f t="shared" si="9"/>
        <v>-0.57066678130038917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1770226.3994120955</v>
      </c>
      <c r="D92" s="353">
        <f>LN_IC9*LN_IC6</f>
        <v>845241.87401757133</v>
      </c>
      <c r="E92" s="353">
        <f t="shared" si="8"/>
        <v>-924984.52539452421</v>
      </c>
      <c r="F92" s="362">
        <f t="shared" si="9"/>
        <v>-0.52252329176749257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1041</v>
      </c>
      <c r="D93" s="369">
        <v>1120</v>
      </c>
      <c r="E93" s="369">
        <f t="shared" si="8"/>
        <v>79</v>
      </c>
      <c r="F93" s="362">
        <f t="shared" si="9"/>
        <v>7.5888568683957727E-2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651.03650336215173</v>
      </c>
      <c r="D94" s="411">
        <f>IF(LN_IC11=0,0,LN_IC2/LN_IC11)</f>
        <v>1737.5223214285713</v>
      </c>
      <c r="E94" s="411">
        <f t="shared" si="8"/>
        <v>1086.4858180664196</v>
      </c>
      <c r="F94" s="362">
        <f t="shared" si="9"/>
        <v>1.6688554519684755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3.2329192546583849</v>
      </c>
      <c r="D95" s="379">
        <f>IF(LN_IC4=0,0,LN_IC11/LN_IC4)</f>
        <v>3.7583892617449663</v>
      </c>
      <c r="E95" s="379">
        <f t="shared" si="8"/>
        <v>0.52547000708658143</v>
      </c>
      <c r="F95" s="362">
        <f t="shared" si="9"/>
        <v>0.16253731247058523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20881628</v>
      </c>
      <c r="D98" s="361">
        <v>20616388</v>
      </c>
      <c r="E98" s="361">
        <f t="shared" ref="E98:E106" si="10">D98-C98</f>
        <v>-265240</v>
      </c>
      <c r="F98" s="362">
        <f t="shared" ref="F98:F106" si="11">IF(C98=0,0,E98/C98)</f>
        <v>-1.2702074761603836E-2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2117482</v>
      </c>
      <c r="D99" s="361">
        <v>6084409</v>
      </c>
      <c r="E99" s="361">
        <f t="shared" si="10"/>
        <v>3966927</v>
      </c>
      <c r="F99" s="362">
        <f t="shared" si="11"/>
        <v>1.8734171057888567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0.10140406677103912</v>
      </c>
      <c r="D100" s="366">
        <f>IF(LN_IC14=0,0,LN_IC15/LN_IC14)</f>
        <v>0.29512487832495199</v>
      </c>
      <c r="E100" s="367">
        <f t="shared" si="10"/>
        <v>0.19372081155391285</v>
      </c>
      <c r="F100" s="362">
        <f t="shared" si="11"/>
        <v>1.9103850340767525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3.124378576932572</v>
      </c>
      <c r="D101" s="366">
        <f>IF(LN_IC1=0,0,LN_IC14/LN_IC1)</f>
        <v>3.1265825030842875</v>
      </c>
      <c r="E101" s="367">
        <f t="shared" si="10"/>
        <v>2.2039261517154962E-3</v>
      </c>
      <c r="F101" s="362">
        <f t="shared" si="11"/>
        <v>7.0539664046706193E-4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1006.0499017722882</v>
      </c>
      <c r="D102" s="376">
        <f>LN_IC17*LN_IC4</f>
        <v>931.72158591911773</v>
      </c>
      <c r="E102" s="376">
        <f t="shared" si="10"/>
        <v>-74.328315853170466</v>
      </c>
      <c r="F102" s="362">
        <f t="shared" si="11"/>
        <v>-7.3881340997331679E-2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2104.7484784500043</v>
      </c>
      <c r="D103" s="378">
        <f>IF(LN_IC18=0,0,LN_IC15/LN_IC18)</f>
        <v>6530.2866134607129</v>
      </c>
      <c r="E103" s="378">
        <f t="shared" si="10"/>
        <v>4425.5381350107091</v>
      </c>
      <c r="F103" s="362">
        <f t="shared" si="11"/>
        <v>2.1026446534218661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10071.602248223413</v>
      </c>
      <c r="D104" s="378">
        <f>LN_IB18-LN_IC19</f>
        <v>6467.0368965888274</v>
      </c>
      <c r="E104" s="378">
        <f t="shared" si="10"/>
        <v>-3604.5653516345856</v>
      </c>
      <c r="F104" s="362">
        <f t="shared" si="11"/>
        <v>-0.35789393413251752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7983.0587969472144</v>
      </c>
      <c r="D105" s="378">
        <f>LN_IA16-LN_IC19</f>
        <v>3641.6455068817404</v>
      </c>
      <c r="E105" s="378">
        <f t="shared" si="10"/>
        <v>-4341.413290065474</v>
      </c>
      <c r="F105" s="362">
        <f t="shared" si="11"/>
        <v>-0.54382829946406819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8031355.5185111463</v>
      </c>
      <c r="D106" s="361">
        <f>LN_IC21*LN_IC18</f>
        <v>3392999.7270270847</v>
      </c>
      <c r="E106" s="361">
        <f t="shared" si="10"/>
        <v>-4638355.7914840616</v>
      </c>
      <c r="F106" s="362">
        <f t="shared" si="11"/>
        <v>-0.57753087642469603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27565078</v>
      </c>
      <c r="D109" s="361">
        <f>LN_IC1+LN_IC14</f>
        <v>27210293</v>
      </c>
      <c r="E109" s="361">
        <f>D109-C109</f>
        <v>-354785</v>
      </c>
      <c r="F109" s="362">
        <f>IF(C109=0,0,E109/C109)</f>
        <v>-1.287081429626283E-2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2795211</v>
      </c>
      <c r="D110" s="361">
        <f>LN_IC2+LN_IC15</f>
        <v>8030434</v>
      </c>
      <c r="E110" s="361">
        <f>D110-C110</f>
        <v>5235223</v>
      </c>
      <c r="F110" s="362">
        <f>IF(C110=0,0,E110/C110)</f>
        <v>1.8729258721434625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24769867</v>
      </c>
      <c r="D111" s="361">
        <f>LN_IC23-LN_IC24</f>
        <v>19179859</v>
      </c>
      <c r="E111" s="361">
        <f>D111-C111</f>
        <v>-5590008</v>
      </c>
      <c r="F111" s="362">
        <f>IF(C111=0,0,E111/C111)</f>
        <v>-0.2256777559604983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9801581.9179232419</v>
      </c>
      <c r="D113" s="361">
        <f>LN_IC10+LN_IC22</f>
        <v>4238241.6010446558</v>
      </c>
      <c r="E113" s="361">
        <f>D113-C113</f>
        <v>-5563340.3168785861</v>
      </c>
      <c r="F113" s="362">
        <f>IF(C113=0,0,E113/C113)</f>
        <v>-0.56759616595209217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41879240</v>
      </c>
      <c r="D118" s="361">
        <v>46325316</v>
      </c>
      <c r="E118" s="361">
        <f t="shared" ref="E118:E130" si="12">D118-C118</f>
        <v>4446076</v>
      </c>
      <c r="F118" s="362">
        <f t="shared" ref="F118:F130" si="13">IF(C118=0,0,E118/C118)</f>
        <v>0.10616419973237337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13231023</v>
      </c>
      <c r="D119" s="361">
        <v>14179472</v>
      </c>
      <c r="E119" s="361">
        <f t="shared" si="12"/>
        <v>948449</v>
      </c>
      <c r="F119" s="362">
        <f t="shared" si="13"/>
        <v>7.1683723926713752E-2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0.31593273898953278</v>
      </c>
      <c r="D120" s="366">
        <f>IF(LN_ID1=0,0,LN_1D2/LN_ID1)</f>
        <v>0.30608473345330228</v>
      </c>
      <c r="E120" s="367">
        <f t="shared" si="12"/>
        <v>-9.8480055362304975E-3</v>
      </c>
      <c r="F120" s="362">
        <f t="shared" si="13"/>
        <v>-3.1171209314134338E-2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2312</v>
      </c>
      <c r="D121" s="369">
        <v>2727</v>
      </c>
      <c r="E121" s="369">
        <f t="shared" si="12"/>
        <v>415</v>
      </c>
      <c r="F121" s="362">
        <f t="shared" si="13"/>
        <v>0.17949826989619377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0.94140000000000001</v>
      </c>
      <c r="D122" s="372">
        <v>0.86580000000000001</v>
      </c>
      <c r="E122" s="373">
        <f t="shared" si="12"/>
        <v>-7.5600000000000001E-2</v>
      </c>
      <c r="F122" s="362">
        <f t="shared" si="13"/>
        <v>-8.0305927342256209E-2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2176.5167999999999</v>
      </c>
      <c r="D123" s="376">
        <f>LN_ID4*LN_ID5</f>
        <v>2361.0365999999999</v>
      </c>
      <c r="E123" s="376">
        <f t="shared" si="12"/>
        <v>184.51980000000003</v>
      </c>
      <c r="F123" s="362">
        <f t="shared" si="13"/>
        <v>8.477756753359314E-2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6078.9896039396526</v>
      </c>
      <c r="D124" s="378">
        <f>IF(LN_ID6=0,0,LN_1D2/LN_ID6)</f>
        <v>6005.6129583082284</v>
      </c>
      <c r="E124" s="378">
        <f t="shared" si="12"/>
        <v>-73.376645631424253</v>
      </c>
      <c r="F124" s="362">
        <f t="shared" si="13"/>
        <v>-1.2070533166214094E-2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5198.9744989767159</v>
      </c>
      <c r="D125" s="378">
        <f>LN_IB7-LN_ID7</f>
        <v>5495.2749097977494</v>
      </c>
      <c r="E125" s="378">
        <f t="shared" si="12"/>
        <v>296.30041082103344</v>
      </c>
      <c r="F125" s="362">
        <f t="shared" si="13"/>
        <v>5.6992087743333329E-2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1279.0688173796761</v>
      </c>
      <c r="D126" s="378">
        <f>LN_IA7-LN_ID7</f>
        <v>1538.4168117264617</v>
      </c>
      <c r="E126" s="378">
        <f t="shared" si="12"/>
        <v>259.34799434678553</v>
      </c>
      <c r="F126" s="362">
        <f t="shared" si="13"/>
        <v>0.20276312800595872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2783914.769382997</v>
      </c>
      <c r="D127" s="391">
        <f>LN_ID9*LN_ID6</f>
        <v>3632258.398541485</v>
      </c>
      <c r="E127" s="391">
        <f t="shared" si="12"/>
        <v>848343.62915848801</v>
      </c>
      <c r="F127" s="362">
        <f t="shared" si="13"/>
        <v>0.30473046031739959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9655</v>
      </c>
      <c r="D128" s="369">
        <v>11440</v>
      </c>
      <c r="E128" s="369">
        <f t="shared" si="12"/>
        <v>1785</v>
      </c>
      <c r="F128" s="362">
        <f t="shared" si="13"/>
        <v>0.18487830139823924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1370.3804246504401</v>
      </c>
      <c r="D129" s="378">
        <f>IF(LN_ID11=0,0,LN_1D2/LN_ID11)</f>
        <v>1239.4643356643357</v>
      </c>
      <c r="E129" s="378">
        <f t="shared" si="12"/>
        <v>-130.91608898610434</v>
      </c>
      <c r="F129" s="362">
        <f t="shared" si="13"/>
        <v>-9.5532661318844164E-2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4.1760380622837374</v>
      </c>
      <c r="D130" s="379">
        <f>IF(LN_ID4=0,0,LN_ID11/LN_ID4)</f>
        <v>4.195086175284195</v>
      </c>
      <c r="E130" s="379">
        <f t="shared" si="12"/>
        <v>1.9048113000457612E-2</v>
      </c>
      <c r="F130" s="362">
        <f t="shared" si="13"/>
        <v>4.5612881674839973E-3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39619838</v>
      </c>
      <c r="D133" s="361">
        <v>52199740</v>
      </c>
      <c r="E133" s="361">
        <f t="shared" ref="E133:E141" si="14">D133-C133</f>
        <v>12579902</v>
      </c>
      <c r="F133" s="362">
        <f t="shared" ref="F133:F141" si="15">IF(C133=0,0,E133/C133)</f>
        <v>0.31751523062764669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9721022</v>
      </c>
      <c r="D134" s="361">
        <v>13407997</v>
      </c>
      <c r="E134" s="361">
        <f t="shared" si="14"/>
        <v>3686975</v>
      </c>
      <c r="F134" s="362">
        <f t="shared" si="15"/>
        <v>0.37927853676290413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0.24535743937166024</v>
      </c>
      <c r="D135" s="366">
        <f>IF(LN_ID14=0,0,LN_ID15/LN_ID14)</f>
        <v>0.25685945945324634</v>
      </c>
      <c r="E135" s="367">
        <f t="shared" si="14"/>
        <v>1.1502020081586101E-2</v>
      </c>
      <c r="F135" s="362">
        <f t="shared" si="15"/>
        <v>4.6878627813535252E-2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0.94604959402319622</v>
      </c>
      <c r="D136" s="366">
        <f>IF(LN_ID1=0,0,LN_ID14/LN_ID1)</f>
        <v>1.126808071854275</v>
      </c>
      <c r="E136" s="367">
        <f t="shared" si="14"/>
        <v>0.18075847783107879</v>
      </c>
      <c r="F136" s="362">
        <f t="shared" si="15"/>
        <v>0.1910665983824171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2187.2666613816295</v>
      </c>
      <c r="D137" s="376">
        <f>LN_ID17*LN_ID4</f>
        <v>3072.8056119466078</v>
      </c>
      <c r="E137" s="376">
        <f t="shared" si="14"/>
        <v>885.53895056497822</v>
      </c>
      <c r="F137" s="362">
        <f t="shared" si="15"/>
        <v>0.40486099212320564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4444.3698482833943</v>
      </c>
      <c r="D138" s="378">
        <f>IF(LN_ID18=0,0,LN_ID15/LN_ID18)</f>
        <v>4363.4380736196645</v>
      </c>
      <c r="E138" s="378">
        <f t="shared" si="14"/>
        <v>-80.931774663729811</v>
      </c>
      <c r="F138" s="362">
        <f t="shared" si="15"/>
        <v>-1.8209954937703738E-2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7731.9808783900235</v>
      </c>
      <c r="D139" s="378">
        <f>LN_IB18-LN_ID19</f>
        <v>8633.885436429875</v>
      </c>
      <c r="E139" s="378">
        <f t="shared" si="14"/>
        <v>901.90455803985151</v>
      </c>
      <c r="F139" s="362">
        <f t="shared" si="15"/>
        <v>0.11664598920059006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5643.4374271138249</v>
      </c>
      <c r="D140" s="378">
        <f>LN_IA16-LN_ID19</f>
        <v>5808.4940467227889</v>
      </c>
      <c r="E140" s="378">
        <f t="shared" si="14"/>
        <v>165.05661960896396</v>
      </c>
      <c r="F140" s="362">
        <f t="shared" si="15"/>
        <v>2.9247532508458671E-2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12343702.539919389</v>
      </c>
      <c r="D141" s="353">
        <f>LN_ID21*LN_ID18</f>
        <v>17848373.103728246</v>
      </c>
      <c r="E141" s="353">
        <f t="shared" si="14"/>
        <v>5504670.5638088565</v>
      </c>
      <c r="F141" s="362">
        <f t="shared" si="15"/>
        <v>0.44594970966019443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81499078</v>
      </c>
      <c r="D144" s="361">
        <f>LN_ID1+LN_ID14</f>
        <v>98525056</v>
      </c>
      <c r="E144" s="361">
        <f>D144-C144</f>
        <v>17025978</v>
      </c>
      <c r="F144" s="362">
        <f>IF(C144=0,0,E144/C144)</f>
        <v>0.20891006889673033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22952045</v>
      </c>
      <c r="D145" s="361">
        <f>LN_1D2+LN_ID15</f>
        <v>27587469</v>
      </c>
      <c r="E145" s="361">
        <f>D145-C145</f>
        <v>4635424</v>
      </c>
      <c r="F145" s="362">
        <f>IF(C145=0,0,E145/C145)</f>
        <v>0.20196126314670435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58547033</v>
      </c>
      <c r="D146" s="361">
        <f>LN_ID23-LN_ID24</f>
        <v>70937587</v>
      </c>
      <c r="E146" s="361">
        <f>D146-C146</f>
        <v>12390554</v>
      </c>
      <c r="F146" s="362">
        <f>IF(C146=0,0,E146/C146)</f>
        <v>0.21163419160796756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15127617.309302386</v>
      </c>
      <c r="D148" s="361">
        <f>LN_ID10+LN_ID22</f>
        <v>21480631.50226973</v>
      </c>
      <c r="E148" s="361">
        <f>D148-C148</f>
        <v>6353014.1929673441</v>
      </c>
      <c r="F148" s="415">
        <f>IF(C148=0,0,E148/C148)</f>
        <v>0.41996132391984176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10110940</v>
      </c>
      <c r="D153" s="361">
        <v>5792020</v>
      </c>
      <c r="E153" s="361">
        <f t="shared" ref="E153:E165" si="16">D153-C153</f>
        <v>-4318920</v>
      </c>
      <c r="F153" s="362">
        <f t="shared" ref="F153:F165" si="17">IF(C153=0,0,E153/C153)</f>
        <v>-0.42715316281176624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1058628</v>
      </c>
      <c r="D154" s="361">
        <v>535705</v>
      </c>
      <c r="E154" s="361">
        <f t="shared" si="16"/>
        <v>-522923</v>
      </c>
      <c r="F154" s="362">
        <f t="shared" si="17"/>
        <v>-0.49396294071194036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0.10470124439468537</v>
      </c>
      <c r="D155" s="366">
        <f>IF(LN_IE1=0,0,LN_IE2/LN_IE1)</f>
        <v>9.2490184771461426E-2</v>
      </c>
      <c r="E155" s="367">
        <f t="shared" si="16"/>
        <v>-1.2211059623223941E-2</v>
      </c>
      <c r="F155" s="362">
        <f t="shared" si="17"/>
        <v>-0.11662764558167729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545</v>
      </c>
      <c r="D156" s="419">
        <v>290</v>
      </c>
      <c r="E156" s="419">
        <f t="shared" si="16"/>
        <v>-255</v>
      </c>
      <c r="F156" s="362">
        <f t="shared" si="17"/>
        <v>-0.46788990825688076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0.8679</v>
      </c>
      <c r="D157" s="372">
        <v>1.0477000000000001</v>
      </c>
      <c r="E157" s="373">
        <f t="shared" si="16"/>
        <v>0.17980000000000007</v>
      </c>
      <c r="F157" s="362">
        <f t="shared" si="17"/>
        <v>0.20716672427699051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473.00549999999998</v>
      </c>
      <c r="D158" s="376">
        <f>LN_IE4*LN_IE5</f>
        <v>303.83300000000003</v>
      </c>
      <c r="E158" s="376">
        <f t="shared" si="16"/>
        <v>-169.17249999999996</v>
      </c>
      <c r="F158" s="362">
        <f t="shared" si="17"/>
        <v>-0.35765440359572975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2238.0881406241579</v>
      </c>
      <c r="D159" s="378">
        <f>IF(LN_IE6=0,0,LN_IE2/LN_IE6)</f>
        <v>1763.1560758706262</v>
      </c>
      <c r="E159" s="378">
        <f t="shared" si="16"/>
        <v>-474.93206475353168</v>
      </c>
      <c r="F159" s="362">
        <f t="shared" si="17"/>
        <v>-0.21220436145159263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9039.8759622922116</v>
      </c>
      <c r="D160" s="378">
        <f>LN_IB7-LN_IE7</f>
        <v>9737.7317922353523</v>
      </c>
      <c r="E160" s="378">
        <f t="shared" si="16"/>
        <v>697.85582994314063</v>
      </c>
      <c r="F160" s="362">
        <f t="shared" si="17"/>
        <v>7.7197500591168242E-2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5119.9702806951709</v>
      </c>
      <c r="D161" s="378">
        <f>LN_IA7-LN_IE7</f>
        <v>5780.8736941640636</v>
      </c>
      <c r="E161" s="378">
        <f t="shared" si="16"/>
        <v>660.90341346889272</v>
      </c>
      <c r="F161" s="362">
        <f t="shared" si="17"/>
        <v>0.12908344721468923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2421774.1026053596</v>
      </c>
      <c r="D162" s="391">
        <f>LN_IE9*LN_IE6</f>
        <v>1756420.1971189501</v>
      </c>
      <c r="E162" s="391">
        <f t="shared" si="16"/>
        <v>-665353.90548640955</v>
      </c>
      <c r="F162" s="362">
        <f t="shared" si="17"/>
        <v>-0.27473821970869111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2600</v>
      </c>
      <c r="D163" s="369">
        <v>1257</v>
      </c>
      <c r="E163" s="419">
        <f t="shared" si="16"/>
        <v>-1343</v>
      </c>
      <c r="F163" s="362">
        <f t="shared" si="17"/>
        <v>-0.5165384615384615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407.16461538461539</v>
      </c>
      <c r="D164" s="378">
        <f>IF(LN_IE11=0,0,LN_IE2/LN_IE11)</f>
        <v>426.17740652346856</v>
      </c>
      <c r="E164" s="378">
        <f t="shared" si="16"/>
        <v>19.012791138853174</v>
      </c>
      <c r="F164" s="362">
        <f t="shared" si="17"/>
        <v>4.6695588026217191E-2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4.7706422018348622</v>
      </c>
      <c r="D165" s="379">
        <f>IF(LN_IE4=0,0,LN_IE11/LN_IE4)</f>
        <v>4.3344827586206893</v>
      </c>
      <c r="E165" s="379">
        <f t="shared" si="16"/>
        <v>-0.43615944321417288</v>
      </c>
      <c r="F165" s="362">
        <f t="shared" si="17"/>
        <v>-9.1425729442970852E-2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10297709</v>
      </c>
      <c r="D168" s="424">
        <v>7883776</v>
      </c>
      <c r="E168" s="424">
        <f t="shared" ref="E168:E176" si="18">D168-C168</f>
        <v>-2413933</v>
      </c>
      <c r="F168" s="362">
        <f t="shared" ref="F168:F176" si="19">IF(C168=0,0,E168/C168)</f>
        <v>-0.23441456735668098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2585492</v>
      </c>
      <c r="D169" s="424">
        <v>995364</v>
      </c>
      <c r="E169" s="424">
        <f t="shared" si="18"/>
        <v>-1590128</v>
      </c>
      <c r="F169" s="362">
        <f t="shared" si="19"/>
        <v>-0.61501950112396397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0.25107448656783754</v>
      </c>
      <c r="D170" s="366">
        <f>IF(LN_IE14=0,0,LN_IE15/LN_IE14)</f>
        <v>0.12625472869853227</v>
      </c>
      <c r="E170" s="367">
        <f t="shared" si="18"/>
        <v>-0.12481975786930527</v>
      </c>
      <c r="F170" s="362">
        <f t="shared" si="19"/>
        <v>-0.49714234040893024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1.0184719719432616</v>
      </c>
      <c r="D171" s="366">
        <f>IF(LN_IE1=0,0,LN_IE14/LN_IE1)</f>
        <v>1.3611444711862182</v>
      </c>
      <c r="E171" s="367">
        <f t="shared" si="18"/>
        <v>0.34267249924295662</v>
      </c>
      <c r="F171" s="362">
        <f t="shared" si="19"/>
        <v>0.33645746636417667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555.06722470907755</v>
      </c>
      <c r="D172" s="376">
        <f>LN_IE17*LN_IE4</f>
        <v>394.73189664400326</v>
      </c>
      <c r="E172" s="376">
        <f t="shared" si="18"/>
        <v>-160.33532806507429</v>
      </c>
      <c r="F172" s="362">
        <f t="shared" si="19"/>
        <v>-0.28885749496218127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4657.9799435196537</v>
      </c>
      <c r="D173" s="378">
        <f>IF(LN_IE18=0,0,LN_IE15/LN_IE18)</f>
        <v>2521.6203921257688</v>
      </c>
      <c r="E173" s="378">
        <f t="shared" si="18"/>
        <v>-2136.3595513938849</v>
      </c>
      <c r="F173" s="362">
        <f t="shared" si="19"/>
        <v>-0.45864507303558999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7518.370783153764</v>
      </c>
      <c r="D174" s="378">
        <f>LN_IB18-LN_IE19</f>
        <v>10475.703117923771</v>
      </c>
      <c r="E174" s="378">
        <f t="shared" si="18"/>
        <v>2957.332334770007</v>
      </c>
      <c r="F174" s="362">
        <f t="shared" si="19"/>
        <v>0.39334749775794936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5429.8273318775655</v>
      </c>
      <c r="D175" s="378">
        <f>LN_IA16-LN_IE19</f>
        <v>7650.3117282166841</v>
      </c>
      <c r="E175" s="378">
        <f t="shared" si="18"/>
        <v>2220.4843963391186</v>
      </c>
      <c r="F175" s="362">
        <f t="shared" si="19"/>
        <v>0.40894199034710432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3013919.1877547759</v>
      </c>
      <c r="D176" s="353">
        <f>LN_IE21*LN_IE18</f>
        <v>3019822.0583968339</v>
      </c>
      <c r="E176" s="353">
        <f t="shared" si="18"/>
        <v>5902.8706420580857</v>
      </c>
      <c r="F176" s="362">
        <f t="shared" si="19"/>
        <v>1.9585364684099041E-3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20408649</v>
      </c>
      <c r="D179" s="361">
        <f>LN_IE1+LN_IE14</f>
        <v>13675796</v>
      </c>
      <c r="E179" s="361">
        <f>D179-C179</f>
        <v>-6732853</v>
      </c>
      <c r="F179" s="362">
        <f>IF(C179=0,0,E179/C179)</f>
        <v>-0.32990194500380698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3644120</v>
      </c>
      <c r="D180" s="361">
        <f>LN_IE15+LN_IE2</f>
        <v>1531069</v>
      </c>
      <c r="E180" s="361">
        <f>D180-C180</f>
        <v>-2113051</v>
      </c>
      <c r="F180" s="362">
        <f>IF(C180=0,0,E180/C180)</f>
        <v>-0.57985220025685213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16764529</v>
      </c>
      <c r="D181" s="361">
        <f>LN_IE23-LN_IE24</f>
        <v>12144727</v>
      </c>
      <c r="E181" s="361">
        <f>D181-C181</f>
        <v>-4619802</v>
      </c>
      <c r="F181" s="362">
        <f>IF(C181=0,0,E181/C181)</f>
        <v>-0.27557004434780125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5435693.290360136</v>
      </c>
      <c r="D183" s="361">
        <f>LN_IE10+LN_IE22</f>
        <v>4776242.255515784</v>
      </c>
      <c r="E183" s="353">
        <f>D183-C183</f>
        <v>-659451.03484435193</v>
      </c>
      <c r="F183" s="362">
        <f>IF(C183=0,0,E183/C183)</f>
        <v>-0.12131866159811616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51990180</v>
      </c>
      <c r="D188" s="361">
        <f>LN_ID1+LN_IE1</f>
        <v>52117336</v>
      </c>
      <c r="E188" s="361">
        <f t="shared" ref="E188:E200" si="20">D188-C188</f>
        <v>127156</v>
      </c>
      <c r="F188" s="362">
        <f t="shared" ref="F188:F200" si="21">IF(C188=0,0,E188/C188)</f>
        <v>2.4457695664835168E-3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14289651</v>
      </c>
      <c r="D189" s="361">
        <f>LN_1D2+LN_IE2</f>
        <v>14715177</v>
      </c>
      <c r="E189" s="361">
        <f t="shared" si="20"/>
        <v>425526</v>
      </c>
      <c r="F189" s="362">
        <f t="shared" si="21"/>
        <v>2.9778613907365546E-2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0.2748528856795649</v>
      </c>
      <c r="D190" s="366">
        <f>IF(LN_IF1=0,0,LN_IF2/LN_IF1)</f>
        <v>0.28234706777798468</v>
      </c>
      <c r="E190" s="367">
        <f t="shared" si="20"/>
        <v>7.4941820984197882E-3</v>
      </c>
      <c r="F190" s="362">
        <f t="shared" si="21"/>
        <v>2.7266157602423072E-2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2857</v>
      </c>
      <c r="D191" s="369">
        <f>LN_ID4+LN_IE4</f>
        <v>3017</v>
      </c>
      <c r="E191" s="369">
        <f t="shared" si="20"/>
        <v>160</v>
      </c>
      <c r="F191" s="362">
        <f t="shared" si="21"/>
        <v>5.6002800140006997E-2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0.92737917395869784</v>
      </c>
      <c r="D192" s="372">
        <f>IF((LN_ID4+LN_IE4)=0,0,(LN_ID6+LN_IE6)/(LN_ID4+LN_IE4))</f>
        <v>0.88328458733841564</v>
      </c>
      <c r="E192" s="373">
        <f t="shared" si="20"/>
        <v>-4.4094586620282206E-2</v>
      </c>
      <c r="F192" s="362">
        <f t="shared" si="21"/>
        <v>-4.7547527331302804E-2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2649.5222999999996</v>
      </c>
      <c r="D193" s="376">
        <f>LN_IF4*LN_IF5</f>
        <v>2664.8696</v>
      </c>
      <c r="E193" s="376">
        <f t="shared" si="20"/>
        <v>15.347300000000359</v>
      </c>
      <c r="F193" s="362">
        <f t="shared" si="21"/>
        <v>5.792478138417767E-3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5393.2933495219131</v>
      </c>
      <c r="D194" s="378">
        <f>IF(LN_IF6=0,0,LN_IF2/LN_IF6)</f>
        <v>5521.9125918956788</v>
      </c>
      <c r="E194" s="378">
        <f t="shared" si="20"/>
        <v>128.6192423737657</v>
      </c>
      <c r="F194" s="362">
        <f t="shared" si="21"/>
        <v>2.3847996769018158E-2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5884.6707533944555</v>
      </c>
      <c r="D195" s="378">
        <f>LN_IB7-LN_IF7</f>
        <v>5978.9752762102989</v>
      </c>
      <c r="E195" s="378">
        <f t="shared" si="20"/>
        <v>94.304522815843484</v>
      </c>
      <c r="F195" s="362">
        <f t="shared" si="21"/>
        <v>1.6025454399712303E-2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1964.7650717974157</v>
      </c>
      <c r="D196" s="378">
        <f>LN_IA7-LN_IF7</f>
        <v>2022.1171781390112</v>
      </c>
      <c r="E196" s="378">
        <f t="shared" si="20"/>
        <v>57.352106341595572</v>
      </c>
      <c r="F196" s="362">
        <f t="shared" si="21"/>
        <v>2.9190312452535838E-2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5205688.8719883561</v>
      </c>
      <c r="D197" s="391">
        <f>LN_IF9*LN_IF6</f>
        <v>5388678.595660436</v>
      </c>
      <c r="E197" s="391">
        <f t="shared" si="20"/>
        <v>182989.72367207985</v>
      </c>
      <c r="F197" s="362">
        <f t="shared" si="21"/>
        <v>3.5151874837687988E-2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12255</v>
      </c>
      <c r="D198" s="369">
        <f>LN_ID11+LN_IE11</f>
        <v>12697</v>
      </c>
      <c r="E198" s="369">
        <f t="shared" si="20"/>
        <v>442</v>
      </c>
      <c r="F198" s="362">
        <f t="shared" si="21"/>
        <v>3.6066911464708279E-2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1166.0261933904528</v>
      </c>
      <c r="D199" s="432">
        <f>IF(LN_IF11=0,0,LN_IF2/LN_IF11)</f>
        <v>1158.9491218398048</v>
      </c>
      <c r="E199" s="432">
        <f t="shared" si="20"/>
        <v>-7.0770715506480428</v>
      </c>
      <c r="F199" s="362">
        <f t="shared" si="21"/>
        <v>-6.0693932870153214E-3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4.2894644732236609</v>
      </c>
      <c r="D200" s="379">
        <f>IF(LN_IF4=0,0,LN_IF11/LN_IF4)</f>
        <v>4.2084852502485912</v>
      </c>
      <c r="E200" s="379">
        <f t="shared" si="20"/>
        <v>-8.0979222975069654E-2</v>
      </c>
      <c r="F200" s="362">
        <f t="shared" si="21"/>
        <v>-1.8878632398186376E-2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49917547</v>
      </c>
      <c r="D203" s="361">
        <f>LN_ID14+LN_IE14</f>
        <v>60083516</v>
      </c>
      <c r="E203" s="361">
        <f t="shared" ref="E203:E211" si="22">D203-C203</f>
        <v>10165969</v>
      </c>
      <c r="F203" s="362">
        <f t="shared" ref="F203:F211" si="23">IF(C203=0,0,E203/C203)</f>
        <v>0.20365521967655983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12306514</v>
      </c>
      <c r="D204" s="361">
        <f>LN_ID15+LN_IE15</f>
        <v>14403361</v>
      </c>
      <c r="E204" s="361">
        <f t="shared" si="22"/>
        <v>2096847</v>
      </c>
      <c r="F204" s="362">
        <f t="shared" si="23"/>
        <v>0.17038513099647878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0.24653683403152804</v>
      </c>
      <c r="D205" s="366">
        <f>IF(LN_IF14=0,0,LN_IF15/LN_IF14)</f>
        <v>0.23972233915205629</v>
      </c>
      <c r="E205" s="367">
        <f t="shared" si="22"/>
        <v>-6.8144948794717497E-3</v>
      </c>
      <c r="F205" s="362">
        <f t="shared" si="23"/>
        <v>-2.7640879328402045E-2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0.96013414456345414</v>
      </c>
      <c r="D206" s="366">
        <f>IF(LN_IF1=0,0,LN_IF14/LN_IF1)</f>
        <v>1.1528508671279745</v>
      </c>
      <c r="E206" s="367">
        <f t="shared" si="22"/>
        <v>0.19271672256452033</v>
      </c>
      <c r="F206" s="362">
        <f t="shared" si="23"/>
        <v>0.20071853881641005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2742.333886090707</v>
      </c>
      <c r="D207" s="376">
        <f>LN_ID18+LN_IE18</f>
        <v>3467.5375085906112</v>
      </c>
      <c r="E207" s="376">
        <f t="shared" si="22"/>
        <v>725.20362249990421</v>
      </c>
      <c r="F207" s="362">
        <f t="shared" si="23"/>
        <v>0.2644476028897077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4487.6059995536743</v>
      </c>
      <c r="D208" s="378">
        <f>IF(LN_IF18=0,0,LN_IF15/LN_IF18)</f>
        <v>4153.7722272121237</v>
      </c>
      <c r="E208" s="378">
        <f t="shared" si="22"/>
        <v>-333.83377234155068</v>
      </c>
      <c r="F208" s="362">
        <f t="shared" si="23"/>
        <v>-7.4390169808747228E-2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7688.7447271197434</v>
      </c>
      <c r="D209" s="378">
        <f>LN_IB18-LN_IF19</f>
        <v>8843.5512828374158</v>
      </c>
      <c r="E209" s="378">
        <f t="shared" si="22"/>
        <v>1154.8065557176724</v>
      </c>
      <c r="F209" s="362">
        <f t="shared" si="23"/>
        <v>0.15019442011703657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5600.2012758435449</v>
      </c>
      <c r="D210" s="378">
        <f>LN_IA16-LN_IF19</f>
        <v>6018.1598931303297</v>
      </c>
      <c r="E210" s="378">
        <f t="shared" si="22"/>
        <v>417.95861728678483</v>
      </c>
      <c r="F210" s="362">
        <f t="shared" si="23"/>
        <v>7.4632784912508118E-2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15357621.727674166</v>
      </c>
      <c r="D211" s="353">
        <f>LN_IF21*LN_IF18</f>
        <v>20868195.162125081</v>
      </c>
      <c r="E211" s="353">
        <f t="shared" si="22"/>
        <v>5510573.4344509151</v>
      </c>
      <c r="F211" s="362">
        <f t="shared" si="23"/>
        <v>0.35881684886931148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101907727</v>
      </c>
      <c r="D214" s="361">
        <f>LN_IF1+LN_IF14</f>
        <v>112200852</v>
      </c>
      <c r="E214" s="361">
        <f>D214-C214</f>
        <v>10293125</v>
      </c>
      <c r="F214" s="362">
        <f>IF(C214=0,0,E214/C214)</f>
        <v>0.10100436250530835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26596165</v>
      </c>
      <c r="D215" s="361">
        <f>LN_IF2+LN_IF15</f>
        <v>29118538</v>
      </c>
      <c r="E215" s="361">
        <f>D215-C215</f>
        <v>2522373</v>
      </c>
      <c r="F215" s="362">
        <f>IF(C215=0,0,E215/C215)</f>
        <v>9.4839725952971035E-2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75311562</v>
      </c>
      <c r="D216" s="361">
        <f>LN_IF23-LN_IF24</f>
        <v>83082314</v>
      </c>
      <c r="E216" s="361">
        <f>D216-C216</f>
        <v>7770752</v>
      </c>
      <c r="F216" s="362">
        <f>IF(C216=0,0,E216/C216)</f>
        <v>0.10318139464429114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392783</v>
      </c>
      <c r="D221" s="361">
        <v>1250805</v>
      </c>
      <c r="E221" s="361">
        <f t="shared" ref="E221:E230" si="24">D221-C221</f>
        <v>858022</v>
      </c>
      <c r="F221" s="362">
        <f t="shared" ref="F221:F230" si="25">IF(C221=0,0,E221/C221)</f>
        <v>2.1844682687387182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152328</v>
      </c>
      <c r="D222" s="361">
        <v>436158</v>
      </c>
      <c r="E222" s="361">
        <f t="shared" si="24"/>
        <v>283830</v>
      </c>
      <c r="F222" s="362">
        <f t="shared" si="25"/>
        <v>1.8632818654482433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0.38781719168090267</v>
      </c>
      <c r="D223" s="366">
        <f>IF(LN_IG1=0,0,LN_IG2/LN_IG1)</f>
        <v>0.34870183601760468</v>
      </c>
      <c r="E223" s="367">
        <f t="shared" si="24"/>
        <v>-3.911535566329799E-2</v>
      </c>
      <c r="F223" s="362">
        <f t="shared" si="25"/>
        <v>-0.10086029320608933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25</v>
      </c>
      <c r="D224" s="369">
        <v>29</v>
      </c>
      <c r="E224" s="369">
        <f t="shared" si="24"/>
        <v>4</v>
      </c>
      <c r="F224" s="362">
        <f t="shared" si="25"/>
        <v>0.16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0.81389999999999996</v>
      </c>
      <c r="D225" s="372">
        <v>0.90859999999999996</v>
      </c>
      <c r="E225" s="373">
        <f t="shared" si="24"/>
        <v>9.4700000000000006E-2</v>
      </c>
      <c r="F225" s="362">
        <f t="shared" si="25"/>
        <v>0.11635336036368106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20.3475</v>
      </c>
      <c r="D226" s="376">
        <f>LN_IG3*LN_IG4</f>
        <v>26.349399999999999</v>
      </c>
      <c r="E226" s="376">
        <f t="shared" si="24"/>
        <v>6.0018999999999991</v>
      </c>
      <c r="F226" s="362">
        <f t="shared" si="25"/>
        <v>0.29496989802186996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7486.3251013638037</v>
      </c>
      <c r="D227" s="378">
        <f>IF(LN_IG5=0,0,LN_IG2/LN_IG5)</f>
        <v>16552.862683780277</v>
      </c>
      <c r="E227" s="378">
        <f t="shared" si="24"/>
        <v>9066.537582416473</v>
      </c>
      <c r="F227" s="362">
        <f t="shared" si="25"/>
        <v>1.2110798635721547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102</v>
      </c>
      <c r="D228" s="369">
        <v>226</v>
      </c>
      <c r="E228" s="369">
        <f t="shared" si="24"/>
        <v>124</v>
      </c>
      <c r="F228" s="362">
        <f t="shared" si="25"/>
        <v>1.2156862745098038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1493.4117647058824</v>
      </c>
      <c r="D229" s="378">
        <f>IF(LN_IG6=0,0,LN_IG2/LN_IG6)</f>
        <v>1929.9026548672566</v>
      </c>
      <c r="E229" s="378">
        <f t="shared" si="24"/>
        <v>436.49089016137418</v>
      </c>
      <c r="F229" s="362">
        <f t="shared" si="25"/>
        <v>0.29227765608726014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4.08</v>
      </c>
      <c r="D230" s="379">
        <f>IF(LN_IG3=0,0,LN_IG6/LN_IG3)</f>
        <v>7.7931034482758621</v>
      </c>
      <c r="E230" s="379">
        <f t="shared" si="24"/>
        <v>3.713103448275862</v>
      </c>
      <c r="F230" s="362">
        <f t="shared" si="25"/>
        <v>0.91007437457741713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617917</v>
      </c>
      <c r="D233" s="361">
        <v>805622</v>
      </c>
      <c r="E233" s="361">
        <f>D233-C233</f>
        <v>187705</v>
      </c>
      <c r="F233" s="362">
        <f>IF(C233=0,0,E233/C233)</f>
        <v>0.30377057112848488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141290</v>
      </c>
      <c r="D234" s="361">
        <v>170926</v>
      </c>
      <c r="E234" s="361">
        <f>D234-C234</f>
        <v>29636</v>
      </c>
      <c r="F234" s="362">
        <f>IF(C234=0,0,E234/C234)</f>
        <v>0.20975299030363084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1010700</v>
      </c>
      <c r="D237" s="361">
        <f>LN_IG1+LN_IG9</f>
        <v>2056427</v>
      </c>
      <c r="E237" s="361">
        <f>D237-C237</f>
        <v>1045727</v>
      </c>
      <c r="F237" s="362">
        <f>IF(C237=0,0,E237/C237)</f>
        <v>1.0346561788859205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293618</v>
      </c>
      <c r="D238" s="361">
        <f>LN_IG2+LN_IG10</f>
        <v>607084</v>
      </c>
      <c r="E238" s="361">
        <f>D238-C238</f>
        <v>313466</v>
      </c>
      <c r="F238" s="362">
        <f>IF(C238=0,0,E238/C238)</f>
        <v>1.0675980355427801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717082</v>
      </c>
      <c r="D239" s="361">
        <f>LN_IG13-LN_IG14</f>
        <v>1449343</v>
      </c>
      <c r="E239" s="361">
        <f>D239-C239</f>
        <v>732261</v>
      </c>
      <c r="F239" s="362">
        <f>IF(C239=0,0,E239/C239)</f>
        <v>1.0211677325605719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7344217</v>
      </c>
      <c r="D243" s="361">
        <v>7515933</v>
      </c>
      <c r="E243" s="353">
        <f>D243-C243</f>
        <v>171716</v>
      </c>
      <c r="F243" s="415">
        <f>IF(C243=0,0,E243/C243)</f>
        <v>2.3381117415239773E-2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442588744</v>
      </c>
      <c r="D244" s="361">
        <v>460314702</v>
      </c>
      <c r="E244" s="353">
        <f>D244-C244</f>
        <v>17725958</v>
      </c>
      <c r="F244" s="415">
        <f>IF(C244=0,0,E244/C244)</f>
        <v>4.0050629936490209E-2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2383181</v>
      </c>
      <c r="D245" s="400">
        <v>2277658</v>
      </c>
      <c r="E245" s="400">
        <f>D245-C245</f>
        <v>-105523</v>
      </c>
      <c r="F245" s="401">
        <f>IF(C245=0,0,E245/C245)</f>
        <v>-4.4278214705471386E-2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12266705</v>
      </c>
      <c r="D248" s="353">
        <v>12767832</v>
      </c>
      <c r="E248" s="353">
        <f>D248-C248</f>
        <v>501127</v>
      </c>
      <c r="F248" s="362">
        <f>IF(C248=0,0,E248/C248)</f>
        <v>4.0852616900789576E-2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16695481</v>
      </c>
      <c r="D249" s="353">
        <v>10687109</v>
      </c>
      <c r="E249" s="353">
        <f>D249-C249</f>
        <v>-6008372</v>
      </c>
      <c r="F249" s="362">
        <f>IF(C249=0,0,E249/C249)</f>
        <v>-0.35988013762526516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28962186</v>
      </c>
      <c r="D250" s="353">
        <f>LN_IH4+LN_IH5</f>
        <v>23454941</v>
      </c>
      <c r="E250" s="353">
        <f>D250-C250</f>
        <v>-5507245</v>
      </c>
      <c r="F250" s="362">
        <f>IF(C250=0,0,E250/C250)</f>
        <v>-0.19015294632801544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12864010.828184502</v>
      </c>
      <c r="D251" s="353">
        <f>LN_IH6*LN_III10</f>
        <v>10460001.004513038</v>
      </c>
      <c r="E251" s="353">
        <f>D251-C251</f>
        <v>-2404009.8236714639</v>
      </c>
      <c r="F251" s="362">
        <f>IF(C251=0,0,E251/C251)</f>
        <v>-0.18687871580490126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101907727</v>
      </c>
      <c r="D254" s="353">
        <f>LN_IF23</f>
        <v>112200852</v>
      </c>
      <c r="E254" s="353">
        <f>D254-C254</f>
        <v>10293125</v>
      </c>
      <c r="F254" s="362">
        <f>IF(C254=0,0,E254/C254)</f>
        <v>0.10100436250530835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26596165</v>
      </c>
      <c r="D255" s="353">
        <f>LN_IF24</f>
        <v>29118538</v>
      </c>
      <c r="E255" s="353">
        <f>D255-C255</f>
        <v>2522373</v>
      </c>
      <c r="F255" s="362">
        <f>IF(C255=0,0,E255/C255)</f>
        <v>9.4839725952971035E-2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45263921.155801922</v>
      </c>
      <c r="D256" s="353">
        <f>LN_IH8*LN_III10</f>
        <v>50037261.855709575</v>
      </c>
      <c r="E256" s="353">
        <f>D256-C256</f>
        <v>4773340.699907653</v>
      </c>
      <c r="F256" s="362">
        <f>IF(C256=0,0,E256/C256)</f>
        <v>0.10545574881763876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18667756.155801922</v>
      </c>
      <c r="D257" s="353">
        <f>LN_IH10-LN_IH9</f>
        <v>20918723.855709575</v>
      </c>
      <c r="E257" s="353">
        <f>D257-C257</f>
        <v>2250967.699907653</v>
      </c>
      <c r="F257" s="362">
        <f>IF(C257=0,0,E257/C257)</f>
        <v>0.12058051761127457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498743209</v>
      </c>
      <c r="D261" s="361">
        <f>LN_IA1+LN_IB1+LN_IF1+LN_IG1</f>
        <v>512924104</v>
      </c>
      <c r="E261" s="361">
        <f t="shared" ref="E261:E274" si="26">D261-C261</f>
        <v>14180895</v>
      </c>
      <c r="F261" s="415">
        <f t="shared" ref="F261:F274" si="27">IF(C261=0,0,E261/C261)</f>
        <v>2.8433259328850331E-2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215427371</v>
      </c>
      <c r="D262" s="361">
        <f>+LN_IA2+LN_IB2+LN_IF2+LN_IG2</f>
        <v>222766695</v>
      </c>
      <c r="E262" s="361">
        <f t="shared" si="26"/>
        <v>7339324</v>
      </c>
      <c r="F262" s="415">
        <f t="shared" si="27"/>
        <v>3.4068669946308729E-2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0.43194045976473638</v>
      </c>
      <c r="D263" s="366">
        <f>IF(LN_IIA1=0,0,LN_IIA2/LN_IIA1)</f>
        <v>0.43430732395450067</v>
      </c>
      <c r="E263" s="367">
        <f t="shared" si="26"/>
        <v>2.3668641897642839E-3</v>
      </c>
      <c r="F263" s="371">
        <f t="shared" si="27"/>
        <v>5.4796075159373502E-3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20497</v>
      </c>
      <c r="D264" s="369">
        <f>LN_IA4+LN_IB4+LN_IF4+LN_IG3</f>
        <v>20715</v>
      </c>
      <c r="E264" s="369">
        <f t="shared" si="26"/>
        <v>218</v>
      </c>
      <c r="F264" s="415">
        <f t="shared" si="27"/>
        <v>1.0635702785773528E-2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1.1988642142752599</v>
      </c>
      <c r="D265" s="439">
        <f>IF(LN_IIA4=0,0,LN_IIA6/LN_IIA4)</f>
        <v>1.2010797151822352</v>
      </c>
      <c r="E265" s="439">
        <f t="shared" si="26"/>
        <v>2.2155009069753095E-3</v>
      </c>
      <c r="F265" s="415">
        <f t="shared" si="27"/>
        <v>1.8479998657017461E-3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24573.1198</v>
      </c>
      <c r="D266" s="376">
        <f>LN_IA6+LN_IB6+LN_IF6+LN_IG5</f>
        <v>24880.366300000002</v>
      </c>
      <c r="E266" s="376">
        <f t="shared" si="26"/>
        <v>307.24650000000111</v>
      </c>
      <c r="F266" s="415">
        <f t="shared" si="27"/>
        <v>1.2503357428795065E-2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503600187</v>
      </c>
      <c r="D267" s="361">
        <f>LN_IA11+LN_IB13+LN_IF14+LN_IG9</f>
        <v>529890812</v>
      </c>
      <c r="E267" s="361">
        <f t="shared" si="26"/>
        <v>26290625</v>
      </c>
      <c r="F267" s="415">
        <f t="shared" si="27"/>
        <v>5.2205351941221577E-2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1.0097384343532987</v>
      </c>
      <c r="D268" s="366">
        <f>IF(LN_IIA1=0,0,LN_IIA7/LN_IIA1)</f>
        <v>1.0330783986708489</v>
      </c>
      <c r="E268" s="367">
        <f t="shared" si="26"/>
        <v>2.3339964317550255E-2</v>
      </c>
      <c r="F268" s="371">
        <f t="shared" si="27"/>
        <v>2.3114861753775535E-2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228113129</v>
      </c>
      <c r="D269" s="361">
        <f>LN_IA12+LN_IB14+LN_IF15+LN_IG10</f>
        <v>241460310</v>
      </c>
      <c r="E269" s="361">
        <f t="shared" si="26"/>
        <v>13347181</v>
      </c>
      <c r="F269" s="415">
        <f t="shared" si="27"/>
        <v>5.8511235449319535E-2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0.45296474244557816</v>
      </c>
      <c r="D270" s="366">
        <f>IF(LN_IIA7=0,0,LN_IIA9/LN_IIA7)</f>
        <v>0.45567936739390003</v>
      </c>
      <c r="E270" s="367">
        <f t="shared" si="26"/>
        <v>2.7146249483218643E-3</v>
      </c>
      <c r="F270" s="371">
        <f t="shared" si="27"/>
        <v>5.9930159986966653E-3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1002343396</v>
      </c>
      <c r="D271" s="353">
        <f>LN_IIA1+LN_IIA7</f>
        <v>1042814916</v>
      </c>
      <c r="E271" s="353">
        <f t="shared" si="26"/>
        <v>40471520</v>
      </c>
      <c r="F271" s="415">
        <f t="shared" si="27"/>
        <v>4.0376900931863871E-2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443540500</v>
      </c>
      <c r="D272" s="353">
        <f>LN_IIA2+LN_IIA9</f>
        <v>464227005</v>
      </c>
      <c r="E272" s="353">
        <f t="shared" si="26"/>
        <v>20686505</v>
      </c>
      <c r="F272" s="415">
        <f t="shared" si="27"/>
        <v>4.6639495153204723E-2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0.44250353897677597</v>
      </c>
      <c r="D273" s="366">
        <f>IF(LN_IIA11=0,0,LN_IIA12/LN_IIA11)</f>
        <v>0.44516720836777907</v>
      </c>
      <c r="E273" s="367">
        <f t="shared" si="26"/>
        <v>2.6636693910030984E-3</v>
      </c>
      <c r="F273" s="371">
        <f t="shared" si="27"/>
        <v>6.0195437016446023E-3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91794</v>
      </c>
      <c r="D274" s="421">
        <f>LN_IA8+LN_IB10+LN_IF11+LN_IG6</f>
        <v>95884</v>
      </c>
      <c r="E274" s="442">
        <f t="shared" si="26"/>
        <v>4090</v>
      </c>
      <c r="F274" s="371">
        <f t="shared" si="27"/>
        <v>4.4556289082075082E-2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301985883</v>
      </c>
      <c r="D277" s="361">
        <f>LN_IA1+LN_IF1+LN_IG1</f>
        <v>315825682</v>
      </c>
      <c r="E277" s="361">
        <f t="shared" ref="E277:E291" si="28">D277-C277</f>
        <v>13839799</v>
      </c>
      <c r="F277" s="415">
        <f t="shared" ref="F277:F291" si="29">IF(C277=0,0,E277/C277)</f>
        <v>4.5829291298361788E-2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100861217</v>
      </c>
      <c r="D278" s="361">
        <f>LN_IA2+LN_IF2+LN_IG2</f>
        <v>105865083</v>
      </c>
      <c r="E278" s="361">
        <f t="shared" si="28"/>
        <v>5003866</v>
      </c>
      <c r="F278" s="415">
        <f t="shared" si="29"/>
        <v>4.9611398204723225E-2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0.33399315225606091</v>
      </c>
      <c r="D279" s="366">
        <f>IF(D277=0,0,LN_IIB2/D277)</f>
        <v>0.33520099546559357</v>
      </c>
      <c r="E279" s="367">
        <f t="shared" si="28"/>
        <v>1.2078432095326552E-3</v>
      </c>
      <c r="F279" s="371">
        <f t="shared" si="29"/>
        <v>3.6163711781930304E-3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11448</v>
      </c>
      <c r="D280" s="369">
        <f>LN_IA4+LN_IF4+LN_IG3</f>
        <v>11963</v>
      </c>
      <c r="E280" s="369">
        <f t="shared" si="28"/>
        <v>515</v>
      </c>
      <c r="F280" s="415">
        <f t="shared" si="29"/>
        <v>4.4986023759608668E-2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1.25914678546471</v>
      </c>
      <c r="D281" s="439">
        <f>IF(LN_IIB4=0,0,LN_IIB6/LN_IIB4)</f>
        <v>1.2301089609629692</v>
      </c>
      <c r="E281" s="439">
        <f t="shared" si="28"/>
        <v>-2.9037824501740861E-2</v>
      </c>
      <c r="F281" s="415">
        <f t="shared" si="29"/>
        <v>-2.3061508663601873E-2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14414.7124</v>
      </c>
      <c r="D282" s="376">
        <f>LN_IA6+LN_IF6+LN_IG5</f>
        <v>14715.7935</v>
      </c>
      <c r="E282" s="376">
        <f t="shared" si="28"/>
        <v>301.08109999999942</v>
      </c>
      <c r="F282" s="415">
        <f t="shared" si="29"/>
        <v>2.0887069519333553E-2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228506592</v>
      </c>
      <c r="D283" s="361">
        <f>LN_IA11+LN_IF14+LN_IG9</f>
        <v>250017864</v>
      </c>
      <c r="E283" s="361">
        <f t="shared" si="28"/>
        <v>21511272</v>
      </c>
      <c r="F283" s="415">
        <f t="shared" si="29"/>
        <v>9.413851833211008E-2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0.75667971538921242</v>
      </c>
      <c r="D284" s="366">
        <f>IF(D277=0,0,LN_IIB7/D277)</f>
        <v>0.79163246768513273</v>
      </c>
      <c r="E284" s="367">
        <f t="shared" si="28"/>
        <v>3.495275229592032E-2</v>
      </c>
      <c r="F284" s="371">
        <f t="shared" si="29"/>
        <v>4.6192268122242072E-2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74061142</v>
      </c>
      <c r="D285" s="361">
        <f>LN_IA12+LN_IF15+LN_IG10</f>
        <v>79935584</v>
      </c>
      <c r="E285" s="361">
        <f t="shared" si="28"/>
        <v>5874442</v>
      </c>
      <c r="F285" s="415">
        <f t="shared" si="29"/>
        <v>7.9318814716629674E-2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0.32410943313180218</v>
      </c>
      <c r="D286" s="366">
        <f>IF(LN_IIB7=0,0,LN_IIB9/LN_IIB7)</f>
        <v>0.31971949012411371</v>
      </c>
      <c r="E286" s="367">
        <f t="shared" si="28"/>
        <v>-4.3899430076884682E-3</v>
      </c>
      <c r="F286" s="371">
        <f t="shared" si="29"/>
        <v>-1.3544632025268009E-2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530492475</v>
      </c>
      <c r="D287" s="353">
        <f>D277+LN_IIB7</f>
        <v>565843546</v>
      </c>
      <c r="E287" s="353">
        <f t="shared" si="28"/>
        <v>35351071</v>
      </c>
      <c r="F287" s="415">
        <f t="shared" si="29"/>
        <v>6.6638213859678219E-2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174922359</v>
      </c>
      <c r="D288" s="353">
        <f>LN_IIB2+LN_IIB9</f>
        <v>185800667</v>
      </c>
      <c r="E288" s="353">
        <f t="shared" si="28"/>
        <v>10878308</v>
      </c>
      <c r="F288" s="415">
        <f t="shared" si="29"/>
        <v>6.218935110519519E-2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0.32973579691210514</v>
      </c>
      <c r="D289" s="366">
        <f>IF(LN_IIB11=0,0,LN_IIB12/LN_IIB11)</f>
        <v>0.32836049525251632</v>
      </c>
      <c r="E289" s="367">
        <f t="shared" si="28"/>
        <v>-1.3753016595888234E-3</v>
      </c>
      <c r="F289" s="371">
        <f t="shared" si="29"/>
        <v>-4.1709200895631779E-3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58768</v>
      </c>
      <c r="D290" s="421">
        <f>LN_IA8+LN_IF11+LN_IG6</f>
        <v>62919</v>
      </c>
      <c r="E290" s="442">
        <f t="shared" si="28"/>
        <v>4151</v>
      </c>
      <c r="F290" s="371">
        <f t="shared" si="29"/>
        <v>7.0633678192213445E-2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355570116</v>
      </c>
      <c r="D291" s="429">
        <f>LN_IIB11-LN_IIB12</f>
        <v>380042879</v>
      </c>
      <c r="E291" s="353">
        <f t="shared" si="28"/>
        <v>24472763</v>
      </c>
      <c r="F291" s="415">
        <f t="shared" si="29"/>
        <v>6.8826827392884732E-2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5.4180480971281808</v>
      </c>
      <c r="D294" s="379">
        <f>IF(LN_IA4=0,0,LN_IA8/LN_IA4)</f>
        <v>5.6068184366939553</v>
      </c>
      <c r="E294" s="379">
        <f t="shared" ref="E294:E300" si="30">D294-C294</f>
        <v>0.18877033956577449</v>
      </c>
      <c r="F294" s="415">
        <f t="shared" ref="F294:F300" si="31">IF(C294=0,0,E294/C294)</f>
        <v>3.484102322122825E-2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3.6496850480716101</v>
      </c>
      <c r="D295" s="379">
        <f>IF(LN_IB4=0,0,(LN_IB10)/(LN_IB4))</f>
        <v>3.7665676416819012</v>
      </c>
      <c r="E295" s="379">
        <f t="shared" si="30"/>
        <v>0.11688259361029107</v>
      </c>
      <c r="F295" s="415">
        <f t="shared" si="31"/>
        <v>3.2025391799779687E-2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3.2329192546583849</v>
      </c>
      <c r="D296" s="379">
        <f>IF(LN_IC4=0,0,LN_IC11/LN_IC4)</f>
        <v>3.7583892617449663</v>
      </c>
      <c r="E296" s="379">
        <f t="shared" si="30"/>
        <v>0.52547000708658143</v>
      </c>
      <c r="F296" s="415">
        <f t="shared" si="31"/>
        <v>0.16253731247058523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4.1760380622837374</v>
      </c>
      <c r="D297" s="379">
        <f>IF(LN_ID4=0,0,LN_ID11/LN_ID4)</f>
        <v>4.195086175284195</v>
      </c>
      <c r="E297" s="379">
        <f t="shared" si="30"/>
        <v>1.9048113000457612E-2</v>
      </c>
      <c r="F297" s="415">
        <f t="shared" si="31"/>
        <v>4.5612881674839973E-3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4.7706422018348622</v>
      </c>
      <c r="D298" s="379">
        <f>IF(LN_IE4=0,0,LN_IE11/LN_IE4)</f>
        <v>4.3344827586206893</v>
      </c>
      <c r="E298" s="379">
        <f t="shared" si="30"/>
        <v>-0.43615944321417288</v>
      </c>
      <c r="F298" s="415">
        <f t="shared" si="31"/>
        <v>-9.1425729442970852E-2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4.08</v>
      </c>
      <c r="D299" s="379">
        <f>IF(LN_IG3=0,0,LN_IG6/LN_IG3)</f>
        <v>7.7931034482758621</v>
      </c>
      <c r="E299" s="379">
        <f t="shared" si="30"/>
        <v>3.713103448275862</v>
      </c>
      <c r="F299" s="415">
        <f t="shared" si="31"/>
        <v>0.91007437457741713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4.4784114748499784</v>
      </c>
      <c r="D300" s="379">
        <f>IF(LN_IIA4=0,0,LN_IIA14/LN_IIA4)</f>
        <v>4.6287231474776735</v>
      </c>
      <c r="E300" s="379">
        <f t="shared" si="30"/>
        <v>0.15031167262769518</v>
      </c>
      <c r="F300" s="415">
        <f t="shared" si="31"/>
        <v>3.3563613676818399E-2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1002343396</v>
      </c>
      <c r="D304" s="353">
        <f>LN_IIA11</f>
        <v>1042814916</v>
      </c>
      <c r="E304" s="353">
        <f t="shared" ref="E304:E316" si="32">D304-C304</f>
        <v>40471520</v>
      </c>
      <c r="F304" s="362">
        <f>IF(C304=0,0,E304/C304)</f>
        <v>4.0376900931863871E-2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355570116</v>
      </c>
      <c r="D305" s="353">
        <f>LN_IIB14</f>
        <v>380042879</v>
      </c>
      <c r="E305" s="353">
        <f t="shared" si="32"/>
        <v>24472763</v>
      </c>
      <c r="F305" s="362">
        <f>IF(C305=0,0,E305/C305)</f>
        <v>6.8826827392884732E-2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28962186</v>
      </c>
      <c r="D306" s="353">
        <f>LN_IH6</f>
        <v>23454941</v>
      </c>
      <c r="E306" s="353">
        <f t="shared" si="32"/>
        <v>-5507245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160366629</v>
      </c>
      <c r="D307" s="353">
        <f>LN_IB32-LN_IB33</f>
        <v>163017434</v>
      </c>
      <c r="E307" s="353">
        <f t="shared" si="32"/>
        <v>2650805</v>
      </c>
      <c r="F307" s="362">
        <f t="shared" ref="F307:F316" si="33">IF(C307=0,0,E307/C307)</f>
        <v>1.6529654682708332E-2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14621048</v>
      </c>
      <c r="D308" s="353">
        <v>13522001</v>
      </c>
      <c r="E308" s="353">
        <f t="shared" si="32"/>
        <v>-1099047</v>
      </c>
      <c r="F308" s="362">
        <f t="shared" si="33"/>
        <v>-7.516882510747519E-2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559519979</v>
      </c>
      <c r="D309" s="353">
        <f>LN_III2+LN_III3+LN_III4+LN_III5</f>
        <v>580037255</v>
      </c>
      <c r="E309" s="353">
        <f t="shared" si="32"/>
        <v>20517276</v>
      </c>
      <c r="F309" s="362">
        <f t="shared" si="33"/>
        <v>3.6669425168104675E-2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442823417</v>
      </c>
      <c r="D310" s="353">
        <f>LN_III1-LN_III6</f>
        <v>462777661</v>
      </c>
      <c r="E310" s="353">
        <f t="shared" si="32"/>
        <v>19954244</v>
      </c>
      <c r="F310" s="362">
        <f t="shared" si="33"/>
        <v>4.5061401980916467E-2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2383181</v>
      </c>
      <c r="D311" s="353">
        <f>LN_IH3</f>
        <v>2277658</v>
      </c>
      <c r="E311" s="353">
        <f t="shared" si="32"/>
        <v>-105523</v>
      </c>
      <c r="F311" s="362">
        <f t="shared" si="33"/>
        <v>-4.4278214705471386E-2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445206598</v>
      </c>
      <c r="D312" s="353">
        <f>LN_III7+LN_III8</f>
        <v>465055319</v>
      </c>
      <c r="E312" s="353">
        <f t="shared" si="32"/>
        <v>19848721</v>
      </c>
      <c r="F312" s="362">
        <f t="shared" si="33"/>
        <v>4.4583169003259024E-2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0.44416574177738183</v>
      </c>
      <c r="D313" s="448">
        <f>IF(LN_III1=0,0,LN_III9/LN_III1)</f>
        <v>0.44596151422905039</v>
      </c>
      <c r="E313" s="448">
        <f t="shared" si="32"/>
        <v>1.7957724516685647E-3</v>
      </c>
      <c r="F313" s="362">
        <f t="shared" si="33"/>
        <v>4.0430233193640029E-3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12864010.828184502</v>
      </c>
      <c r="D314" s="353">
        <f>D313*LN_III5</f>
        <v>10460001.004513038</v>
      </c>
      <c r="E314" s="353">
        <f t="shared" si="32"/>
        <v>-2404009.8236714639</v>
      </c>
      <c r="F314" s="362">
        <f t="shared" si="33"/>
        <v>-0.18687871580490126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18667756.155801922</v>
      </c>
      <c r="D315" s="353">
        <f>D313*LN_IH8-LN_IH9</f>
        <v>20918723.855709575</v>
      </c>
      <c r="E315" s="353">
        <f t="shared" si="32"/>
        <v>2250967.699907653</v>
      </c>
      <c r="F315" s="362">
        <f t="shared" si="33"/>
        <v>0.12058051761127457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31531766.983986422</v>
      </c>
      <c r="D318" s="353">
        <f>D314+D315+D316</f>
        <v>31378724.860222615</v>
      </c>
      <c r="E318" s="353">
        <f>D318-C318</f>
        <v>-153042.12376380712</v>
      </c>
      <c r="F318" s="362">
        <f>IF(C318=0,0,E318/C318)</f>
        <v>-4.8535853966423887E-3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12343702.539919389</v>
      </c>
      <c r="D322" s="353">
        <f>LN_ID22</f>
        <v>17848373.103728246</v>
      </c>
      <c r="E322" s="353">
        <f>LN_IV2-C322</f>
        <v>5504670.5638088565</v>
      </c>
      <c r="F322" s="362">
        <f>IF(C322=0,0,E322/C322)</f>
        <v>0.44594970966019443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5435693.290360136</v>
      </c>
      <c r="D323" s="353">
        <f>LN_IE10+LN_IE22</f>
        <v>4776242.255515784</v>
      </c>
      <c r="E323" s="353">
        <f>LN_IV3-C323</f>
        <v>-659451.03484435193</v>
      </c>
      <c r="F323" s="362">
        <f>IF(C323=0,0,E323/C323)</f>
        <v>-0.12131866159811616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9801581.9179232419</v>
      </c>
      <c r="D324" s="353">
        <f>LN_IC10+LN_IC22</f>
        <v>4238241.6010446558</v>
      </c>
      <c r="E324" s="353">
        <f>LN_IV1-C324</f>
        <v>-5563340.3168785861</v>
      </c>
      <c r="F324" s="362">
        <f>IF(C324=0,0,E324/C324)</f>
        <v>-0.56759616595209217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27580977.748202771</v>
      </c>
      <c r="D325" s="429">
        <f>LN_IV1+LN_IV2+LN_IV3</f>
        <v>26862856.960288685</v>
      </c>
      <c r="E325" s="353">
        <f>LN_IV4-C325</f>
        <v>-718120.78791408613</v>
      </c>
      <c r="F325" s="362">
        <f>IF(C325=0,0,E325/C325)</f>
        <v>-2.6036814012544578E-2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25103550</v>
      </c>
      <c r="D329" s="431">
        <v>23462733</v>
      </c>
      <c r="E329" s="431">
        <f t="shared" ref="E329:E335" si="34">D329-C329</f>
        <v>-1640817</v>
      </c>
      <c r="F329" s="462">
        <f t="shared" ref="F329:F335" si="35">IF(C329=0,0,E329/C329)</f>
        <v>-6.536195079978728E-2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14172242</v>
      </c>
      <c r="D330" s="429">
        <v>6793719</v>
      </c>
      <c r="E330" s="431">
        <f t="shared" si="34"/>
        <v>-7378523</v>
      </c>
      <c r="F330" s="463">
        <f t="shared" si="35"/>
        <v>-0.52063202138377263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460095923</v>
      </c>
      <c r="D331" s="429">
        <v>473298383</v>
      </c>
      <c r="E331" s="431">
        <f t="shared" si="34"/>
        <v>13202460</v>
      </c>
      <c r="F331" s="462">
        <f t="shared" si="35"/>
        <v>2.8695016278159891E-2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1002343396</v>
      </c>
      <c r="D333" s="429">
        <v>1042814916</v>
      </c>
      <c r="E333" s="431">
        <f t="shared" si="34"/>
        <v>40471520</v>
      </c>
      <c r="F333" s="462">
        <f t="shared" si="35"/>
        <v>4.0376900931863871E-2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28962186</v>
      </c>
      <c r="D335" s="429">
        <v>23454941</v>
      </c>
      <c r="E335" s="429">
        <f t="shared" si="34"/>
        <v>-5507245</v>
      </c>
      <c r="F335" s="462">
        <f t="shared" si="35"/>
        <v>-0.19015294632801544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FILING&amp;RDANBURY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3"/>
  <sheetViews>
    <sheetView tabSelected="1"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20" style="331" customWidth="1"/>
    <col min="4" max="4" width="19.5703125" style="330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196757326</v>
      </c>
      <c r="D14" s="513">
        <v>197098422</v>
      </c>
      <c r="E14" s="514">
        <f t="shared" ref="E14:E22" si="0">D14-C14</f>
        <v>341096</v>
      </c>
    </row>
    <row r="15" spans="1:5" s="506" customFormat="1" x14ac:dyDescent="0.2">
      <c r="A15" s="512">
        <v>2</v>
      </c>
      <c r="B15" s="511" t="s">
        <v>600</v>
      </c>
      <c r="C15" s="513">
        <v>249602920</v>
      </c>
      <c r="D15" s="515">
        <v>262457541</v>
      </c>
      <c r="E15" s="514">
        <f t="shared" si="0"/>
        <v>12854621</v>
      </c>
    </row>
    <row r="16" spans="1:5" s="506" customFormat="1" x14ac:dyDescent="0.2">
      <c r="A16" s="512">
        <v>3</v>
      </c>
      <c r="B16" s="511" t="s">
        <v>746</v>
      </c>
      <c r="C16" s="513">
        <v>51990180</v>
      </c>
      <c r="D16" s="515">
        <v>52117336</v>
      </c>
      <c r="E16" s="514">
        <f t="shared" si="0"/>
        <v>127156</v>
      </c>
    </row>
    <row r="17" spans="1:5" s="506" customFormat="1" x14ac:dyDescent="0.2">
      <c r="A17" s="512">
        <v>4</v>
      </c>
      <c r="B17" s="511" t="s">
        <v>114</v>
      </c>
      <c r="C17" s="513">
        <v>41879240</v>
      </c>
      <c r="D17" s="515">
        <v>46325316</v>
      </c>
      <c r="E17" s="514">
        <f t="shared" si="0"/>
        <v>4446076</v>
      </c>
    </row>
    <row r="18" spans="1:5" s="506" customFormat="1" x14ac:dyDescent="0.2">
      <c r="A18" s="512">
        <v>5</v>
      </c>
      <c r="B18" s="511" t="s">
        <v>713</v>
      </c>
      <c r="C18" s="513">
        <v>10110940</v>
      </c>
      <c r="D18" s="515">
        <v>5792020</v>
      </c>
      <c r="E18" s="514">
        <f t="shared" si="0"/>
        <v>-4318920</v>
      </c>
    </row>
    <row r="19" spans="1:5" s="506" customFormat="1" x14ac:dyDescent="0.2">
      <c r="A19" s="512">
        <v>6</v>
      </c>
      <c r="B19" s="511" t="s">
        <v>418</v>
      </c>
      <c r="C19" s="513">
        <v>392783</v>
      </c>
      <c r="D19" s="515">
        <v>1250805</v>
      </c>
      <c r="E19" s="514">
        <f t="shared" si="0"/>
        <v>858022</v>
      </c>
    </row>
    <row r="20" spans="1:5" s="506" customFormat="1" x14ac:dyDescent="0.2">
      <c r="A20" s="512">
        <v>7</v>
      </c>
      <c r="B20" s="511" t="s">
        <v>728</v>
      </c>
      <c r="C20" s="513">
        <v>6683450</v>
      </c>
      <c r="D20" s="515">
        <v>6593905</v>
      </c>
      <c r="E20" s="514">
        <f t="shared" si="0"/>
        <v>-89545</v>
      </c>
    </row>
    <row r="21" spans="1:5" s="506" customFormat="1" x14ac:dyDescent="0.2">
      <c r="A21" s="512"/>
      <c r="B21" s="516" t="s">
        <v>747</v>
      </c>
      <c r="C21" s="517">
        <f>SUM(C15+C16+C19)</f>
        <v>301985883</v>
      </c>
      <c r="D21" s="517">
        <f>SUM(D15+D16+D19)</f>
        <v>315825682</v>
      </c>
      <c r="E21" s="517">
        <f t="shared" si="0"/>
        <v>13839799</v>
      </c>
    </row>
    <row r="22" spans="1:5" s="506" customFormat="1" x14ac:dyDescent="0.2">
      <c r="A22" s="512"/>
      <c r="B22" s="516" t="s">
        <v>687</v>
      </c>
      <c r="C22" s="517">
        <f>SUM(C14+C21)</f>
        <v>498743209</v>
      </c>
      <c r="D22" s="517">
        <f>SUM(D14+D21)</f>
        <v>512924104</v>
      </c>
      <c r="E22" s="517">
        <f t="shared" si="0"/>
        <v>14180895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275093595</v>
      </c>
      <c r="D25" s="513">
        <v>279872948</v>
      </c>
      <c r="E25" s="514">
        <f t="shared" ref="E25:E33" si="1">D25-C25</f>
        <v>4779353</v>
      </c>
    </row>
    <row r="26" spans="1:5" s="506" customFormat="1" x14ac:dyDescent="0.2">
      <c r="A26" s="512">
        <v>2</v>
      </c>
      <c r="B26" s="511" t="s">
        <v>600</v>
      </c>
      <c r="C26" s="513">
        <v>177971128</v>
      </c>
      <c r="D26" s="515">
        <v>189128726</v>
      </c>
      <c r="E26" s="514">
        <f t="shared" si="1"/>
        <v>11157598</v>
      </c>
    </row>
    <row r="27" spans="1:5" s="506" customFormat="1" x14ac:dyDescent="0.2">
      <c r="A27" s="512">
        <v>3</v>
      </c>
      <c r="B27" s="511" t="s">
        <v>746</v>
      </c>
      <c r="C27" s="513">
        <v>49917547</v>
      </c>
      <c r="D27" s="515">
        <v>60083516</v>
      </c>
      <c r="E27" s="514">
        <f t="shared" si="1"/>
        <v>10165969</v>
      </c>
    </row>
    <row r="28" spans="1:5" s="506" customFormat="1" x14ac:dyDescent="0.2">
      <c r="A28" s="512">
        <v>4</v>
      </c>
      <c r="B28" s="511" t="s">
        <v>114</v>
      </c>
      <c r="C28" s="513">
        <v>39619838</v>
      </c>
      <c r="D28" s="515">
        <v>52199740</v>
      </c>
      <c r="E28" s="514">
        <f t="shared" si="1"/>
        <v>12579902</v>
      </c>
    </row>
    <row r="29" spans="1:5" s="506" customFormat="1" x14ac:dyDescent="0.2">
      <c r="A29" s="512">
        <v>5</v>
      </c>
      <c r="B29" s="511" t="s">
        <v>713</v>
      </c>
      <c r="C29" s="513">
        <v>10297709</v>
      </c>
      <c r="D29" s="515">
        <v>7883776</v>
      </c>
      <c r="E29" s="514">
        <f t="shared" si="1"/>
        <v>-2413933</v>
      </c>
    </row>
    <row r="30" spans="1:5" s="506" customFormat="1" x14ac:dyDescent="0.2">
      <c r="A30" s="512">
        <v>6</v>
      </c>
      <c r="B30" s="511" t="s">
        <v>418</v>
      </c>
      <c r="C30" s="513">
        <v>617917</v>
      </c>
      <c r="D30" s="515">
        <v>805622</v>
      </c>
      <c r="E30" s="514">
        <f t="shared" si="1"/>
        <v>187705</v>
      </c>
    </row>
    <row r="31" spans="1:5" s="506" customFormat="1" x14ac:dyDescent="0.2">
      <c r="A31" s="512">
        <v>7</v>
      </c>
      <c r="B31" s="511" t="s">
        <v>728</v>
      </c>
      <c r="C31" s="514">
        <v>20881628</v>
      </c>
      <c r="D31" s="518">
        <v>20616388</v>
      </c>
      <c r="E31" s="514">
        <f t="shared" si="1"/>
        <v>-265240</v>
      </c>
    </row>
    <row r="32" spans="1:5" s="506" customFormat="1" x14ac:dyDescent="0.2">
      <c r="A32" s="512"/>
      <c r="B32" s="516" t="s">
        <v>749</v>
      </c>
      <c r="C32" s="517">
        <f>SUM(C26+C27+C30)</f>
        <v>228506592</v>
      </c>
      <c r="D32" s="517">
        <f>SUM(D26+D27+D30)</f>
        <v>250017864</v>
      </c>
      <c r="E32" s="517">
        <f t="shared" si="1"/>
        <v>21511272</v>
      </c>
    </row>
    <row r="33" spans="1:5" s="506" customFormat="1" x14ac:dyDescent="0.2">
      <c r="A33" s="512"/>
      <c r="B33" s="516" t="s">
        <v>693</v>
      </c>
      <c r="C33" s="517">
        <f>SUM(C25+C32)</f>
        <v>503600187</v>
      </c>
      <c r="D33" s="517">
        <f>SUM(D25+D32)</f>
        <v>529890812</v>
      </c>
      <c r="E33" s="517">
        <f t="shared" si="1"/>
        <v>26290625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471850921</v>
      </c>
      <c r="D36" s="514">
        <f t="shared" si="2"/>
        <v>476971370</v>
      </c>
      <c r="E36" s="514">
        <f t="shared" ref="E36:E44" si="3">D36-C36</f>
        <v>5120449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427574048</v>
      </c>
      <c r="D37" s="514">
        <f t="shared" si="2"/>
        <v>451586267</v>
      </c>
      <c r="E37" s="514">
        <f t="shared" si="3"/>
        <v>24012219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101907727</v>
      </c>
      <c r="D38" s="514">
        <f t="shared" si="2"/>
        <v>112200852</v>
      </c>
      <c r="E38" s="514">
        <f t="shared" si="3"/>
        <v>10293125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81499078</v>
      </c>
      <c r="D39" s="514">
        <f t="shared" si="2"/>
        <v>98525056</v>
      </c>
      <c r="E39" s="514">
        <f t="shared" si="3"/>
        <v>17025978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20408649</v>
      </c>
      <c r="D40" s="514">
        <f t="shared" si="2"/>
        <v>13675796</v>
      </c>
      <c r="E40" s="514">
        <f t="shared" si="3"/>
        <v>-6732853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1010700</v>
      </c>
      <c r="D41" s="514">
        <f t="shared" si="2"/>
        <v>2056427</v>
      </c>
      <c r="E41" s="514">
        <f t="shared" si="3"/>
        <v>1045727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27565078</v>
      </c>
      <c r="D42" s="514">
        <f t="shared" si="2"/>
        <v>27210293</v>
      </c>
      <c r="E42" s="514">
        <f t="shared" si="3"/>
        <v>-354785</v>
      </c>
    </row>
    <row r="43" spans="1:5" s="506" customFormat="1" x14ac:dyDescent="0.2">
      <c r="A43" s="512"/>
      <c r="B43" s="516" t="s">
        <v>757</v>
      </c>
      <c r="C43" s="517">
        <f>SUM(C37+C38+C41)</f>
        <v>530492475</v>
      </c>
      <c r="D43" s="517">
        <f>SUM(D37+D38+D41)</f>
        <v>565843546</v>
      </c>
      <c r="E43" s="517">
        <f t="shared" si="3"/>
        <v>35351071</v>
      </c>
    </row>
    <row r="44" spans="1:5" s="506" customFormat="1" x14ac:dyDescent="0.2">
      <c r="A44" s="512"/>
      <c r="B44" s="516" t="s">
        <v>695</v>
      </c>
      <c r="C44" s="517">
        <f>SUM(C36+C43)</f>
        <v>1002343396</v>
      </c>
      <c r="D44" s="517">
        <f>SUM(D36+D43)</f>
        <v>1042814916</v>
      </c>
      <c r="E44" s="517">
        <f t="shared" si="3"/>
        <v>40471520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114566154</v>
      </c>
      <c r="D47" s="513">
        <v>116901612</v>
      </c>
      <c r="E47" s="514">
        <f t="shared" ref="E47:E55" si="4">D47-C47</f>
        <v>2335458</v>
      </c>
    </row>
    <row r="48" spans="1:5" s="506" customFormat="1" x14ac:dyDescent="0.2">
      <c r="A48" s="512">
        <v>2</v>
      </c>
      <c r="B48" s="511" t="s">
        <v>600</v>
      </c>
      <c r="C48" s="513">
        <v>86419238</v>
      </c>
      <c r="D48" s="515">
        <v>90713748</v>
      </c>
      <c r="E48" s="514">
        <f t="shared" si="4"/>
        <v>4294510</v>
      </c>
    </row>
    <row r="49" spans="1:5" s="506" customFormat="1" x14ac:dyDescent="0.2">
      <c r="A49" s="512">
        <v>3</v>
      </c>
      <c r="B49" s="511" t="s">
        <v>746</v>
      </c>
      <c r="C49" s="513">
        <v>14289651</v>
      </c>
      <c r="D49" s="515">
        <v>14715177</v>
      </c>
      <c r="E49" s="514">
        <f t="shared" si="4"/>
        <v>425526</v>
      </c>
    </row>
    <row r="50" spans="1:5" s="506" customFormat="1" x14ac:dyDescent="0.2">
      <c r="A50" s="512">
        <v>4</v>
      </c>
      <c r="B50" s="511" t="s">
        <v>114</v>
      </c>
      <c r="C50" s="513">
        <v>13231023</v>
      </c>
      <c r="D50" s="515">
        <v>14179472</v>
      </c>
      <c r="E50" s="514">
        <f t="shared" si="4"/>
        <v>948449</v>
      </c>
    </row>
    <row r="51" spans="1:5" s="506" customFormat="1" x14ac:dyDescent="0.2">
      <c r="A51" s="512">
        <v>5</v>
      </c>
      <c r="B51" s="511" t="s">
        <v>713</v>
      </c>
      <c r="C51" s="513">
        <v>1058628</v>
      </c>
      <c r="D51" s="515">
        <v>535705</v>
      </c>
      <c r="E51" s="514">
        <f t="shared" si="4"/>
        <v>-522923</v>
      </c>
    </row>
    <row r="52" spans="1:5" s="506" customFormat="1" x14ac:dyDescent="0.2">
      <c r="A52" s="512">
        <v>6</v>
      </c>
      <c r="B52" s="511" t="s">
        <v>418</v>
      </c>
      <c r="C52" s="513">
        <v>152328</v>
      </c>
      <c r="D52" s="515">
        <v>436158</v>
      </c>
      <c r="E52" s="514">
        <f t="shared" si="4"/>
        <v>283830</v>
      </c>
    </row>
    <row r="53" spans="1:5" s="506" customFormat="1" x14ac:dyDescent="0.2">
      <c r="A53" s="512">
        <v>7</v>
      </c>
      <c r="B53" s="511" t="s">
        <v>728</v>
      </c>
      <c r="C53" s="513">
        <v>677729</v>
      </c>
      <c r="D53" s="515">
        <v>1946025</v>
      </c>
      <c r="E53" s="514">
        <f t="shared" si="4"/>
        <v>1268296</v>
      </c>
    </row>
    <row r="54" spans="1:5" s="506" customFormat="1" x14ac:dyDescent="0.2">
      <c r="A54" s="512"/>
      <c r="B54" s="516" t="s">
        <v>759</v>
      </c>
      <c r="C54" s="517">
        <f>SUM(C48+C49+C52)</f>
        <v>100861217</v>
      </c>
      <c r="D54" s="517">
        <f>SUM(D48+D49+D52)</f>
        <v>105865083</v>
      </c>
      <c r="E54" s="517">
        <f t="shared" si="4"/>
        <v>5003866</v>
      </c>
    </row>
    <row r="55" spans="1:5" s="506" customFormat="1" x14ac:dyDescent="0.2">
      <c r="A55" s="512"/>
      <c r="B55" s="516" t="s">
        <v>688</v>
      </c>
      <c r="C55" s="517">
        <f>SUM(C47+C54)</f>
        <v>215427371</v>
      </c>
      <c r="D55" s="517">
        <f>SUM(D47+D54)</f>
        <v>222766695</v>
      </c>
      <c r="E55" s="517">
        <f t="shared" si="4"/>
        <v>7339324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154051987</v>
      </c>
      <c r="D58" s="513">
        <v>161524726</v>
      </c>
      <c r="E58" s="514">
        <f t="shared" ref="E58:E66" si="5">D58-C58</f>
        <v>7472739</v>
      </c>
    </row>
    <row r="59" spans="1:5" s="506" customFormat="1" x14ac:dyDescent="0.2">
      <c r="A59" s="512">
        <v>2</v>
      </c>
      <c r="B59" s="511" t="s">
        <v>600</v>
      </c>
      <c r="C59" s="513">
        <v>61613338</v>
      </c>
      <c r="D59" s="515">
        <v>65361297</v>
      </c>
      <c r="E59" s="514">
        <f t="shared" si="5"/>
        <v>3747959</v>
      </c>
    </row>
    <row r="60" spans="1:5" s="506" customFormat="1" x14ac:dyDescent="0.2">
      <c r="A60" s="512">
        <v>3</v>
      </c>
      <c r="B60" s="511" t="s">
        <v>746</v>
      </c>
      <c r="C60" s="513">
        <f>C61+C62</f>
        <v>12306514</v>
      </c>
      <c r="D60" s="515">
        <f>D61+D62</f>
        <v>14403361</v>
      </c>
      <c r="E60" s="514">
        <f t="shared" si="5"/>
        <v>2096847</v>
      </c>
    </row>
    <row r="61" spans="1:5" s="506" customFormat="1" x14ac:dyDescent="0.2">
      <c r="A61" s="512">
        <v>4</v>
      </c>
      <c r="B61" s="511" t="s">
        <v>114</v>
      </c>
      <c r="C61" s="513">
        <v>9721022</v>
      </c>
      <c r="D61" s="515">
        <v>13407997</v>
      </c>
      <c r="E61" s="514">
        <f t="shared" si="5"/>
        <v>3686975</v>
      </c>
    </row>
    <row r="62" spans="1:5" s="506" customFormat="1" x14ac:dyDescent="0.2">
      <c r="A62" s="512">
        <v>5</v>
      </c>
      <c r="B62" s="511" t="s">
        <v>713</v>
      </c>
      <c r="C62" s="513">
        <v>2585492</v>
      </c>
      <c r="D62" s="515">
        <v>995364</v>
      </c>
      <c r="E62" s="514">
        <f t="shared" si="5"/>
        <v>-1590128</v>
      </c>
    </row>
    <row r="63" spans="1:5" s="506" customFormat="1" x14ac:dyDescent="0.2">
      <c r="A63" s="512">
        <v>6</v>
      </c>
      <c r="B63" s="511" t="s">
        <v>418</v>
      </c>
      <c r="C63" s="513">
        <v>141290</v>
      </c>
      <c r="D63" s="515">
        <v>170926</v>
      </c>
      <c r="E63" s="514">
        <f t="shared" si="5"/>
        <v>29636</v>
      </c>
    </row>
    <row r="64" spans="1:5" s="506" customFormat="1" x14ac:dyDescent="0.2">
      <c r="A64" s="512">
        <v>7</v>
      </c>
      <c r="B64" s="511" t="s">
        <v>728</v>
      </c>
      <c r="C64" s="513">
        <v>2117482</v>
      </c>
      <c r="D64" s="515">
        <v>6084409</v>
      </c>
      <c r="E64" s="514">
        <f t="shared" si="5"/>
        <v>3966927</v>
      </c>
    </row>
    <row r="65" spans="1:5" s="506" customFormat="1" x14ac:dyDescent="0.2">
      <c r="A65" s="512"/>
      <c r="B65" s="516" t="s">
        <v>761</v>
      </c>
      <c r="C65" s="517">
        <f>SUM(C59+C60+C63)</f>
        <v>74061142</v>
      </c>
      <c r="D65" s="517">
        <f>SUM(D59+D60+D63)</f>
        <v>79935584</v>
      </c>
      <c r="E65" s="517">
        <f t="shared" si="5"/>
        <v>5874442</v>
      </c>
    </row>
    <row r="66" spans="1:5" s="506" customFormat="1" x14ac:dyDescent="0.2">
      <c r="A66" s="512"/>
      <c r="B66" s="516" t="s">
        <v>694</v>
      </c>
      <c r="C66" s="517">
        <f>SUM(C58+C65)</f>
        <v>228113129</v>
      </c>
      <c r="D66" s="517">
        <f>SUM(D58+D65)</f>
        <v>241460310</v>
      </c>
      <c r="E66" s="517">
        <f t="shared" si="5"/>
        <v>13347181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268618141</v>
      </c>
      <c r="D69" s="514">
        <f t="shared" si="6"/>
        <v>278426338</v>
      </c>
      <c r="E69" s="514">
        <f t="shared" ref="E69:E77" si="7">D69-C69</f>
        <v>9808197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148032576</v>
      </c>
      <c r="D70" s="514">
        <f t="shared" si="6"/>
        <v>156075045</v>
      </c>
      <c r="E70" s="514">
        <f t="shared" si="7"/>
        <v>8042469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26596165</v>
      </c>
      <c r="D71" s="514">
        <f t="shared" si="6"/>
        <v>29118538</v>
      </c>
      <c r="E71" s="514">
        <f t="shared" si="7"/>
        <v>2522373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22952045</v>
      </c>
      <c r="D72" s="514">
        <f t="shared" si="6"/>
        <v>27587469</v>
      </c>
      <c r="E72" s="514">
        <f t="shared" si="7"/>
        <v>4635424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3644120</v>
      </c>
      <c r="D73" s="514">
        <f t="shared" si="6"/>
        <v>1531069</v>
      </c>
      <c r="E73" s="514">
        <f t="shared" si="7"/>
        <v>-2113051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293618</v>
      </c>
      <c r="D74" s="514">
        <f t="shared" si="6"/>
        <v>607084</v>
      </c>
      <c r="E74" s="514">
        <f t="shared" si="7"/>
        <v>313466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2795211</v>
      </c>
      <c r="D75" s="514">
        <f t="shared" si="6"/>
        <v>8030434</v>
      </c>
      <c r="E75" s="514">
        <f t="shared" si="7"/>
        <v>5235223</v>
      </c>
    </row>
    <row r="76" spans="1:5" s="506" customFormat="1" x14ac:dyDescent="0.2">
      <c r="A76" s="512"/>
      <c r="B76" s="516" t="s">
        <v>762</v>
      </c>
      <c r="C76" s="517">
        <f>SUM(C70+C71+C74)</f>
        <v>174922359</v>
      </c>
      <c r="D76" s="517">
        <f>SUM(D70+D71+D74)</f>
        <v>185800667</v>
      </c>
      <c r="E76" s="517">
        <f t="shared" si="7"/>
        <v>10878308</v>
      </c>
    </row>
    <row r="77" spans="1:5" s="506" customFormat="1" x14ac:dyDescent="0.2">
      <c r="A77" s="512"/>
      <c r="B77" s="516" t="s">
        <v>696</v>
      </c>
      <c r="C77" s="517">
        <f>SUM(C69+C76)</f>
        <v>443540500</v>
      </c>
      <c r="D77" s="517">
        <f>SUM(D69+D76)</f>
        <v>464227005</v>
      </c>
      <c r="E77" s="517">
        <f t="shared" si="7"/>
        <v>20686505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0.19629732363697841</v>
      </c>
      <c r="D83" s="523">
        <f t="shared" si="8"/>
        <v>0.18900613999272714</v>
      </c>
      <c r="E83" s="523">
        <f t="shared" ref="E83:E91" si="9">D83-C83</f>
        <v>-7.2911836442512701E-3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0.24901936900674707</v>
      </c>
      <c r="D84" s="523">
        <f t="shared" si="8"/>
        <v>0.25168180563309089</v>
      </c>
      <c r="E84" s="523">
        <f t="shared" si="9"/>
        <v>2.6624366263438282E-3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5.1868631256986902E-2</v>
      </c>
      <c r="D85" s="523">
        <f t="shared" si="8"/>
        <v>4.9977551337595176E-2</v>
      </c>
      <c r="E85" s="523">
        <f t="shared" si="9"/>
        <v>-1.8910799193917263E-3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4.1781329798874639E-2</v>
      </c>
      <c r="D86" s="523">
        <f t="shared" si="8"/>
        <v>4.4423334658170541E-2</v>
      </c>
      <c r="E86" s="523">
        <f t="shared" si="9"/>
        <v>2.6420048592959017E-3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1.0087301458112265E-2</v>
      </c>
      <c r="D87" s="523">
        <f t="shared" si="8"/>
        <v>5.5542166794246353E-3</v>
      </c>
      <c r="E87" s="523">
        <f t="shared" si="9"/>
        <v>-4.5330847786876297E-3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3.9186470581584995E-4</v>
      </c>
      <c r="D88" s="523">
        <f t="shared" si="8"/>
        <v>1.1994506223576111E-3</v>
      </c>
      <c r="E88" s="523">
        <f t="shared" si="9"/>
        <v>8.0758591654176109E-4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6.6678246463949369E-3</v>
      </c>
      <c r="D89" s="523">
        <f t="shared" si="8"/>
        <v>6.323178637770847E-3</v>
      </c>
      <c r="E89" s="523">
        <f t="shared" si="9"/>
        <v>-3.4464600862408983E-4</v>
      </c>
    </row>
    <row r="90" spans="1:5" s="506" customFormat="1" x14ac:dyDescent="0.2">
      <c r="A90" s="512"/>
      <c r="B90" s="516" t="s">
        <v>765</v>
      </c>
      <c r="C90" s="524">
        <f>SUM(C84+C85+C88)</f>
        <v>0.30127986496954984</v>
      </c>
      <c r="D90" s="524">
        <f>SUM(D84+D85+D88)</f>
        <v>0.30285880759304368</v>
      </c>
      <c r="E90" s="525">
        <f t="shared" si="9"/>
        <v>1.5789426234938397E-3</v>
      </c>
    </row>
    <row r="91" spans="1:5" s="506" customFormat="1" x14ac:dyDescent="0.2">
      <c r="A91" s="512"/>
      <c r="B91" s="516" t="s">
        <v>766</v>
      </c>
      <c r="C91" s="524">
        <f>SUM(C83+C90)</f>
        <v>0.49757718860652822</v>
      </c>
      <c r="D91" s="524">
        <f>SUM(D83+D90)</f>
        <v>0.49186494758577082</v>
      </c>
      <c r="E91" s="525">
        <f t="shared" si="9"/>
        <v>-5.7122410207574026E-3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0.27445044891581249</v>
      </c>
      <c r="D95" s="523">
        <f t="shared" si="10"/>
        <v>0.26838218719917123</v>
      </c>
      <c r="E95" s="523">
        <f t="shared" ref="E95:E103" si="11">D95-C95</f>
        <v>-6.0682617166412656E-3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0.17755504621492013</v>
      </c>
      <c r="D96" s="523">
        <f t="shared" si="10"/>
        <v>0.18136365629047063</v>
      </c>
      <c r="E96" s="523">
        <f t="shared" si="11"/>
        <v>3.8086100755505004E-3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4.9800843901604358E-2</v>
      </c>
      <c r="D97" s="523">
        <f t="shared" si="10"/>
        <v>5.7616663396479459E-2</v>
      </c>
      <c r="E97" s="523">
        <f t="shared" si="11"/>
        <v>7.8158194948751009E-3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3.952721009397462E-2</v>
      </c>
      <c r="D98" s="523">
        <f t="shared" si="10"/>
        <v>5.005657207151034E-2</v>
      </c>
      <c r="E98" s="523">
        <f t="shared" si="11"/>
        <v>1.052936197753572E-2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1.0273633807629736E-2</v>
      </c>
      <c r="D99" s="523">
        <f t="shared" si="10"/>
        <v>7.5600913249691181E-3</v>
      </c>
      <c r="E99" s="523">
        <f t="shared" si="11"/>
        <v>-2.7135424826606183E-3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6.1647236113480616E-4</v>
      </c>
      <c r="D100" s="523">
        <f t="shared" si="10"/>
        <v>7.7254552810788525E-4</v>
      </c>
      <c r="E100" s="523">
        <f t="shared" si="11"/>
        <v>1.5607316697307909E-4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2.0832808479939343E-2</v>
      </c>
      <c r="D101" s="523">
        <f t="shared" si="10"/>
        <v>1.9769939692730672E-2</v>
      </c>
      <c r="E101" s="523">
        <f t="shared" si="11"/>
        <v>-1.0628687872086713E-3</v>
      </c>
    </row>
    <row r="102" spans="1:5" s="506" customFormat="1" x14ac:dyDescent="0.2">
      <c r="A102" s="512"/>
      <c r="B102" s="516" t="s">
        <v>768</v>
      </c>
      <c r="C102" s="524">
        <f>SUM(C96+C97+C100)</f>
        <v>0.22797236247765928</v>
      </c>
      <c r="D102" s="524">
        <f>SUM(D96+D97+D100)</f>
        <v>0.23975286521505798</v>
      </c>
      <c r="E102" s="525">
        <f t="shared" si="11"/>
        <v>1.1780502737398696E-2</v>
      </c>
    </row>
    <row r="103" spans="1:5" s="506" customFormat="1" x14ac:dyDescent="0.2">
      <c r="A103" s="512"/>
      <c r="B103" s="516" t="s">
        <v>769</v>
      </c>
      <c r="C103" s="524">
        <f>SUM(C95+C102)</f>
        <v>0.50242281139347178</v>
      </c>
      <c r="D103" s="524">
        <f>SUM(D95+D102)</f>
        <v>0.50813505241422918</v>
      </c>
      <c r="E103" s="525">
        <f t="shared" si="11"/>
        <v>5.7122410207574026E-3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0.25829919477477253</v>
      </c>
      <c r="D109" s="523">
        <f t="shared" si="12"/>
        <v>0.25181993020849791</v>
      </c>
      <c r="E109" s="523">
        <f t="shared" ref="E109:E117" si="13">D109-C109</f>
        <v>-6.4792645662746229E-3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0.19483956481989806</v>
      </c>
      <c r="D110" s="523">
        <f t="shared" si="12"/>
        <v>0.19540816674376796</v>
      </c>
      <c r="E110" s="523">
        <f t="shared" si="13"/>
        <v>5.6860192386989916E-4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3.2217240590205407E-2</v>
      </c>
      <c r="D111" s="523">
        <f t="shared" si="12"/>
        <v>3.1698235650896696E-2</v>
      </c>
      <c r="E111" s="523">
        <f t="shared" si="13"/>
        <v>-5.1900493930871067E-4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2.983047320368715E-2</v>
      </c>
      <c r="D112" s="523">
        <f t="shared" si="12"/>
        <v>3.0544263576394053E-2</v>
      </c>
      <c r="E112" s="523">
        <f t="shared" si="13"/>
        <v>7.137903727069024E-4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2.3867673865182546E-3</v>
      </c>
      <c r="D113" s="523">
        <f t="shared" si="12"/>
        <v>1.1539720745026454E-3</v>
      </c>
      <c r="E113" s="523">
        <f t="shared" si="13"/>
        <v>-1.2327953120156092E-3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3.4343650692552317E-4</v>
      </c>
      <c r="D114" s="523">
        <f t="shared" si="12"/>
        <v>9.3953603582368065E-4</v>
      </c>
      <c r="E114" s="523">
        <f t="shared" si="13"/>
        <v>5.9609952889815747E-4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1.527998006946378E-3</v>
      </c>
      <c r="D115" s="523">
        <f t="shared" si="12"/>
        <v>4.191968539184833E-3</v>
      </c>
      <c r="E115" s="523">
        <f t="shared" si="13"/>
        <v>2.663970532238455E-3</v>
      </c>
    </row>
    <row r="116" spans="1:5" s="506" customFormat="1" x14ac:dyDescent="0.2">
      <c r="A116" s="512"/>
      <c r="B116" s="516" t="s">
        <v>765</v>
      </c>
      <c r="C116" s="524">
        <f>SUM(C110+C111+C114)</f>
        <v>0.22740024191702901</v>
      </c>
      <c r="D116" s="524">
        <f>SUM(D110+D111+D114)</f>
        <v>0.22804593843048832</v>
      </c>
      <c r="E116" s="525">
        <f t="shared" si="13"/>
        <v>6.4569651345930401E-4</v>
      </c>
    </row>
    <row r="117" spans="1:5" s="506" customFormat="1" x14ac:dyDescent="0.2">
      <c r="A117" s="512"/>
      <c r="B117" s="516" t="s">
        <v>766</v>
      </c>
      <c r="C117" s="524">
        <f>SUM(C109+C116)</f>
        <v>0.48569943669180154</v>
      </c>
      <c r="D117" s="524">
        <f>SUM(D109+D116)</f>
        <v>0.47986586863898623</v>
      </c>
      <c r="E117" s="525">
        <f t="shared" si="13"/>
        <v>-5.8335680528153189E-3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0.34732338309579397</v>
      </c>
      <c r="D121" s="523">
        <f t="shared" si="14"/>
        <v>0.34794340755768827</v>
      </c>
      <c r="E121" s="523">
        <f t="shared" ref="E121:E129" si="15">D121-C121</f>
        <v>6.2002446189429739E-4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0.13891254124482433</v>
      </c>
      <c r="D122" s="523">
        <f t="shared" si="14"/>
        <v>0.14079598191406378</v>
      </c>
      <c r="E122" s="523">
        <f t="shared" si="15"/>
        <v>1.8834406692394556E-3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2.7746088575902314E-2</v>
      </c>
      <c r="D123" s="523">
        <f t="shared" si="14"/>
        <v>3.1026547023045331E-2</v>
      </c>
      <c r="E123" s="523">
        <f t="shared" si="15"/>
        <v>3.280458447143017E-3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2.1916875685534916E-2</v>
      </c>
      <c r="D124" s="523">
        <f t="shared" si="14"/>
        <v>2.8882414972821326E-2</v>
      </c>
      <c r="E124" s="523">
        <f t="shared" si="15"/>
        <v>6.9655392872864097E-3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5.8292128903673964E-3</v>
      </c>
      <c r="D125" s="523">
        <f t="shared" si="14"/>
        <v>2.1441320502240064E-3</v>
      </c>
      <c r="E125" s="523">
        <f t="shared" si="15"/>
        <v>-3.6850808401433901E-3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3.1855039167787385E-4</v>
      </c>
      <c r="D126" s="523">
        <f t="shared" si="14"/>
        <v>3.6819486621636759E-4</v>
      </c>
      <c r="E126" s="523">
        <f t="shared" si="15"/>
        <v>4.9644474538493733E-5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4.7740443093697189E-3</v>
      </c>
      <c r="D127" s="523">
        <f t="shared" si="14"/>
        <v>1.310653825492121E-2</v>
      </c>
      <c r="E127" s="523">
        <f t="shared" si="15"/>
        <v>8.3324939455514911E-3</v>
      </c>
    </row>
    <row r="128" spans="1:5" s="506" customFormat="1" x14ac:dyDescent="0.2">
      <c r="A128" s="512"/>
      <c r="B128" s="516" t="s">
        <v>768</v>
      </c>
      <c r="C128" s="524">
        <f>SUM(C122+C123+C126)</f>
        <v>0.16697718021240454</v>
      </c>
      <c r="D128" s="524">
        <f>SUM(D122+D123+D126)</f>
        <v>0.17219072380332548</v>
      </c>
      <c r="E128" s="525">
        <f t="shared" si="15"/>
        <v>5.2135435909209382E-3</v>
      </c>
    </row>
    <row r="129" spans="1:5" s="506" customFormat="1" x14ac:dyDescent="0.2">
      <c r="A129" s="512"/>
      <c r="B129" s="516" t="s">
        <v>769</v>
      </c>
      <c r="C129" s="524">
        <f>SUM(C121+C128)</f>
        <v>0.51430056330819851</v>
      </c>
      <c r="D129" s="524">
        <f>SUM(D121+D128)</f>
        <v>0.52013413136101372</v>
      </c>
      <c r="E129" s="525">
        <f t="shared" si="15"/>
        <v>5.8335680528152078E-3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9049</v>
      </c>
      <c r="D137" s="530">
        <v>8752</v>
      </c>
      <c r="E137" s="531">
        <f t="shared" ref="E137:E145" si="16">D137-C137</f>
        <v>-297</v>
      </c>
    </row>
    <row r="138" spans="1:5" s="506" customFormat="1" x14ac:dyDescent="0.2">
      <c r="A138" s="512">
        <v>2</v>
      </c>
      <c r="B138" s="511" t="s">
        <v>600</v>
      </c>
      <c r="C138" s="530">
        <v>8566</v>
      </c>
      <c r="D138" s="530">
        <v>8917</v>
      </c>
      <c r="E138" s="531">
        <f t="shared" si="16"/>
        <v>351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2857</v>
      </c>
      <c r="D139" s="530">
        <f>D140+D141</f>
        <v>3017</v>
      </c>
      <c r="E139" s="531">
        <f t="shared" si="16"/>
        <v>160</v>
      </c>
    </row>
    <row r="140" spans="1:5" s="506" customFormat="1" x14ac:dyDescent="0.2">
      <c r="A140" s="512">
        <v>4</v>
      </c>
      <c r="B140" s="511" t="s">
        <v>114</v>
      </c>
      <c r="C140" s="530">
        <v>2312</v>
      </c>
      <c r="D140" s="530">
        <v>2727</v>
      </c>
      <c r="E140" s="531">
        <f t="shared" si="16"/>
        <v>415</v>
      </c>
    </row>
    <row r="141" spans="1:5" s="506" customFormat="1" x14ac:dyDescent="0.2">
      <c r="A141" s="512">
        <v>5</v>
      </c>
      <c r="B141" s="511" t="s">
        <v>713</v>
      </c>
      <c r="C141" s="530">
        <v>545</v>
      </c>
      <c r="D141" s="530">
        <v>290</v>
      </c>
      <c r="E141" s="531">
        <f t="shared" si="16"/>
        <v>-255</v>
      </c>
    </row>
    <row r="142" spans="1:5" s="506" customFormat="1" x14ac:dyDescent="0.2">
      <c r="A142" s="512">
        <v>6</v>
      </c>
      <c r="B142" s="511" t="s">
        <v>418</v>
      </c>
      <c r="C142" s="530">
        <v>25</v>
      </c>
      <c r="D142" s="530">
        <v>29</v>
      </c>
      <c r="E142" s="531">
        <f t="shared" si="16"/>
        <v>4</v>
      </c>
    </row>
    <row r="143" spans="1:5" s="506" customFormat="1" x14ac:dyDescent="0.2">
      <c r="A143" s="512">
        <v>7</v>
      </c>
      <c r="B143" s="511" t="s">
        <v>728</v>
      </c>
      <c r="C143" s="530">
        <v>322</v>
      </c>
      <c r="D143" s="530">
        <v>298</v>
      </c>
      <c r="E143" s="531">
        <f t="shared" si="16"/>
        <v>-24</v>
      </c>
    </row>
    <row r="144" spans="1:5" s="506" customFormat="1" x14ac:dyDescent="0.2">
      <c r="A144" s="512"/>
      <c r="B144" s="516" t="s">
        <v>776</v>
      </c>
      <c r="C144" s="532">
        <f>SUM(C138+C139+C142)</f>
        <v>11448</v>
      </c>
      <c r="D144" s="532">
        <f>SUM(D138+D139+D142)</f>
        <v>11963</v>
      </c>
      <c r="E144" s="533">
        <f t="shared" si="16"/>
        <v>515</v>
      </c>
    </row>
    <row r="145" spans="1:5" s="506" customFormat="1" x14ac:dyDescent="0.2">
      <c r="A145" s="512"/>
      <c r="B145" s="516" t="s">
        <v>690</v>
      </c>
      <c r="C145" s="532">
        <f>SUM(C137+C144)</f>
        <v>20497</v>
      </c>
      <c r="D145" s="532">
        <f>SUM(D137+D144)</f>
        <v>20715</v>
      </c>
      <c r="E145" s="533">
        <f t="shared" si="16"/>
        <v>218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33026</v>
      </c>
      <c r="D149" s="534">
        <v>32965</v>
      </c>
      <c r="E149" s="531">
        <f t="shared" ref="E149:E157" si="17">D149-C149</f>
        <v>-61</v>
      </c>
    </row>
    <row r="150" spans="1:5" s="506" customFormat="1" x14ac:dyDescent="0.2">
      <c r="A150" s="512">
        <v>2</v>
      </c>
      <c r="B150" s="511" t="s">
        <v>600</v>
      </c>
      <c r="C150" s="534">
        <v>46411</v>
      </c>
      <c r="D150" s="534">
        <v>49996</v>
      </c>
      <c r="E150" s="531">
        <f t="shared" si="17"/>
        <v>3585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12255</v>
      </c>
      <c r="D151" s="534">
        <f>D152+D153</f>
        <v>12697</v>
      </c>
      <c r="E151" s="531">
        <f t="shared" si="17"/>
        <v>442</v>
      </c>
    </row>
    <row r="152" spans="1:5" s="506" customFormat="1" x14ac:dyDescent="0.2">
      <c r="A152" s="512">
        <v>4</v>
      </c>
      <c r="B152" s="511" t="s">
        <v>114</v>
      </c>
      <c r="C152" s="534">
        <v>9655</v>
      </c>
      <c r="D152" s="534">
        <v>11440</v>
      </c>
      <c r="E152" s="531">
        <f t="shared" si="17"/>
        <v>1785</v>
      </c>
    </row>
    <row r="153" spans="1:5" s="506" customFormat="1" x14ac:dyDescent="0.2">
      <c r="A153" s="512">
        <v>5</v>
      </c>
      <c r="B153" s="511" t="s">
        <v>713</v>
      </c>
      <c r="C153" s="535">
        <v>2600</v>
      </c>
      <c r="D153" s="534">
        <v>1257</v>
      </c>
      <c r="E153" s="531">
        <f t="shared" si="17"/>
        <v>-1343</v>
      </c>
    </row>
    <row r="154" spans="1:5" s="506" customFormat="1" x14ac:dyDescent="0.2">
      <c r="A154" s="512">
        <v>6</v>
      </c>
      <c r="B154" s="511" t="s">
        <v>418</v>
      </c>
      <c r="C154" s="534">
        <v>102</v>
      </c>
      <c r="D154" s="534">
        <v>226</v>
      </c>
      <c r="E154" s="531">
        <f t="shared" si="17"/>
        <v>124</v>
      </c>
    </row>
    <row r="155" spans="1:5" s="506" customFormat="1" x14ac:dyDescent="0.2">
      <c r="A155" s="512">
        <v>7</v>
      </c>
      <c r="B155" s="511" t="s">
        <v>728</v>
      </c>
      <c r="C155" s="534">
        <v>1041</v>
      </c>
      <c r="D155" s="534">
        <v>1120</v>
      </c>
      <c r="E155" s="531">
        <f t="shared" si="17"/>
        <v>79</v>
      </c>
    </row>
    <row r="156" spans="1:5" s="506" customFormat="1" x14ac:dyDescent="0.2">
      <c r="A156" s="512"/>
      <c r="B156" s="516" t="s">
        <v>777</v>
      </c>
      <c r="C156" s="532">
        <f>SUM(C150+C151+C154)</f>
        <v>58768</v>
      </c>
      <c r="D156" s="532">
        <f>SUM(D150+D151+D154)</f>
        <v>62919</v>
      </c>
      <c r="E156" s="533">
        <f t="shared" si="17"/>
        <v>4151</v>
      </c>
    </row>
    <row r="157" spans="1:5" s="506" customFormat="1" x14ac:dyDescent="0.2">
      <c r="A157" s="512"/>
      <c r="B157" s="516" t="s">
        <v>778</v>
      </c>
      <c r="C157" s="532">
        <f>SUM(C149+C156)</f>
        <v>91794</v>
      </c>
      <c r="D157" s="532">
        <f>SUM(D149+D156)</f>
        <v>95884</v>
      </c>
      <c r="E157" s="533">
        <f t="shared" si="17"/>
        <v>4090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3.6496850480716101</v>
      </c>
      <c r="D161" s="536">
        <f t="shared" si="18"/>
        <v>3.7665676416819012</v>
      </c>
      <c r="E161" s="537">
        <f t="shared" ref="E161:E169" si="19">D161-C161</f>
        <v>0.11688259361029107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5.4180480971281808</v>
      </c>
      <c r="D162" s="536">
        <f t="shared" si="18"/>
        <v>5.6068184366939553</v>
      </c>
      <c r="E162" s="537">
        <f t="shared" si="19"/>
        <v>0.18877033956577449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4.2894644732236609</v>
      </c>
      <c r="D163" s="536">
        <f t="shared" si="18"/>
        <v>4.2084852502485912</v>
      </c>
      <c r="E163" s="537">
        <f t="shared" si="19"/>
        <v>-8.0979222975069654E-2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4.1760380622837374</v>
      </c>
      <c r="D164" s="536">
        <f t="shared" si="18"/>
        <v>4.195086175284195</v>
      </c>
      <c r="E164" s="537">
        <f t="shared" si="19"/>
        <v>1.9048113000457612E-2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4.7706422018348622</v>
      </c>
      <c r="D165" s="536">
        <f t="shared" si="18"/>
        <v>4.3344827586206893</v>
      </c>
      <c r="E165" s="537">
        <f t="shared" si="19"/>
        <v>-0.43615944321417288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4.08</v>
      </c>
      <c r="D166" s="536">
        <f t="shared" si="18"/>
        <v>7.7931034482758621</v>
      </c>
      <c r="E166" s="537">
        <f t="shared" si="19"/>
        <v>3.713103448275862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3.2329192546583849</v>
      </c>
      <c r="D167" s="536">
        <f t="shared" si="18"/>
        <v>3.7583892617449663</v>
      </c>
      <c r="E167" s="537">
        <f t="shared" si="19"/>
        <v>0.52547000708658143</v>
      </c>
    </row>
    <row r="168" spans="1:5" s="506" customFormat="1" x14ac:dyDescent="0.2">
      <c r="A168" s="512"/>
      <c r="B168" s="516" t="s">
        <v>780</v>
      </c>
      <c r="C168" s="538">
        <f t="shared" si="18"/>
        <v>5.133473095737247</v>
      </c>
      <c r="D168" s="538">
        <f t="shared" si="18"/>
        <v>5.2594666889576196</v>
      </c>
      <c r="E168" s="539">
        <f t="shared" si="19"/>
        <v>0.12599359322037262</v>
      </c>
    </row>
    <row r="169" spans="1:5" s="506" customFormat="1" x14ac:dyDescent="0.2">
      <c r="A169" s="512"/>
      <c r="B169" s="516" t="s">
        <v>714</v>
      </c>
      <c r="C169" s="538">
        <f t="shared" si="18"/>
        <v>4.4784114748499784</v>
      </c>
      <c r="D169" s="538">
        <f t="shared" si="18"/>
        <v>4.6287231474776735</v>
      </c>
      <c r="E169" s="539">
        <f t="shared" si="19"/>
        <v>0.15031167262769518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1.1226</v>
      </c>
      <c r="D173" s="541">
        <f t="shared" si="20"/>
        <v>1.1614</v>
      </c>
      <c r="E173" s="542">
        <f t="shared" ref="E173:E181" si="21">D173-C173</f>
        <v>3.8799999999999946E-2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1.3711</v>
      </c>
      <c r="D174" s="541">
        <f t="shared" si="20"/>
        <v>1.3485</v>
      </c>
      <c r="E174" s="542">
        <f t="shared" si="21"/>
        <v>-2.2599999999999953E-2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0.92737917395869784</v>
      </c>
      <c r="D175" s="541">
        <f t="shared" si="20"/>
        <v>0.88328458733841564</v>
      </c>
      <c r="E175" s="542">
        <f t="shared" si="21"/>
        <v>-4.4094586620282206E-2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0.9413999999999999</v>
      </c>
      <c r="D176" s="541">
        <f t="shared" si="20"/>
        <v>0.86580000000000001</v>
      </c>
      <c r="E176" s="542">
        <f t="shared" si="21"/>
        <v>-7.559999999999989E-2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0.8679</v>
      </c>
      <c r="D177" s="541">
        <f t="shared" si="20"/>
        <v>1.0477000000000001</v>
      </c>
      <c r="E177" s="542">
        <f t="shared" si="21"/>
        <v>0.17980000000000007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0.81389999999999996</v>
      </c>
      <c r="D178" s="541">
        <f t="shared" si="20"/>
        <v>0.90859999999999996</v>
      </c>
      <c r="E178" s="542">
        <f t="shared" si="21"/>
        <v>9.4700000000000006E-2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1.0331999999999999</v>
      </c>
      <c r="D179" s="541">
        <f t="shared" si="20"/>
        <v>1.2416</v>
      </c>
      <c r="E179" s="542">
        <f t="shared" si="21"/>
        <v>0.20840000000000014</v>
      </c>
    </row>
    <row r="180" spans="1:5" s="506" customFormat="1" x14ac:dyDescent="0.2">
      <c r="A180" s="512"/>
      <c r="B180" s="516" t="s">
        <v>782</v>
      </c>
      <c r="C180" s="543">
        <f t="shared" si="20"/>
        <v>1.25914678546471</v>
      </c>
      <c r="D180" s="543">
        <f t="shared" si="20"/>
        <v>1.2301089609629692</v>
      </c>
      <c r="E180" s="544">
        <f t="shared" si="21"/>
        <v>-2.9037824501740861E-2</v>
      </c>
    </row>
    <row r="181" spans="1:5" s="506" customFormat="1" x14ac:dyDescent="0.2">
      <c r="A181" s="512"/>
      <c r="B181" s="516" t="s">
        <v>691</v>
      </c>
      <c r="C181" s="543">
        <f t="shared" si="20"/>
        <v>1.1988642142752599</v>
      </c>
      <c r="D181" s="543">
        <f t="shared" si="20"/>
        <v>1.2010797151822352</v>
      </c>
      <c r="E181" s="544">
        <f t="shared" si="21"/>
        <v>2.2155009069753095E-3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784</v>
      </c>
      <c r="C185" s="513">
        <v>419231815</v>
      </c>
      <c r="D185" s="513">
        <v>427508232</v>
      </c>
      <c r="E185" s="514">
        <f>D185-C185</f>
        <v>8276417</v>
      </c>
    </row>
    <row r="186" spans="1:5" s="506" customFormat="1" ht="25.5" x14ac:dyDescent="0.2">
      <c r="A186" s="512">
        <v>2</v>
      </c>
      <c r="B186" s="511" t="s">
        <v>785</v>
      </c>
      <c r="C186" s="513">
        <v>258865186</v>
      </c>
      <c r="D186" s="513">
        <v>264490798</v>
      </c>
      <c r="E186" s="514">
        <f>D186-C186</f>
        <v>5625612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160366629</v>
      </c>
      <c r="D188" s="546">
        <f>+D185-D186</f>
        <v>163017434</v>
      </c>
      <c r="E188" s="514">
        <f t="shared" ref="E188:E197" si="22">D188-C188</f>
        <v>2650805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0.3825249498299646</v>
      </c>
      <c r="D189" s="547">
        <f>IF(D185=0,0,+D188/D185)</f>
        <v>0.38131998824293983</v>
      </c>
      <c r="E189" s="523">
        <f t="shared" si="22"/>
        <v>-1.2049615870247665E-3</v>
      </c>
    </row>
    <row r="190" spans="1:5" s="506" customFormat="1" x14ac:dyDescent="0.2">
      <c r="A190" s="512">
        <v>5</v>
      </c>
      <c r="B190" s="511" t="s">
        <v>732</v>
      </c>
      <c r="C190" s="513">
        <v>25103550</v>
      </c>
      <c r="D190" s="513">
        <v>23462733</v>
      </c>
      <c r="E190" s="546">
        <f t="shared" si="22"/>
        <v>-1640817</v>
      </c>
    </row>
    <row r="191" spans="1:5" s="506" customFormat="1" x14ac:dyDescent="0.2">
      <c r="A191" s="512">
        <v>6</v>
      </c>
      <c r="B191" s="511" t="s">
        <v>718</v>
      </c>
      <c r="C191" s="513">
        <v>14621048</v>
      </c>
      <c r="D191" s="513">
        <v>13522001</v>
      </c>
      <c r="E191" s="546">
        <f t="shared" si="22"/>
        <v>-1099047</v>
      </c>
    </row>
    <row r="192" spans="1:5" ht="29.25" x14ac:dyDescent="0.2">
      <c r="A192" s="512">
        <v>7</v>
      </c>
      <c r="B192" s="548" t="s">
        <v>786</v>
      </c>
      <c r="C192" s="513">
        <v>2383181</v>
      </c>
      <c r="D192" s="513">
        <v>2277658</v>
      </c>
      <c r="E192" s="546">
        <f t="shared" si="22"/>
        <v>-105523</v>
      </c>
    </row>
    <row r="193" spans="1:5" s="506" customFormat="1" x14ac:dyDescent="0.2">
      <c r="A193" s="512">
        <v>8</v>
      </c>
      <c r="B193" s="511" t="s">
        <v>787</v>
      </c>
      <c r="C193" s="513">
        <v>12266705</v>
      </c>
      <c r="D193" s="513">
        <v>12767832</v>
      </c>
      <c r="E193" s="546">
        <f t="shared" si="22"/>
        <v>501127</v>
      </c>
    </row>
    <row r="194" spans="1:5" s="506" customFormat="1" x14ac:dyDescent="0.2">
      <c r="A194" s="512">
        <v>9</v>
      </c>
      <c r="B194" s="511" t="s">
        <v>788</v>
      </c>
      <c r="C194" s="513">
        <v>16695481</v>
      </c>
      <c r="D194" s="513">
        <v>10687109</v>
      </c>
      <c r="E194" s="546">
        <f t="shared" si="22"/>
        <v>-6008372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28962186</v>
      </c>
      <c r="D195" s="513">
        <f>+D193+D194</f>
        <v>23454941</v>
      </c>
      <c r="E195" s="549">
        <f t="shared" si="22"/>
        <v>-5507245</v>
      </c>
    </row>
    <row r="196" spans="1:5" s="506" customFormat="1" x14ac:dyDescent="0.2">
      <c r="A196" s="512">
        <v>11</v>
      </c>
      <c r="B196" s="511" t="s">
        <v>790</v>
      </c>
      <c r="C196" s="513">
        <v>419231815</v>
      </c>
      <c r="D196" s="513">
        <v>427508232</v>
      </c>
      <c r="E196" s="546">
        <f t="shared" si="22"/>
        <v>8276417</v>
      </c>
    </row>
    <row r="197" spans="1:5" s="506" customFormat="1" x14ac:dyDescent="0.2">
      <c r="A197" s="512">
        <v>12</v>
      </c>
      <c r="B197" s="511" t="s">
        <v>675</v>
      </c>
      <c r="C197" s="513">
        <v>442588744</v>
      </c>
      <c r="D197" s="513">
        <v>460314702</v>
      </c>
      <c r="E197" s="546">
        <f t="shared" si="22"/>
        <v>17725958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10158.4074</v>
      </c>
      <c r="D203" s="553">
        <v>10164.5728</v>
      </c>
      <c r="E203" s="554">
        <f t="shared" ref="E203:E211" si="23">D203-C203</f>
        <v>6.1653999999998632</v>
      </c>
    </row>
    <row r="204" spans="1:5" s="506" customFormat="1" x14ac:dyDescent="0.2">
      <c r="A204" s="512">
        <v>2</v>
      </c>
      <c r="B204" s="511" t="s">
        <v>600</v>
      </c>
      <c r="C204" s="553">
        <v>11744.8426</v>
      </c>
      <c r="D204" s="553">
        <v>12024.574500000001</v>
      </c>
      <c r="E204" s="554">
        <f t="shared" si="23"/>
        <v>279.73190000000068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2649.5222999999996</v>
      </c>
      <c r="D205" s="553">
        <f>D206+D207</f>
        <v>2664.8696</v>
      </c>
      <c r="E205" s="554">
        <f t="shared" si="23"/>
        <v>15.347300000000359</v>
      </c>
    </row>
    <row r="206" spans="1:5" s="506" customFormat="1" x14ac:dyDescent="0.2">
      <c r="A206" s="512">
        <v>4</v>
      </c>
      <c r="B206" s="511" t="s">
        <v>114</v>
      </c>
      <c r="C206" s="553">
        <v>2176.5167999999999</v>
      </c>
      <c r="D206" s="553">
        <v>2361.0365999999999</v>
      </c>
      <c r="E206" s="554">
        <f t="shared" si="23"/>
        <v>184.51980000000003</v>
      </c>
    </row>
    <row r="207" spans="1:5" s="506" customFormat="1" x14ac:dyDescent="0.2">
      <c r="A207" s="512">
        <v>5</v>
      </c>
      <c r="B207" s="511" t="s">
        <v>713</v>
      </c>
      <c r="C207" s="553">
        <v>473.00549999999998</v>
      </c>
      <c r="D207" s="553">
        <v>303.83300000000003</v>
      </c>
      <c r="E207" s="554">
        <f t="shared" si="23"/>
        <v>-169.17249999999996</v>
      </c>
    </row>
    <row r="208" spans="1:5" s="506" customFormat="1" x14ac:dyDescent="0.2">
      <c r="A208" s="512">
        <v>6</v>
      </c>
      <c r="B208" s="511" t="s">
        <v>418</v>
      </c>
      <c r="C208" s="553">
        <v>20.3475</v>
      </c>
      <c r="D208" s="553">
        <v>26.349399999999999</v>
      </c>
      <c r="E208" s="554">
        <f t="shared" si="23"/>
        <v>6.0018999999999991</v>
      </c>
    </row>
    <row r="209" spans="1:5" s="506" customFormat="1" x14ac:dyDescent="0.2">
      <c r="A209" s="512">
        <v>7</v>
      </c>
      <c r="B209" s="511" t="s">
        <v>728</v>
      </c>
      <c r="C209" s="553">
        <v>332.69039999999995</v>
      </c>
      <c r="D209" s="553">
        <v>369.99680000000001</v>
      </c>
      <c r="E209" s="554">
        <f t="shared" si="23"/>
        <v>37.306400000000053</v>
      </c>
    </row>
    <row r="210" spans="1:5" s="506" customFormat="1" x14ac:dyDescent="0.2">
      <c r="A210" s="512"/>
      <c r="B210" s="516" t="s">
        <v>793</v>
      </c>
      <c r="C210" s="555">
        <f>C204+C205+C208</f>
        <v>14414.7124</v>
      </c>
      <c r="D210" s="555">
        <f>D204+D205+D208</f>
        <v>14715.7935</v>
      </c>
      <c r="E210" s="556">
        <f t="shared" si="23"/>
        <v>301.08109999999942</v>
      </c>
    </row>
    <row r="211" spans="1:5" s="506" customFormat="1" x14ac:dyDescent="0.2">
      <c r="A211" s="512"/>
      <c r="B211" s="516" t="s">
        <v>692</v>
      </c>
      <c r="C211" s="555">
        <f>C210+C203</f>
        <v>24573.1198</v>
      </c>
      <c r="D211" s="555">
        <f>D210+D203</f>
        <v>24880.366300000002</v>
      </c>
      <c r="E211" s="556">
        <f t="shared" si="23"/>
        <v>307.24650000000111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12651.736998880539</v>
      </c>
      <c r="D215" s="557">
        <f>IF(D14*D137=0,0,D25/D14*D137)</f>
        <v>12427.537552259044</v>
      </c>
      <c r="E215" s="557">
        <f t="shared" ref="E215:E223" si="24">D215-C215</f>
        <v>-224.19944662149464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6107.7037177609946</v>
      </c>
      <c r="D216" s="557">
        <f>IF(D15*D138=0,0,D26/D15*D138)</f>
        <v>6425.6521009697335</v>
      </c>
      <c r="E216" s="557">
        <f t="shared" si="24"/>
        <v>317.94838320873896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2742.333886090707</v>
      </c>
      <c r="D217" s="557">
        <f>D218+D219</f>
        <v>3467.5375085906112</v>
      </c>
      <c r="E217" s="557">
        <f t="shared" si="24"/>
        <v>725.20362249990421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2187.2666613816295</v>
      </c>
      <c r="D218" s="557">
        <f t="shared" si="25"/>
        <v>3072.8056119466078</v>
      </c>
      <c r="E218" s="557">
        <f t="shared" si="24"/>
        <v>885.53895056497822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555.06722470907755</v>
      </c>
      <c r="D219" s="557">
        <f t="shared" si="25"/>
        <v>394.73189664400326</v>
      </c>
      <c r="E219" s="557">
        <f t="shared" si="24"/>
        <v>-160.33532806507429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39.329413442027786</v>
      </c>
      <c r="D220" s="557">
        <f t="shared" si="25"/>
        <v>18.678401509427928</v>
      </c>
      <c r="E220" s="557">
        <f t="shared" si="24"/>
        <v>-20.651011932599857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1006.0499017722882</v>
      </c>
      <c r="D221" s="557">
        <f t="shared" si="25"/>
        <v>931.72158591911773</v>
      </c>
      <c r="E221" s="557">
        <f t="shared" si="24"/>
        <v>-74.328315853170466</v>
      </c>
    </row>
    <row r="222" spans="1:5" s="506" customFormat="1" x14ac:dyDescent="0.2">
      <c r="A222" s="512"/>
      <c r="B222" s="516" t="s">
        <v>795</v>
      </c>
      <c r="C222" s="558">
        <f>C216+C218+C219+C220</f>
        <v>8889.3670172937291</v>
      </c>
      <c r="D222" s="558">
        <f>D216+D218+D219+D220</f>
        <v>9911.8680110697715</v>
      </c>
      <c r="E222" s="558">
        <f t="shared" si="24"/>
        <v>1022.5009937760424</v>
      </c>
    </row>
    <row r="223" spans="1:5" s="506" customFormat="1" x14ac:dyDescent="0.2">
      <c r="A223" s="512"/>
      <c r="B223" s="516" t="s">
        <v>796</v>
      </c>
      <c r="C223" s="558">
        <f>C215+C222</f>
        <v>21541.104016174268</v>
      </c>
      <c r="D223" s="558">
        <f>D215+D222</f>
        <v>22339.405563328815</v>
      </c>
      <c r="E223" s="558">
        <f t="shared" si="24"/>
        <v>798.30154715454773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11277.964102916369</v>
      </c>
      <c r="D227" s="560">
        <f t="shared" si="26"/>
        <v>11500.887868105978</v>
      </c>
      <c r="E227" s="560">
        <f t="shared" ref="E227:E235" si="27">D227-C227</f>
        <v>222.92376518960918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7358.0584213193288</v>
      </c>
      <c r="D228" s="560">
        <f t="shared" si="26"/>
        <v>7544.02977003469</v>
      </c>
      <c r="E228" s="560">
        <f t="shared" si="27"/>
        <v>185.97134871536127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5393.2933495219131</v>
      </c>
      <c r="D229" s="560">
        <f t="shared" si="26"/>
        <v>5521.9125918956788</v>
      </c>
      <c r="E229" s="560">
        <f t="shared" si="27"/>
        <v>128.6192423737657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6078.9896039396526</v>
      </c>
      <c r="D230" s="560">
        <f t="shared" si="26"/>
        <v>6005.6129583082284</v>
      </c>
      <c r="E230" s="560">
        <f t="shared" si="27"/>
        <v>-73.376645631424253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2238.0881406241579</v>
      </c>
      <c r="D231" s="560">
        <f t="shared" si="26"/>
        <v>1763.1560758706262</v>
      </c>
      <c r="E231" s="560">
        <f t="shared" si="27"/>
        <v>-474.93206475353168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7486.3251013638037</v>
      </c>
      <c r="D232" s="560">
        <f t="shared" si="26"/>
        <v>16552.862683780277</v>
      </c>
      <c r="E232" s="560">
        <f t="shared" si="27"/>
        <v>9066.537582416473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2037.1161897067066</v>
      </c>
      <c r="D233" s="560">
        <f t="shared" si="26"/>
        <v>5259.5725152217528</v>
      </c>
      <c r="E233" s="560">
        <f t="shared" si="27"/>
        <v>3222.456325515046</v>
      </c>
    </row>
    <row r="234" spans="1:5" x14ac:dyDescent="0.2">
      <c r="A234" s="512"/>
      <c r="B234" s="516" t="s">
        <v>798</v>
      </c>
      <c r="C234" s="561">
        <f t="shared" si="26"/>
        <v>6997.1022800288401</v>
      </c>
      <c r="D234" s="561">
        <f t="shared" si="26"/>
        <v>7193.9772055105286</v>
      </c>
      <c r="E234" s="561">
        <f t="shared" si="27"/>
        <v>196.87492548168848</v>
      </c>
    </row>
    <row r="235" spans="1:5" s="506" customFormat="1" x14ac:dyDescent="0.2">
      <c r="A235" s="512"/>
      <c r="B235" s="516" t="s">
        <v>799</v>
      </c>
      <c r="C235" s="561">
        <f t="shared" si="26"/>
        <v>8766.7895958412246</v>
      </c>
      <c r="D235" s="561">
        <f t="shared" si="26"/>
        <v>8953.5134778140291</v>
      </c>
      <c r="E235" s="561">
        <f t="shared" si="27"/>
        <v>186.72388197280452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12176.350726673418</v>
      </c>
      <c r="D239" s="560">
        <f t="shared" si="28"/>
        <v>12997.32351004954</v>
      </c>
      <c r="E239" s="562">
        <f t="shared" ref="E239:E247" si="29">D239-C239</f>
        <v>820.97278337612261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10087.807275397219</v>
      </c>
      <c r="D240" s="560">
        <f t="shared" si="28"/>
        <v>10171.932120342453</v>
      </c>
      <c r="E240" s="562">
        <f t="shared" si="29"/>
        <v>84.124844945234145</v>
      </c>
    </row>
    <row r="241" spans="1:5" x14ac:dyDescent="0.2">
      <c r="A241" s="512">
        <v>3</v>
      </c>
      <c r="B241" s="511" t="s">
        <v>746</v>
      </c>
      <c r="C241" s="560">
        <f t="shared" si="28"/>
        <v>4487.6059995536743</v>
      </c>
      <c r="D241" s="560">
        <f t="shared" si="28"/>
        <v>4153.7722272121237</v>
      </c>
      <c r="E241" s="562">
        <f t="shared" si="29"/>
        <v>-333.83377234155068</v>
      </c>
    </row>
    <row r="242" spans="1:5" x14ac:dyDescent="0.2">
      <c r="A242" s="512">
        <v>4</v>
      </c>
      <c r="B242" s="511" t="s">
        <v>114</v>
      </c>
      <c r="C242" s="560">
        <f t="shared" si="28"/>
        <v>4444.3698482833943</v>
      </c>
      <c r="D242" s="560">
        <f t="shared" si="28"/>
        <v>4363.4380736196645</v>
      </c>
      <c r="E242" s="562">
        <f t="shared" si="29"/>
        <v>-80.931774663729811</v>
      </c>
    </row>
    <row r="243" spans="1:5" x14ac:dyDescent="0.2">
      <c r="A243" s="512">
        <v>5</v>
      </c>
      <c r="B243" s="511" t="s">
        <v>713</v>
      </c>
      <c r="C243" s="560">
        <f t="shared" si="28"/>
        <v>4657.9799435196537</v>
      </c>
      <c r="D243" s="560">
        <f t="shared" si="28"/>
        <v>2521.6203921257688</v>
      </c>
      <c r="E243" s="562">
        <f t="shared" si="29"/>
        <v>-2136.3595513938849</v>
      </c>
    </row>
    <row r="244" spans="1:5" x14ac:dyDescent="0.2">
      <c r="A244" s="512">
        <v>6</v>
      </c>
      <c r="B244" s="511" t="s">
        <v>418</v>
      </c>
      <c r="C244" s="560">
        <f t="shared" si="28"/>
        <v>3592.4766640179832</v>
      </c>
      <c r="D244" s="560">
        <f t="shared" si="28"/>
        <v>9150.9972046443618</v>
      </c>
      <c r="E244" s="562">
        <f t="shared" si="29"/>
        <v>5558.5205406263785</v>
      </c>
    </row>
    <row r="245" spans="1:5" x14ac:dyDescent="0.2">
      <c r="A245" s="512">
        <v>7</v>
      </c>
      <c r="B245" s="511" t="s">
        <v>728</v>
      </c>
      <c r="C245" s="560">
        <f t="shared" si="28"/>
        <v>2104.7484784500043</v>
      </c>
      <c r="D245" s="560">
        <f t="shared" si="28"/>
        <v>6530.2866134607129</v>
      </c>
      <c r="E245" s="562">
        <f t="shared" si="29"/>
        <v>4425.5381350107091</v>
      </c>
    </row>
    <row r="246" spans="1:5" ht="25.5" x14ac:dyDescent="0.2">
      <c r="A246" s="512"/>
      <c r="B246" s="516" t="s">
        <v>801</v>
      </c>
      <c r="C246" s="561">
        <f t="shared" si="28"/>
        <v>8331.43033198185</v>
      </c>
      <c r="D246" s="561">
        <f t="shared" si="28"/>
        <v>8064.633620093241</v>
      </c>
      <c r="E246" s="563">
        <f t="shared" si="29"/>
        <v>-266.79671188860902</v>
      </c>
    </row>
    <row r="247" spans="1:5" x14ac:dyDescent="0.2">
      <c r="A247" s="512"/>
      <c r="B247" s="516" t="s">
        <v>802</v>
      </c>
      <c r="C247" s="561">
        <f t="shared" si="28"/>
        <v>10589.667494698502</v>
      </c>
      <c r="D247" s="561">
        <f t="shared" si="28"/>
        <v>10808.716879932044</v>
      </c>
      <c r="E247" s="563">
        <f t="shared" si="29"/>
        <v>219.04938523354213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12343702.539919389</v>
      </c>
      <c r="D251" s="546">
        <f>((IF((IF(D15=0,0,D26/D15)*D138)=0,0,D59/(IF(D15=0,0,D26/D15)*D138)))-(IF((IF(D17=0,0,D28/D17)*D140)=0,0,D61/(IF(D17=0,0,D28/D17)*D140))))*(IF(D17=0,0,D28/D17)*D140)</f>
        <v>17848373.103728246</v>
      </c>
      <c r="E251" s="546">
        <f>D251-C251</f>
        <v>5504670.5638088565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5435693.290360136</v>
      </c>
      <c r="D252" s="546">
        <f>IF(D231=0,0,(D228-D231)*D207)+IF(D243=0,0,(D240-D243)*D219)</f>
        <v>4776242.255515784</v>
      </c>
      <c r="E252" s="546">
        <f>D252-C252</f>
        <v>-659451.03484435193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9801581.9179232419</v>
      </c>
      <c r="D253" s="546">
        <f>IF(D233=0,0,(D228-D233)*D209+IF(D221=0,0,(D240-D245)*D221))</f>
        <v>4238241.6010446558</v>
      </c>
      <c r="E253" s="546">
        <f>D253-C253</f>
        <v>-5563340.3168785861</v>
      </c>
    </row>
    <row r="254" spans="1:5" ht="15" customHeight="1" x14ac:dyDescent="0.2">
      <c r="A254" s="512"/>
      <c r="B254" s="516" t="s">
        <v>729</v>
      </c>
      <c r="C254" s="564">
        <f>+C251+C252+C253</f>
        <v>27580977.748202767</v>
      </c>
      <c r="D254" s="564">
        <f>+D251+D252+D253</f>
        <v>26862856.960288685</v>
      </c>
      <c r="E254" s="564">
        <f>D254-C254</f>
        <v>-718120.78791408241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1002343396</v>
      </c>
      <c r="D258" s="549">
        <f>+D44</f>
        <v>1042814916</v>
      </c>
      <c r="E258" s="546">
        <f t="shared" ref="E258:E271" si="30">D258-C258</f>
        <v>40471520</v>
      </c>
    </row>
    <row r="259" spans="1:5" x14ac:dyDescent="0.2">
      <c r="A259" s="512">
        <v>2</v>
      </c>
      <c r="B259" s="511" t="s">
        <v>712</v>
      </c>
      <c r="C259" s="546">
        <f>+(C43-C76)</f>
        <v>355570116</v>
      </c>
      <c r="D259" s="549">
        <f>+(D43-D76)</f>
        <v>380042879</v>
      </c>
      <c r="E259" s="546">
        <f t="shared" si="30"/>
        <v>24472763</v>
      </c>
    </row>
    <row r="260" spans="1:5" x14ac:dyDescent="0.2">
      <c r="A260" s="512">
        <v>3</v>
      </c>
      <c r="B260" s="511" t="s">
        <v>716</v>
      </c>
      <c r="C260" s="546">
        <f>C195</f>
        <v>28962186</v>
      </c>
      <c r="D260" s="546">
        <f>D195</f>
        <v>23454941</v>
      </c>
      <c r="E260" s="546">
        <f t="shared" si="30"/>
        <v>-5507245</v>
      </c>
    </row>
    <row r="261" spans="1:5" x14ac:dyDescent="0.2">
      <c r="A261" s="512">
        <v>4</v>
      </c>
      <c r="B261" s="511" t="s">
        <v>717</v>
      </c>
      <c r="C261" s="546">
        <f>C188</f>
        <v>160366629</v>
      </c>
      <c r="D261" s="546">
        <f>D188</f>
        <v>163017434</v>
      </c>
      <c r="E261" s="546">
        <f t="shared" si="30"/>
        <v>2650805</v>
      </c>
    </row>
    <row r="262" spans="1:5" x14ac:dyDescent="0.2">
      <c r="A262" s="512">
        <v>5</v>
      </c>
      <c r="B262" s="511" t="s">
        <v>718</v>
      </c>
      <c r="C262" s="546">
        <f>C191</f>
        <v>14621048</v>
      </c>
      <c r="D262" s="546">
        <f>D191</f>
        <v>13522001</v>
      </c>
      <c r="E262" s="546">
        <f t="shared" si="30"/>
        <v>-1099047</v>
      </c>
    </row>
    <row r="263" spans="1:5" x14ac:dyDescent="0.2">
      <c r="A263" s="512">
        <v>6</v>
      </c>
      <c r="B263" s="511" t="s">
        <v>719</v>
      </c>
      <c r="C263" s="546">
        <f>+C259+C260+C261+C262</f>
        <v>559519979</v>
      </c>
      <c r="D263" s="546">
        <f>+D259+D260+D261+D262</f>
        <v>580037255</v>
      </c>
      <c r="E263" s="546">
        <f t="shared" si="30"/>
        <v>20517276</v>
      </c>
    </row>
    <row r="264" spans="1:5" x14ac:dyDescent="0.2">
      <c r="A264" s="512">
        <v>7</v>
      </c>
      <c r="B264" s="511" t="s">
        <v>619</v>
      </c>
      <c r="C264" s="546">
        <f>+C258-C263</f>
        <v>442823417</v>
      </c>
      <c r="D264" s="546">
        <f>+D258-D263</f>
        <v>462777661</v>
      </c>
      <c r="E264" s="546">
        <f t="shared" si="30"/>
        <v>19954244</v>
      </c>
    </row>
    <row r="265" spans="1:5" x14ac:dyDescent="0.2">
      <c r="A265" s="512">
        <v>8</v>
      </c>
      <c r="B265" s="511" t="s">
        <v>805</v>
      </c>
      <c r="C265" s="565">
        <f>C192</f>
        <v>2383181</v>
      </c>
      <c r="D265" s="565">
        <f>D192</f>
        <v>2277658</v>
      </c>
      <c r="E265" s="546">
        <f t="shared" si="30"/>
        <v>-105523</v>
      </c>
    </row>
    <row r="266" spans="1:5" x14ac:dyDescent="0.2">
      <c r="A266" s="512">
        <v>9</v>
      </c>
      <c r="B266" s="511" t="s">
        <v>806</v>
      </c>
      <c r="C266" s="546">
        <f>+C264+C265</f>
        <v>445206598</v>
      </c>
      <c r="D266" s="546">
        <f>+D264+D265</f>
        <v>465055319</v>
      </c>
      <c r="E266" s="565">
        <f t="shared" si="30"/>
        <v>19848721</v>
      </c>
    </row>
    <row r="267" spans="1:5" x14ac:dyDescent="0.2">
      <c r="A267" s="512">
        <v>10</v>
      </c>
      <c r="B267" s="511" t="s">
        <v>807</v>
      </c>
      <c r="C267" s="566">
        <f>IF(C258=0,0,C266/C258)</f>
        <v>0.44416574177738183</v>
      </c>
      <c r="D267" s="566">
        <f>IF(D258=0,0,D266/D258)</f>
        <v>0.44596151422905039</v>
      </c>
      <c r="E267" s="567">
        <f t="shared" si="30"/>
        <v>1.7957724516685647E-3</v>
      </c>
    </row>
    <row r="268" spans="1:5" x14ac:dyDescent="0.2">
      <c r="A268" s="512">
        <v>11</v>
      </c>
      <c r="B268" s="511" t="s">
        <v>681</v>
      </c>
      <c r="C268" s="546">
        <f>+C260*C267</f>
        <v>12864010.828184502</v>
      </c>
      <c r="D268" s="568">
        <f>+D260*D267</f>
        <v>10460001.004513038</v>
      </c>
      <c r="E268" s="546">
        <f t="shared" si="30"/>
        <v>-2404009.8236714639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18667756.155801922</v>
      </c>
      <c r="D269" s="568">
        <f>((D17+D18+D28+D29)*D267)-(D50+D51+D61+D62)</f>
        <v>20918723.855709575</v>
      </c>
      <c r="E269" s="546">
        <f t="shared" si="30"/>
        <v>2250967.699907653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810</v>
      </c>
      <c r="C271" s="546">
        <f>+C268+C269+C270</f>
        <v>31531766.983986422</v>
      </c>
      <c r="D271" s="546">
        <f>+D268+D269+D270</f>
        <v>31378724.860222615</v>
      </c>
      <c r="E271" s="549">
        <f t="shared" si="30"/>
        <v>-153042.12376380712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0.58227135085175941</v>
      </c>
      <c r="D276" s="547">
        <f t="shared" si="31"/>
        <v>0.59311287636792953</v>
      </c>
      <c r="E276" s="574">
        <f t="shared" ref="E276:E284" si="32">D276-C276</f>
        <v>1.0841525516170125E-2</v>
      </c>
    </row>
    <row r="277" spans="1:5" x14ac:dyDescent="0.2">
      <c r="A277" s="512">
        <v>2</v>
      </c>
      <c r="B277" s="511" t="s">
        <v>600</v>
      </c>
      <c r="C277" s="547">
        <f t="shared" si="31"/>
        <v>0.34622687106384814</v>
      </c>
      <c r="D277" s="547">
        <f t="shared" si="31"/>
        <v>0.34563208835367393</v>
      </c>
      <c r="E277" s="574">
        <f t="shared" si="32"/>
        <v>-5.9478271017421314E-4</v>
      </c>
    </row>
    <row r="278" spans="1:5" x14ac:dyDescent="0.2">
      <c r="A278" s="512">
        <v>3</v>
      </c>
      <c r="B278" s="511" t="s">
        <v>746</v>
      </c>
      <c r="C278" s="547">
        <f t="shared" si="31"/>
        <v>0.2748528856795649</v>
      </c>
      <c r="D278" s="547">
        <f t="shared" si="31"/>
        <v>0.28234706777798468</v>
      </c>
      <c r="E278" s="574">
        <f t="shared" si="32"/>
        <v>7.4941820984197882E-3</v>
      </c>
    </row>
    <row r="279" spans="1:5" x14ac:dyDescent="0.2">
      <c r="A279" s="512">
        <v>4</v>
      </c>
      <c r="B279" s="511" t="s">
        <v>114</v>
      </c>
      <c r="C279" s="547">
        <f t="shared" si="31"/>
        <v>0.31593273898953278</v>
      </c>
      <c r="D279" s="547">
        <f t="shared" si="31"/>
        <v>0.30608473345330228</v>
      </c>
      <c r="E279" s="574">
        <f t="shared" si="32"/>
        <v>-9.8480055362304975E-3</v>
      </c>
    </row>
    <row r="280" spans="1:5" x14ac:dyDescent="0.2">
      <c r="A280" s="512">
        <v>5</v>
      </c>
      <c r="B280" s="511" t="s">
        <v>713</v>
      </c>
      <c r="C280" s="547">
        <f t="shared" si="31"/>
        <v>0.10470124439468537</v>
      </c>
      <c r="D280" s="547">
        <f t="shared" si="31"/>
        <v>9.2490184771461426E-2</v>
      </c>
      <c r="E280" s="574">
        <f t="shared" si="32"/>
        <v>-1.2211059623223941E-2</v>
      </c>
    </row>
    <row r="281" spans="1:5" x14ac:dyDescent="0.2">
      <c r="A281" s="512">
        <v>6</v>
      </c>
      <c r="B281" s="511" t="s">
        <v>418</v>
      </c>
      <c r="C281" s="547">
        <f t="shared" si="31"/>
        <v>0.38781719168090267</v>
      </c>
      <c r="D281" s="547">
        <f t="shared" si="31"/>
        <v>0.34870183601760468</v>
      </c>
      <c r="E281" s="574">
        <f t="shared" si="32"/>
        <v>-3.911535566329799E-2</v>
      </c>
    </row>
    <row r="282" spans="1:5" x14ac:dyDescent="0.2">
      <c r="A282" s="512">
        <v>7</v>
      </c>
      <c r="B282" s="511" t="s">
        <v>728</v>
      </c>
      <c r="C282" s="547">
        <f t="shared" si="31"/>
        <v>0.10140406526569362</v>
      </c>
      <c r="D282" s="547">
        <f t="shared" si="31"/>
        <v>0.29512481602328211</v>
      </c>
      <c r="E282" s="574">
        <f t="shared" si="32"/>
        <v>0.19372075075758849</v>
      </c>
    </row>
    <row r="283" spans="1:5" ht="29.25" customHeight="1" x14ac:dyDescent="0.2">
      <c r="A283" s="512"/>
      <c r="B283" s="516" t="s">
        <v>814</v>
      </c>
      <c r="C283" s="575">
        <f t="shared" si="31"/>
        <v>0.33399315225606091</v>
      </c>
      <c r="D283" s="575">
        <f t="shared" si="31"/>
        <v>0.33520099546559357</v>
      </c>
      <c r="E283" s="576">
        <f t="shared" si="32"/>
        <v>1.2078432095326552E-3</v>
      </c>
    </row>
    <row r="284" spans="1:5" x14ac:dyDescent="0.2">
      <c r="A284" s="512"/>
      <c r="B284" s="516" t="s">
        <v>815</v>
      </c>
      <c r="C284" s="575">
        <f t="shared" si="31"/>
        <v>0.43194045976473638</v>
      </c>
      <c r="D284" s="575">
        <f t="shared" si="31"/>
        <v>0.43430732395450067</v>
      </c>
      <c r="E284" s="576">
        <f t="shared" si="32"/>
        <v>2.3668641897642839E-3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0.55999845070911225</v>
      </c>
      <c r="D287" s="547">
        <f t="shared" si="33"/>
        <v>0.57713590096603407</v>
      </c>
      <c r="E287" s="574">
        <f t="shared" ref="E287:E295" si="34">D287-C287</f>
        <v>1.7137450256921816E-2</v>
      </c>
    </row>
    <row r="288" spans="1:5" x14ac:dyDescent="0.2">
      <c r="A288" s="512">
        <v>2</v>
      </c>
      <c r="B288" s="511" t="s">
        <v>600</v>
      </c>
      <c r="C288" s="547">
        <f t="shared" si="33"/>
        <v>0.34619850248968476</v>
      </c>
      <c r="D288" s="547">
        <f t="shared" si="33"/>
        <v>0.34559158929669942</v>
      </c>
      <c r="E288" s="574">
        <f t="shared" si="34"/>
        <v>-6.0691319298533664E-4</v>
      </c>
    </row>
    <row r="289" spans="1:5" x14ac:dyDescent="0.2">
      <c r="A289" s="512">
        <v>3</v>
      </c>
      <c r="B289" s="511" t="s">
        <v>746</v>
      </c>
      <c r="C289" s="547">
        <f t="shared" si="33"/>
        <v>0.24653683403152804</v>
      </c>
      <c r="D289" s="547">
        <f t="shared" si="33"/>
        <v>0.23972233915205629</v>
      </c>
      <c r="E289" s="574">
        <f t="shared" si="34"/>
        <v>-6.8144948794717497E-3</v>
      </c>
    </row>
    <row r="290" spans="1:5" x14ac:dyDescent="0.2">
      <c r="A290" s="512">
        <v>4</v>
      </c>
      <c r="B290" s="511" t="s">
        <v>114</v>
      </c>
      <c r="C290" s="547">
        <f t="shared" si="33"/>
        <v>0.24535743937166024</v>
      </c>
      <c r="D290" s="547">
        <f t="shared" si="33"/>
        <v>0.25685945945324634</v>
      </c>
      <c r="E290" s="574">
        <f t="shared" si="34"/>
        <v>1.1502020081586101E-2</v>
      </c>
    </row>
    <row r="291" spans="1:5" x14ac:dyDescent="0.2">
      <c r="A291" s="512">
        <v>5</v>
      </c>
      <c r="B291" s="511" t="s">
        <v>713</v>
      </c>
      <c r="C291" s="547">
        <f t="shared" si="33"/>
        <v>0.25107448656783754</v>
      </c>
      <c r="D291" s="547">
        <f t="shared" si="33"/>
        <v>0.12625472869853227</v>
      </c>
      <c r="E291" s="574">
        <f t="shared" si="34"/>
        <v>-0.12481975786930527</v>
      </c>
    </row>
    <row r="292" spans="1:5" x14ac:dyDescent="0.2">
      <c r="A292" s="512">
        <v>6</v>
      </c>
      <c r="B292" s="511" t="s">
        <v>418</v>
      </c>
      <c r="C292" s="547">
        <f t="shared" si="33"/>
        <v>0.22865530483867574</v>
      </c>
      <c r="D292" s="547">
        <f t="shared" si="33"/>
        <v>0.21216649992179956</v>
      </c>
      <c r="E292" s="574">
        <f t="shared" si="34"/>
        <v>-1.6488804916876182E-2</v>
      </c>
    </row>
    <row r="293" spans="1:5" x14ac:dyDescent="0.2">
      <c r="A293" s="512">
        <v>7</v>
      </c>
      <c r="B293" s="511" t="s">
        <v>728</v>
      </c>
      <c r="C293" s="547">
        <f t="shared" si="33"/>
        <v>0.10140406677103912</v>
      </c>
      <c r="D293" s="547">
        <f t="shared" si="33"/>
        <v>0.29512487832495199</v>
      </c>
      <c r="E293" s="574">
        <f t="shared" si="34"/>
        <v>0.19372081155391285</v>
      </c>
    </row>
    <row r="294" spans="1:5" ht="29.25" customHeight="1" x14ac:dyDescent="0.2">
      <c r="A294" s="512"/>
      <c r="B294" s="516" t="s">
        <v>817</v>
      </c>
      <c r="C294" s="575">
        <f t="shared" si="33"/>
        <v>0.32410943313180218</v>
      </c>
      <c r="D294" s="575">
        <f t="shared" si="33"/>
        <v>0.31971949012411371</v>
      </c>
      <c r="E294" s="576">
        <f t="shared" si="34"/>
        <v>-4.3899430076884682E-3</v>
      </c>
    </row>
    <row r="295" spans="1:5" x14ac:dyDescent="0.2">
      <c r="A295" s="512"/>
      <c r="B295" s="516" t="s">
        <v>818</v>
      </c>
      <c r="C295" s="575">
        <f t="shared" si="33"/>
        <v>0.45296474244557816</v>
      </c>
      <c r="D295" s="575">
        <f t="shared" si="33"/>
        <v>0.45567936739390003</v>
      </c>
      <c r="E295" s="576">
        <f t="shared" si="34"/>
        <v>2.7146249483218643E-3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443540500</v>
      </c>
      <c r="D301" s="514">
        <f>+D48+D47+D50+D51+D52+D59+D58+D61+D62+D63</f>
        <v>464227005</v>
      </c>
      <c r="E301" s="514">
        <f>D301-C301</f>
        <v>20686505</v>
      </c>
    </row>
    <row r="302" spans="1:5" ht="25.5" x14ac:dyDescent="0.2">
      <c r="A302" s="512">
        <v>2</v>
      </c>
      <c r="B302" s="511" t="s">
        <v>822</v>
      </c>
      <c r="C302" s="546">
        <f>C265</f>
        <v>2383181</v>
      </c>
      <c r="D302" s="546">
        <f>D265</f>
        <v>2277658</v>
      </c>
      <c r="E302" s="514">
        <f>D302-C302</f>
        <v>-105523</v>
      </c>
    </row>
    <row r="303" spans="1:5" x14ac:dyDescent="0.2">
      <c r="A303" s="512"/>
      <c r="B303" s="516" t="s">
        <v>823</v>
      </c>
      <c r="C303" s="517">
        <f>+C301+C302</f>
        <v>445923681</v>
      </c>
      <c r="D303" s="517">
        <f>+D301+D302</f>
        <v>466504663</v>
      </c>
      <c r="E303" s="517">
        <f>D303-C303</f>
        <v>20580982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14172242</v>
      </c>
      <c r="D305" s="578">
        <v>6793719</v>
      </c>
      <c r="E305" s="579">
        <f>D305-C305</f>
        <v>-7378523</v>
      </c>
    </row>
    <row r="306" spans="1:5" x14ac:dyDescent="0.2">
      <c r="A306" s="512">
        <v>4</v>
      </c>
      <c r="B306" s="516" t="s">
        <v>825</v>
      </c>
      <c r="C306" s="580">
        <f>+C303+C305</f>
        <v>460095923</v>
      </c>
      <c r="D306" s="580">
        <f>+D303+D305</f>
        <v>473298382</v>
      </c>
      <c r="E306" s="580">
        <f>D306-C306</f>
        <v>13202459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460095923</v>
      </c>
      <c r="D308" s="513">
        <v>473298383</v>
      </c>
      <c r="E308" s="514">
        <f>D308-C308</f>
        <v>13202460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0</v>
      </c>
      <c r="D310" s="582">
        <f>D306-D308</f>
        <v>-1</v>
      </c>
      <c r="E310" s="580">
        <f>D310-C310</f>
        <v>-1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1002343396</v>
      </c>
      <c r="D314" s="514">
        <f>+D14+D15+D16+D19+D25+D26+D27+D30</f>
        <v>1042814916</v>
      </c>
      <c r="E314" s="514">
        <f>D314-C314</f>
        <v>40471520</v>
      </c>
    </row>
    <row r="315" spans="1:5" x14ac:dyDescent="0.2">
      <c r="A315" s="512">
        <v>2</v>
      </c>
      <c r="B315" s="583" t="s">
        <v>830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831</v>
      </c>
      <c r="C316" s="581">
        <f>C314+C315</f>
        <v>1002343396</v>
      </c>
      <c r="D316" s="581">
        <f>D314+D315</f>
        <v>1042814916</v>
      </c>
      <c r="E316" s="517">
        <f>D316-C316</f>
        <v>40471520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1002343396</v>
      </c>
      <c r="D318" s="513">
        <v>1042814916</v>
      </c>
      <c r="E318" s="514">
        <f>D318-C318</f>
        <v>40471520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28962186</v>
      </c>
      <c r="D324" s="513">
        <f>+D193+D194</f>
        <v>23454941</v>
      </c>
      <c r="E324" s="514">
        <f>D324-C324</f>
        <v>-5507245</v>
      </c>
    </row>
    <row r="325" spans="1:5" x14ac:dyDescent="0.2">
      <c r="A325" s="512">
        <v>2</v>
      </c>
      <c r="B325" s="511" t="s">
        <v>835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836</v>
      </c>
      <c r="C326" s="581">
        <f>C324+C325</f>
        <v>28962186</v>
      </c>
      <c r="D326" s="581">
        <f>D324+D325</f>
        <v>23454941</v>
      </c>
      <c r="E326" s="517">
        <f>D326-C326</f>
        <v>-5507245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28962186</v>
      </c>
      <c r="D328" s="513">
        <v>23454941</v>
      </c>
      <c r="E328" s="514">
        <f>D328-C328</f>
        <v>-5507245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7" fitToHeight="0" orientation="portrait" r:id="rId1"/>
  <headerFooter>
    <oddHeader>&amp;LOFFICE OF HEALTH CARE ACCESS&amp;CTWELVE MONTHS ACTUAL FILING&amp;RDANBURY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197098422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600</v>
      </c>
      <c r="C15" s="515">
        <v>262457541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52117336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46325316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5792020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1250805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6593905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315825682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512924104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279872948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189128726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60083516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52199740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7883776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805622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20616388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250017864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529890812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476971370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565843546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1042814916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116901612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90713748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14715177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14179472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535705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436158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1946025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105865083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222766695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161524726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65361297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14403361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13407997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995364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170926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6084409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79935584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241460310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278426338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185800667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464227005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8752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8917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3017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2727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290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29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298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11963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20715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1.1614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1.3485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0.88328458733841564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0.86580000000000001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1.0477000000000001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0.90859999999999996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1.2416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1.2301089609629692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1.201079715182235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427508232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264490798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163017434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0.38131998824293983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23462733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13522001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2277658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12767832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10687109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23454941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7515933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460314702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464227005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2277658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466504663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6793719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473298382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473298383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1042814916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1042814916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1042814916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23454941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23454941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23454941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FILING&amp;RDANBURY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2630</v>
      </c>
      <c r="D12" s="49">
        <v>2794</v>
      </c>
      <c r="E12" s="49">
        <f>+D12-C12</f>
        <v>164</v>
      </c>
      <c r="F12" s="70">
        <f>IF(C12=0,0,+E12/C12)</f>
        <v>6.2357414448669199E-2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2555</v>
      </c>
      <c r="D13" s="49">
        <v>2692</v>
      </c>
      <c r="E13" s="49">
        <f>+D13-C13</f>
        <v>137</v>
      </c>
      <c r="F13" s="70">
        <f>IF(C13=0,0,+E13/C13)</f>
        <v>5.3620352250489237E-2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856</v>
      </c>
      <c r="C15" s="51">
        <v>12266705</v>
      </c>
      <c r="D15" s="51">
        <v>12767832</v>
      </c>
      <c r="E15" s="51">
        <f>+D15-C15</f>
        <v>501127</v>
      </c>
      <c r="F15" s="70">
        <f>IF(C15=0,0,+E15/C15)</f>
        <v>4.0852616900789576E-2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4801.0587084148729</v>
      </c>
      <c r="D16" s="27">
        <f>IF(D13=0,0,+D15/+D13)</f>
        <v>4742.879643387816</v>
      </c>
      <c r="E16" s="27">
        <f>+D16-C16</f>
        <v>-58.179065027056822</v>
      </c>
      <c r="F16" s="28">
        <f>IF(C16=0,0,+E16/C16)</f>
        <v>-1.2117965757237186E-2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0.42269200000000001</v>
      </c>
      <c r="D18" s="210">
        <v>0.43834200000000001</v>
      </c>
      <c r="E18" s="210">
        <f>+D18-C18</f>
        <v>1.5649999999999997E-2</v>
      </c>
      <c r="F18" s="70">
        <f>IF(C18=0,0,+E18/C18)</f>
        <v>3.7024594740378329E-2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5185038.0698600002</v>
      </c>
      <c r="D19" s="27">
        <f>+D15*D18</f>
        <v>5596677.0145439999</v>
      </c>
      <c r="E19" s="27">
        <f>+D19-C19</f>
        <v>411638.94468399975</v>
      </c>
      <c r="F19" s="28">
        <f>IF(C19=0,0,+E19/C19)</f>
        <v>7.9389763226003524E-2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2029.3691075772995</v>
      </c>
      <c r="D20" s="27">
        <f>IF(D13=0,0,+D19/D13)</f>
        <v>2079.003348641902</v>
      </c>
      <c r="E20" s="27">
        <f>+D20-C20</f>
        <v>49.63424106460252</v>
      </c>
      <c r="F20" s="28">
        <f>IF(C20=0,0,+E20/C20)</f>
        <v>2.4457966211901612E-2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4283588</v>
      </c>
      <c r="D22" s="51">
        <v>4155473</v>
      </c>
      <c r="E22" s="51">
        <f>+D22-C22</f>
        <v>-128115</v>
      </c>
      <c r="F22" s="70">
        <f>IF(C22=0,0,+E22/C22)</f>
        <v>-2.9908338523686219E-2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1940289</v>
      </c>
      <c r="D23" s="49">
        <v>2431257</v>
      </c>
      <c r="E23" s="49">
        <f>+D23-C23</f>
        <v>490968</v>
      </c>
      <c r="F23" s="70">
        <f>IF(C23=0,0,+E23/C23)</f>
        <v>0.25303859373526316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6042828</v>
      </c>
      <c r="D24" s="49">
        <v>6181102</v>
      </c>
      <c r="E24" s="49">
        <f>+D24-C24</f>
        <v>138274</v>
      </c>
      <c r="F24" s="70">
        <f>IF(C24=0,0,+E24/C24)</f>
        <v>2.288233257673394E-2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12266705</v>
      </c>
      <c r="D25" s="27">
        <f>+D22+D23+D24</f>
        <v>12767832</v>
      </c>
      <c r="E25" s="27">
        <f>+E22+E23+E24</f>
        <v>501127</v>
      </c>
      <c r="F25" s="28">
        <f>IF(C25=0,0,+E25/C25)</f>
        <v>4.0852616900789576E-2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1257</v>
      </c>
      <c r="D27" s="49">
        <v>1215</v>
      </c>
      <c r="E27" s="49">
        <f>+D27-C27</f>
        <v>-42</v>
      </c>
      <c r="F27" s="70">
        <f>IF(C27=0,0,+E27/C27)</f>
        <v>-3.3412887828162291E-2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281</v>
      </c>
      <c r="D28" s="49">
        <v>244</v>
      </c>
      <c r="E28" s="49">
        <f>+D28-C28</f>
        <v>-37</v>
      </c>
      <c r="F28" s="70">
        <f>IF(C28=0,0,+E28/C28)</f>
        <v>-0.13167259786476868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1374</v>
      </c>
      <c r="D29" s="49">
        <v>1597</v>
      </c>
      <c r="E29" s="49">
        <f>+D29-C29</f>
        <v>223</v>
      </c>
      <c r="F29" s="70">
        <f>IF(C29=0,0,+E29/C29)</f>
        <v>0.16229985443959244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7933</v>
      </c>
      <c r="D30" s="49">
        <v>9250</v>
      </c>
      <c r="E30" s="49">
        <f>+D30-C30</f>
        <v>1317</v>
      </c>
      <c r="F30" s="70">
        <f>IF(C30=0,0,+E30/C30)</f>
        <v>0.16601537879742848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4834323</v>
      </c>
      <c r="D33" s="51">
        <v>3390996</v>
      </c>
      <c r="E33" s="51">
        <f>+D33-C33</f>
        <v>-1443327</v>
      </c>
      <c r="F33" s="70">
        <f>IF(C33=0,0,+E33/C33)</f>
        <v>-0.29855824693550681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9732723</v>
      </c>
      <c r="D34" s="49">
        <v>6108716</v>
      </c>
      <c r="E34" s="49">
        <f>+D34-C34</f>
        <v>-3624007</v>
      </c>
      <c r="F34" s="70">
        <f>IF(C34=0,0,+E34/C34)</f>
        <v>-0.37235283486440535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2128435</v>
      </c>
      <c r="D35" s="49">
        <v>1187397</v>
      </c>
      <c r="E35" s="49">
        <f>+D35-C35</f>
        <v>-941038</v>
      </c>
      <c r="F35" s="70">
        <f>IF(C35=0,0,+E35/C35)</f>
        <v>-0.44212672691437604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16695481</v>
      </c>
      <c r="D36" s="27">
        <f>+D33+D34+D35</f>
        <v>10687109</v>
      </c>
      <c r="E36" s="27">
        <f>+E33+E34+E35</f>
        <v>-6008372</v>
      </c>
      <c r="F36" s="28">
        <f>IF(C36=0,0,+E36/C36)</f>
        <v>-0.35988013762526516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12266705</v>
      </c>
      <c r="D39" s="51">
        <f>+D25</f>
        <v>12767832</v>
      </c>
      <c r="E39" s="51">
        <f>+D39-C39</f>
        <v>501127</v>
      </c>
      <c r="F39" s="70">
        <f>IF(C39=0,0,+E39/C39)</f>
        <v>4.0852616900789576E-2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16695481</v>
      </c>
      <c r="D40" s="49">
        <f>+D36</f>
        <v>10687109</v>
      </c>
      <c r="E40" s="49">
        <f>+D40-C40</f>
        <v>-6008372</v>
      </c>
      <c r="F40" s="70">
        <f>IF(C40=0,0,+E40/C40)</f>
        <v>-0.35988013762526516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28962186</v>
      </c>
      <c r="D41" s="27">
        <f>+D39+D40</f>
        <v>23454941</v>
      </c>
      <c r="E41" s="27">
        <f>+E39+E40</f>
        <v>-5507245</v>
      </c>
      <c r="F41" s="28">
        <f>IF(C41=0,0,+E41/C41)</f>
        <v>-0.19015294632801544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9117911</v>
      </c>
      <c r="D43" s="51">
        <f t="shared" si="0"/>
        <v>7546469</v>
      </c>
      <c r="E43" s="51">
        <f>+D43-C43</f>
        <v>-1571442</v>
      </c>
      <c r="F43" s="70">
        <f>IF(C43=0,0,+E43/C43)</f>
        <v>-0.1723467140664128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11673012</v>
      </c>
      <c r="D44" s="49">
        <f t="shared" si="0"/>
        <v>8539973</v>
      </c>
      <c r="E44" s="49">
        <f>+D44-C44</f>
        <v>-3133039</v>
      </c>
      <c r="F44" s="70">
        <f>IF(C44=0,0,+E44/C44)</f>
        <v>-0.26840022095411192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8171263</v>
      </c>
      <c r="D45" s="49">
        <f t="shared" si="0"/>
        <v>7368499</v>
      </c>
      <c r="E45" s="49">
        <f>+D45-C45</f>
        <v>-802764</v>
      </c>
      <c r="F45" s="70">
        <f>IF(C45=0,0,+E45/C45)</f>
        <v>-9.8242340260006319E-2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28962186</v>
      </c>
      <c r="D46" s="27">
        <f>+D43+D44+D45</f>
        <v>23454941</v>
      </c>
      <c r="E46" s="27">
        <f>+E43+E44+E45</f>
        <v>-5507245</v>
      </c>
      <c r="F46" s="28">
        <f>IF(C46=0,0,+E46/C46)</f>
        <v>-0.19015294632801544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FILING&amp;RDANBURY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419231815</v>
      </c>
      <c r="D15" s="51">
        <v>427508232</v>
      </c>
      <c r="E15" s="51">
        <f>+D15-C15</f>
        <v>8276417</v>
      </c>
      <c r="F15" s="70">
        <f>+E15/C15</f>
        <v>1.9741862864105387E-2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160366629</v>
      </c>
      <c r="D17" s="51">
        <v>163017434</v>
      </c>
      <c r="E17" s="51">
        <f>+D17-C17</f>
        <v>2650805</v>
      </c>
      <c r="F17" s="70">
        <f>+E17/C17</f>
        <v>1.6529654682708332E-2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258865186</v>
      </c>
      <c r="D19" s="27">
        <f>+D15-D17</f>
        <v>264490798</v>
      </c>
      <c r="E19" s="27">
        <f>+D19-C19</f>
        <v>5625612</v>
      </c>
      <c r="F19" s="28">
        <f>+E19/C19</f>
        <v>2.1731821443150723E-2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0.3825249498299646</v>
      </c>
      <c r="D21" s="628">
        <f>+D17/D15</f>
        <v>0.38131998824293983</v>
      </c>
      <c r="E21" s="628">
        <f>+D21-C21</f>
        <v>-1.2049615870247665E-3</v>
      </c>
      <c r="F21" s="28">
        <f>+E21/C21</f>
        <v>-3.1500209007553144E-3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FILING&amp;R&amp;12DANBURY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/>
  </sheetViews>
  <sheetFormatPr defaultRowHeight="12.75" x14ac:dyDescent="0.2"/>
  <cols>
    <col min="1" max="1" width="9.42578125" customWidth="1"/>
    <col min="2" max="2" width="83.5703125" customWidth="1"/>
    <col min="3" max="3" width="18.28515625" customWidth="1"/>
    <col min="4" max="4" width="21.7109375" customWidth="1"/>
    <col min="5" max="5" width="22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454308285</v>
      </c>
      <c r="D10" s="641">
        <v>498743209</v>
      </c>
      <c r="E10" s="641">
        <v>512924104</v>
      </c>
    </row>
    <row r="11" spans="1:6" ht="26.1" customHeight="1" x14ac:dyDescent="0.25">
      <c r="A11" s="639">
        <v>2</v>
      </c>
      <c r="B11" s="640" t="s">
        <v>902</v>
      </c>
      <c r="C11" s="641">
        <v>441046188</v>
      </c>
      <c r="D11" s="641">
        <v>503600187</v>
      </c>
      <c r="E11" s="641">
        <v>529890812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895354473</v>
      </c>
      <c r="D12" s="641">
        <f>+D11+D10</f>
        <v>1002343396</v>
      </c>
      <c r="E12" s="641">
        <f>+E11+E10</f>
        <v>1042814916</v>
      </c>
    </row>
    <row r="13" spans="1:6" ht="26.1" customHeight="1" x14ac:dyDescent="0.25">
      <c r="A13" s="639">
        <v>4</v>
      </c>
      <c r="B13" s="640" t="s">
        <v>484</v>
      </c>
      <c r="C13" s="641">
        <v>427936480</v>
      </c>
      <c r="D13" s="641">
        <v>457712742</v>
      </c>
      <c r="E13" s="641">
        <v>471020724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415921169</v>
      </c>
      <c r="D16" s="641">
        <v>442588744</v>
      </c>
      <c r="E16" s="641">
        <v>460314702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87644</v>
      </c>
      <c r="D19" s="644">
        <v>91794</v>
      </c>
      <c r="E19" s="644">
        <v>95884</v>
      </c>
    </row>
    <row r="20" spans="1:5" ht="26.1" customHeight="1" x14ac:dyDescent="0.25">
      <c r="A20" s="639">
        <v>2</v>
      </c>
      <c r="B20" s="640" t="s">
        <v>373</v>
      </c>
      <c r="C20" s="645">
        <v>20459</v>
      </c>
      <c r="D20" s="645">
        <v>20497</v>
      </c>
      <c r="E20" s="645">
        <v>20715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4.2838848428564447</v>
      </c>
      <c r="D21" s="646">
        <f>IF(D20=0,0,+D19/D20)</f>
        <v>4.4784114748499784</v>
      </c>
      <c r="E21" s="646">
        <f>IF(E20=0,0,+E19/E20)</f>
        <v>4.6287231474776735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172729.5099441385</v>
      </c>
      <c r="D22" s="645">
        <f>IF(D10=0,0,D19*(D12/D10))</f>
        <v>184481.92984302671</v>
      </c>
      <c r="E22" s="645">
        <f>IF(E10=0,0,E19*(E12/E10))</f>
        <v>194939.68917815568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40320.764044853378</v>
      </c>
      <c r="D23" s="645">
        <f>IF(D10=0,0,D20*(D12/D10))</f>
        <v>41193.608688939566</v>
      </c>
      <c r="E23" s="645">
        <f>IF(E10=0,0,E20*(E12/E10))</f>
        <v>42115.219028466636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1.2112842856444597</v>
      </c>
      <c r="D26" s="647">
        <v>1.1988642142752599</v>
      </c>
      <c r="E26" s="647">
        <v>1.2010797151822352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106161.79993102302</v>
      </c>
      <c r="D27" s="645">
        <f>D19*D26</f>
        <v>110048.54168518321</v>
      </c>
      <c r="E27" s="645">
        <f>E19*E26</f>
        <v>115164.32741053344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24781.665199999999</v>
      </c>
      <c r="D28" s="645">
        <f>D20*D26</f>
        <v>24573.119800000004</v>
      </c>
      <c r="E28" s="645">
        <f>E20*E26</f>
        <v>24880.366300000002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209224.54106240338</v>
      </c>
      <c r="D29" s="645">
        <f>D22*D26</f>
        <v>221168.78386924384</v>
      </c>
      <c r="E29" s="645">
        <f>E22*E26</f>
        <v>234138.10635581269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48839.907872709038</v>
      </c>
      <c r="D30" s="645">
        <f>D23*D26</f>
        <v>49385.543314028051</v>
      </c>
      <c r="E30" s="645">
        <f>E23*E26</f>
        <v>50583.735275548162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10215.810243713204</v>
      </c>
      <c r="D33" s="641">
        <f>IF(D19=0,0,D12/D19)</f>
        <v>10919.487068871604</v>
      </c>
      <c r="E33" s="641">
        <f>IF(E19=0,0,E12/E19)</f>
        <v>10875.796962996954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43763.354660540594</v>
      </c>
      <c r="D34" s="641">
        <f>IF(D20=0,0,D12/D20)</f>
        <v>48901.956188710545</v>
      </c>
      <c r="E34" s="641">
        <f>IF(E20=0,0,E12/E20)</f>
        <v>50341.053149891384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5183.564020355072</v>
      </c>
      <c r="D35" s="641">
        <f>IF(D22=0,0,D12/D22)</f>
        <v>5433.2876767544712</v>
      </c>
      <c r="E35" s="641">
        <f>IF(E22=0,0,E12/E22)</f>
        <v>5349.4233031579824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22205.79133877511</v>
      </c>
      <c r="D36" s="641">
        <f>IF(D23=0,0,D12/D23)</f>
        <v>24332.497877738202</v>
      </c>
      <c r="E36" s="641">
        <f>IF(E23=0,0,E12/E23)</f>
        <v>24760.999468983828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4279.3950865111528</v>
      </c>
      <c r="D37" s="641">
        <f>IF(D29=0,0,D12/D29)</f>
        <v>4532.0292423934052</v>
      </c>
      <c r="E37" s="641">
        <f>IF(E29=0,0,E12/E29)</f>
        <v>4453.8453489295134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18332.43574769947</v>
      </c>
      <c r="D38" s="641">
        <f>IF(D30=0,0,D12/D30)</f>
        <v>20296.291763490281</v>
      </c>
      <c r="E38" s="641">
        <f>IF(E30=0,0,E12/E30)</f>
        <v>20615.617061875811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2630.1717937307026</v>
      </c>
      <c r="D39" s="641">
        <f>IF(D22=0,0,D10/D22)</f>
        <v>2703.4800070899851</v>
      </c>
      <c r="E39" s="641">
        <f>IF(E22=0,0,E10/E22)</f>
        <v>2631.193812621902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11267.353081271505</v>
      </c>
      <c r="D40" s="641">
        <f>IF(D23=0,0,D10/D23)</f>
        <v>12107.295885779289</v>
      </c>
      <c r="E40" s="641">
        <f>IF(E23=0,0,E10/E23)</f>
        <v>12179.06770598303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4882.6671534845509</v>
      </c>
      <c r="D43" s="641">
        <f>IF(D19=0,0,D13/D19)</f>
        <v>4986.3034838878357</v>
      </c>
      <c r="E43" s="641">
        <f>IF(E19=0,0,E13/E19)</f>
        <v>4912.4016937132365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20916.783811525489</v>
      </c>
      <c r="D44" s="641">
        <f>IF(D20=0,0,D13/D20)</f>
        <v>22330.718739327705</v>
      </c>
      <c r="E44" s="641">
        <f>IF(E20=0,0,E13/E20)</f>
        <v>22738.147429398985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2477.4949001962468</v>
      </c>
      <c r="D45" s="641">
        <f>IF(D22=0,0,D13/D22)</f>
        <v>2481.0708690518463</v>
      </c>
      <c r="E45" s="641">
        <f>IF(E22=0,0,E13/E22)</f>
        <v>2416.2382015985131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10613.30285120484</v>
      </c>
      <c r="D46" s="641">
        <f>IF(D23=0,0,D13/D23)</f>
        <v>11111.256249877795</v>
      </c>
      <c r="E46" s="641">
        <f>IF(E23=0,0,E13/E23)</f>
        <v>11184.097693558862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2045.3455308207058</v>
      </c>
      <c r="D47" s="641">
        <f>IF(D29=0,0,D13/D29)</f>
        <v>2069.5178315516814</v>
      </c>
      <c r="E47" s="641">
        <f>IF(E29=0,0,E13/E29)</f>
        <v>2011.7217625575388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8762.0247178869904</v>
      </c>
      <c r="D48" s="641">
        <f>IF(D30=0,0,D13/D30)</f>
        <v>9268.1524042276942</v>
      </c>
      <c r="E48" s="641">
        <f>IF(E30=0,0,E13/E30)</f>
        <v>9311.7030886346638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4745.5749281182971</v>
      </c>
      <c r="D51" s="641">
        <f>IF(D19=0,0,D16/D19)</f>
        <v>4821.543281695971</v>
      </c>
      <c r="E51" s="641">
        <f>IF(E19=0,0,E16/E19)</f>
        <v>4800.7457135705645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20329.496505205534</v>
      </c>
      <c r="D52" s="641">
        <f>IF(D20=0,0,D16/D20)</f>
        <v>21592.854759233058</v>
      </c>
      <c r="E52" s="641">
        <f>IF(E20=0,0,E16/E20)</f>
        <v>22221.322809558293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2407.933474335166</v>
      </c>
      <c r="D53" s="641">
        <f>IF(D22=0,0,D16/D22)</f>
        <v>2399.0899508509751</v>
      </c>
      <c r="E53" s="641">
        <f>IF(E22=0,0,E16/E22)</f>
        <v>2361.3185387779995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10315.309713311075</v>
      </c>
      <c r="D54" s="641">
        <f>IF(D23=0,0,D16/D23)</f>
        <v>10744.111965088277</v>
      </c>
      <c r="E54" s="641">
        <f>IF(E23=0,0,E16/E23)</f>
        <v>10929.889779009882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1987.9177026176255</v>
      </c>
      <c r="D55" s="641">
        <f>IF(D29=0,0,D16/D29)</f>
        <v>2001.1356768216478</v>
      </c>
      <c r="E55" s="641">
        <f>IF(E29=0,0,E16/E29)</f>
        <v>1965.9965187404116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8516.0105150896507</v>
      </c>
      <c r="D56" s="641">
        <f>IF(D30=0,0,D16/D30)</f>
        <v>8961.9089778097441</v>
      </c>
      <c r="E56" s="641">
        <f>IF(E30=0,0,E16/E30)</f>
        <v>9100.0535941542657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47873276</v>
      </c>
      <c r="D59" s="649">
        <v>52331167</v>
      </c>
      <c r="E59" s="649">
        <v>54797841</v>
      </c>
    </row>
    <row r="60" spans="1:6" ht="26.1" customHeight="1" x14ac:dyDescent="0.25">
      <c r="A60" s="639">
        <v>2</v>
      </c>
      <c r="B60" s="640" t="s">
        <v>938</v>
      </c>
      <c r="C60" s="649">
        <v>12534452</v>
      </c>
      <c r="D60" s="649">
        <v>14967226</v>
      </c>
      <c r="E60" s="649">
        <v>18746472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60407728</v>
      </c>
      <c r="D61" s="652">
        <f>D59+D60</f>
        <v>67298393</v>
      </c>
      <c r="E61" s="652">
        <f>E59+E60</f>
        <v>73544313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5838996</v>
      </c>
      <c r="D64" s="641">
        <v>5994805</v>
      </c>
      <c r="E64" s="649">
        <v>6365059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1528799</v>
      </c>
      <c r="D65" s="649">
        <v>1714573</v>
      </c>
      <c r="E65" s="649">
        <v>2177502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7367795</v>
      </c>
      <c r="D66" s="654">
        <f>D64+D65</f>
        <v>7709378</v>
      </c>
      <c r="E66" s="654">
        <f>E64+E65</f>
        <v>8542561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117695891</v>
      </c>
      <c r="D69" s="649">
        <v>123640954</v>
      </c>
      <c r="E69" s="649">
        <v>125010388</v>
      </c>
    </row>
    <row r="70" spans="1:6" ht="26.1" customHeight="1" x14ac:dyDescent="0.25">
      <c r="A70" s="639">
        <v>2</v>
      </c>
      <c r="B70" s="640" t="s">
        <v>946</v>
      </c>
      <c r="C70" s="649">
        <v>30815804</v>
      </c>
      <c r="D70" s="649">
        <v>35362523</v>
      </c>
      <c r="E70" s="649">
        <v>42766350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148511695</v>
      </c>
      <c r="D71" s="652">
        <f>D69+D70</f>
        <v>159003477</v>
      </c>
      <c r="E71" s="652">
        <f>E69+E70</f>
        <v>167776738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171408163</v>
      </c>
      <c r="D75" s="641">
        <f t="shared" si="0"/>
        <v>181966926</v>
      </c>
      <c r="E75" s="641">
        <f t="shared" si="0"/>
        <v>186173288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44879055</v>
      </c>
      <c r="D76" s="641">
        <f t="shared" si="0"/>
        <v>52044322</v>
      </c>
      <c r="E76" s="641">
        <f t="shared" si="0"/>
        <v>63690324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216287218</v>
      </c>
      <c r="D77" s="654">
        <f>D75+D76</f>
        <v>234011248</v>
      </c>
      <c r="E77" s="654">
        <f>E75+E76</f>
        <v>249863612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518.4</v>
      </c>
      <c r="D80" s="646">
        <v>551.4</v>
      </c>
      <c r="E80" s="646">
        <v>564.29999999999995</v>
      </c>
    </row>
    <row r="81" spans="1:5" ht="26.1" customHeight="1" x14ac:dyDescent="0.25">
      <c r="A81" s="639">
        <v>2</v>
      </c>
      <c r="B81" s="640" t="s">
        <v>579</v>
      </c>
      <c r="C81" s="646">
        <v>81.7</v>
      </c>
      <c r="D81" s="646">
        <v>79.599999999999994</v>
      </c>
      <c r="E81" s="646">
        <v>87.4</v>
      </c>
    </row>
    <row r="82" spans="1:5" ht="26.1" customHeight="1" x14ac:dyDescent="0.25">
      <c r="A82" s="639">
        <v>3</v>
      </c>
      <c r="B82" s="640" t="s">
        <v>952</v>
      </c>
      <c r="C82" s="646">
        <v>1848</v>
      </c>
      <c r="D82" s="646">
        <v>1817</v>
      </c>
      <c r="E82" s="646">
        <v>1841.1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2448.1</v>
      </c>
      <c r="D83" s="656">
        <f>D80+D81+D82</f>
        <v>2448</v>
      </c>
      <c r="E83" s="656">
        <f>E80+E81+E82</f>
        <v>2492.7999999999997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92348.140432098764</v>
      </c>
      <c r="D86" s="649">
        <f>IF(D80=0,0,D59/D80)</f>
        <v>94905.997461008345</v>
      </c>
      <c r="E86" s="649">
        <f>IF(E80=0,0,E59/E80)</f>
        <v>97107.639553429035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24179.11265432099</v>
      </c>
      <c r="D87" s="649">
        <f>IF(D80=0,0,D60/D80)</f>
        <v>27144.044250997464</v>
      </c>
      <c r="E87" s="649">
        <f>IF(E80=0,0,E60/E80)</f>
        <v>33220.754917597027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116527.25308641975</v>
      </c>
      <c r="D88" s="652">
        <f>+D86+D87</f>
        <v>122050.04171200581</v>
      </c>
      <c r="E88" s="652">
        <f>+E86+E87</f>
        <v>130328.39447102605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71468.739290085679</v>
      </c>
      <c r="D91" s="641">
        <f>IF(D81=0,0,D64/D81)</f>
        <v>75311.620603015079</v>
      </c>
      <c r="E91" s="641">
        <f>IF(E81=0,0,E64/E81)</f>
        <v>72826.762013729967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18712.350061199511</v>
      </c>
      <c r="D92" s="641">
        <f>IF(D81=0,0,D65/D81)</f>
        <v>21539.861809045229</v>
      </c>
      <c r="E92" s="641">
        <f>IF(E81=0,0,E65/E81)</f>
        <v>24914.210526315786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90181.089351285191</v>
      </c>
      <c r="D93" s="654">
        <f>+D91+D92</f>
        <v>96851.482412060315</v>
      </c>
      <c r="E93" s="654">
        <f>+E91+E92</f>
        <v>97740.972540045754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63688.252705627703</v>
      </c>
      <c r="D96" s="649">
        <f>IF(D82=0,0,D69/D82)</f>
        <v>68046.75509080902</v>
      </c>
      <c r="E96" s="649">
        <f>IF(E82=0,0,E69/E82)</f>
        <v>67899.835967628052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16675.218614718615</v>
      </c>
      <c r="D97" s="649">
        <f>IF(D82=0,0,D70/D82)</f>
        <v>19462.037974683546</v>
      </c>
      <c r="E97" s="649">
        <f>IF(E82=0,0,E70/E82)</f>
        <v>23228.694802020531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80363.471320346318</v>
      </c>
      <c r="D98" s="654">
        <f>+D96+D97</f>
        <v>87508.793065492559</v>
      </c>
      <c r="E98" s="654">
        <f>+E96+E97</f>
        <v>91128.530769648583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70016.814264123197</v>
      </c>
      <c r="D101" s="641">
        <f>IF(D83=0,0,D75/D83)</f>
        <v>74332.894607843133</v>
      </c>
      <c r="E101" s="641">
        <f>IF(E83=0,0,E75/E83)</f>
        <v>74684.406290115541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18332.198439606225</v>
      </c>
      <c r="D102" s="658">
        <f>IF(D83=0,0,D76/D83)</f>
        <v>21259.935457516342</v>
      </c>
      <c r="E102" s="658">
        <f>IF(E83=0,0,E76/E83)</f>
        <v>25549.712772785624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88349.012703729415</v>
      </c>
      <c r="D103" s="654">
        <f>+D101+D102</f>
        <v>95592.830065359478</v>
      </c>
      <c r="E103" s="654">
        <f>+E101+E102</f>
        <v>100234.11906290117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2467.7926384008033</v>
      </c>
      <c r="D108" s="641">
        <f>IF(D19=0,0,D77/D19)</f>
        <v>2549.3087565636097</v>
      </c>
      <c r="E108" s="641">
        <f>IF(E19=0,0,E77/E19)</f>
        <v>2605.8947478202826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10571.739478957916</v>
      </c>
      <c r="D109" s="641">
        <f>IF(D20=0,0,D77/D20)</f>
        <v>11416.853588329999</v>
      </c>
      <c r="E109" s="641">
        <f>IF(E20=0,0,E77/E20)</f>
        <v>12061.965339126236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1252.1729383123259</v>
      </c>
      <c r="D110" s="641">
        <f>IF(D22=0,0,D77/D22)</f>
        <v>1268.4778839809251</v>
      </c>
      <c r="E110" s="641">
        <f>IF(E22=0,0,E77/E22)</f>
        <v>1281.7482835506589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5364.1646710711902</v>
      </c>
      <c r="D111" s="641">
        <f>IF(D23=0,0,D77/D23)</f>
        <v>5680.7659112135943</v>
      </c>
      <c r="E111" s="641">
        <f>IF(E23=0,0,E77/E23)</f>
        <v>5932.8579493107109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1033.7564460733604</v>
      </c>
      <c r="D112" s="641">
        <f>IF(D29=0,0,D77/D29)</f>
        <v>1058.0663505314055</v>
      </c>
      <c r="E112" s="641">
        <f>IF(E29=0,0,E77/E29)</f>
        <v>1067.1633758764997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4428.4935705388143</v>
      </c>
      <c r="D113" s="641">
        <f>IF(D30=0,0,D77/D30)</f>
        <v>4738.4564853724851</v>
      </c>
      <c r="E113" s="641">
        <f>IF(E30=0,0,E77/E30)</f>
        <v>4939.6038200599705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FILING&amp;R&amp;12DANBURY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1002343396</v>
      </c>
      <c r="D12" s="51">
        <v>1042814916</v>
      </c>
      <c r="E12" s="51">
        <f t="shared" ref="E12:E19" si="0">D12-C12</f>
        <v>40471520</v>
      </c>
      <c r="F12" s="70">
        <f t="shared" ref="F12:F19" si="1">IF(C12=0,0,E12/C12)</f>
        <v>4.0376900931863871E-2</v>
      </c>
    </row>
    <row r="13" spans="1:8" ht="23.1" customHeight="1" x14ac:dyDescent="0.2">
      <c r="A13" s="25">
        <v>2</v>
      </c>
      <c r="B13" s="48" t="s">
        <v>72</v>
      </c>
      <c r="C13" s="51">
        <v>532363949</v>
      </c>
      <c r="D13" s="51">
        <v>559026360</v>
      </c>
      <c r="E13" s="51">
        <f t="shared" si="0"/>
        <v>26662411</v>
      </c>
      <c r="F13" s="70">
        <f t="shared" si="1"/>
        <v>5.0083051360038655E-2</v>
      </c>
    </row>
    <row r="14" spans="1:8" ht="23.1" customHeight="1" x14ac:dyDescent="0.2">
      <c r="A14" s="25">
        <v>3</v>
      </c>
      <c r="B14" s="48" t="s">
        <v>73</v>
      </c>
      <c r="C14" s="51">
        <v>12266705</v>
      </c>
      <c r="D14" s="51">
        <v>12767832</v>
      </c>
      <c r="E14" s="51">
        <f t="shared" si="0"/>
        <v>501127</v>
      </c>
      <c r="F14" s="70">
        <f t="shared" si="1"/>
        <v>4.0852616900789576E-2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457712742</v>
      </c>
      <c r="D16" s="27">
        <f>D12-D13-D14-D15</f>
        <v>471020724</v>
      </c>
      <c r="E16" s="27">
        <f t="shared" si="0"/>
        <v>13307982</v>
      </c>
      <c r="F16" s="28">
        <f t="shared" si="1"/>
        <v>2.9074965101146343E-2</v>
      </c>
    </row>
    <row r="17" spans="1:7" ht="23.1" customHeight="1" x14ac:dyDescent="0.2">
      <c r="A17" s="25">
        <v>5</v>
      </c>
      <c r="B17" s="48" t="s">
        <v>76</v>
      </c>
      <c r="C17" s="51">
        <v>9727398</v>
      </c>
      <c r="D17" s="51">
        <v>10083592</v>
      </c>
      <c r="E17" s="51">
        <f t="shared" si="0"/>
        <v>356194</v>
      </c>
      <c r="F17" s="70">
        <f t="shared" si="1"/>
        <v>3.6617603186381395E-2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467440140</v>
      </c>
      <c r="D19" s="27">
        <f>SUM(D16:D18)</f>
        <v>481104316</v>
      </c>
      <c r="E19" s="27">
        <f t="shared" si="0"/>
        <v>13664176</v>
      </c>
      <c r="F19" s="28">
        <f t="shared" si="1"/>
        <v>2.9231926894425456E-2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181966926</v>
      </c>
      <c r="D22" s="51">
        <v>186173288</v>
      </c>
      <c r="E22" s="51">
        <f t="shared" ref="E22:E31" si="2">D22-C22</f>
        <v>4206362</v>
      </c>
      <c r="F22" s="70">
        <f t="shared" ref="F22:F31" si="3">IF(C22=0,0,E22/C22)</f>
        <v>2.3116079896848947E-2</v>
      </c>
    </row>
    <row r="23" spans="1:7" ht="23.1" customHeight="1" x14ac:dyDescent="0.2">
      <c r="A23" s="25">
        <v>2</v>
      </c>
      <c r="B23" s="48" t="s">
        <v>81</v>
      </c>
      <c r="C23" s="51">
        <v>52044322</v>
      </c>
      <c r="D23" s="51">
        <v>63690324</v>
      </c>
      <c r="E23" s="51">
        <f t="shared" si="2"/>
        <v>11646002</v>
      </c>
      <c r="F23" s="70">
        <f t="shared" si="3"/>
        <v>0.2237708467025471</v>
      </c>
    </row>
    <row r="24" spans="1:7" ht="23.1" customHeight="1" x14ac:dyDescent="0.2">
      <c r="A24" s="25">
        <v>3</v>
      </c>
      <c r="B24" s="48" t="s">
        <v>82</v>
      </c>
      <c r="C24" s="51">
        <v>38638408</v>
      </c>
      <c r="D24" s="51">
        <v>41098443</v>
      </c>
      <c r="E24" s="51">
        <f t="shared" si="2"/>
        <v>2460035</v>
      </c>
      <c r="F24" s="70">
        <f t="shared" si="3"/>
        <v>6.36681252498809E-2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62523555</v>
      </c>
      <c r="D25" s="51">
        <v>66235697</v>
      </c>
      <c r="E25" s="51">
        <f t="shared" si="2"/>
        <v>3712142</v>
      </c>
      <c r="F25" s="70">
        <f t="shared" si="3"/>
        <v>5.9371895919865719E-2</v>
      </c>
    </row>
    <row r="26" spans="1:7" ht="23.1" customHeight="1" x14ac:dyDescent="0.2">
      <c r="A26" s="25">
        <v>5</v>
      </c>
      <c r="B26" s="48" t="s">
        <v>84</v>
      </c>
      <c r="C26" s="51">
        <v>23125624</v>
      </c>
      <c r="D26" s="51">
        <v>25703935</v>
      </c>
      <c r="E26" s="51">
        <f t="shared" si="2"/>
        <v>2578311</v>
      </c>
      <c r="F26" s="70">
        <f t="shared" si="3"/>
        <v>0.11149152126662615</v>
      </c>
    </row>
    <row r="27" spans="1:7" ht="23.1" customHeight="1" x14ac:dyDescent="0.2">
      <c r="A27" s="25">
        <v>6</v>
      </c>
      <c r="B27" s="48" t="s">
        <v>85</v>
      </c>
      <c r="C27" s="51">
        <v>16695481</v>
      </c>
      <c r="D27" s="51">
        <v>10687109</v>
      </c>
      <c r="E27" s="51">
        <f t="shared" si="2"/>
        <v>-6008372</v>
      </c>
      <c r="F27" s="70">
        <f t="shared" si="3"/>
        <v>-0.35988013762526516</v>
      </c>
    </row>
    <row r="28" spans="1:7" ht="23.1" customHeight="1" x14ac:dyDescent="0.2">
      <c r="A28" s="25">
        <v>7</v>
      </c>
      <c r="B28" s="48" t="s">
        <v>86</v>
      </c>
      <c r="C28" s="51">
        <v>4667920</v>
      </c>
      <c r="D28" s="51">
        <v>4557278</v>
      </c>
      <c r="E28" s="51">
        <f t="shared" si="2"/>
        <v>-110642</v>
      </c>
      <c r="F28" s="70">
        <f t="shared" si="3"/>
        <v>-2.3702634149685514E-2</v>
      </c>
    </row>
    <row r="29" spans="1:7" ht="23.1" customHeight="1" x14ac:dyDescent="0.2">
      <c r="A29" s="25">
        <v>8</v>
      </c>
      <c r="B29" s="48" t="s">
        <v>87</v>
      </c>
      <c r="C29" s="51">
        <v>5917298</v>
      </c>
      <c r="D29" s="51">
        <v>6692376</v>
      </c>
      <c r="E29" s="51">
        <f t="shared" si="2"/>
        <v>775078</v>
      </c>
      <c r="F29" s="70">
        <f t="shared" si="3"/>
        <v>0.13098512192558157</v>
      </c>
    </row>
    <row r="30" spans="1:7" ht="23.1" customHeight="1" x14ac:dyDescent="0.2">
      <c r="A30" s="25">
        <v>9</v>
      </c>
      <c r="B30" s="48" t="s">
        <v>88</v>
      </c>
      <c r="C30" s="51">
        <v>57009210</v>
      </c>
      <c r="D30" s="51">
        <v>55476252</v>
      </c>
      <c r="E30" s="51">
        <f t="shared" si="2"/>
        <v>-1532958</v>
      </c>
      <c r="F30" s="70">
        <f t="shared" si="3"/>
        <v>-2.6889655197818038E-2</v>
      </c>
    </row>
    <row r="31" spans="1:7" ht="23.1" customHeight="1" x14ac:dyDescent="0.25">
      <c r="A31" s="29"/>
      <c r="B31" s="71" t="s">
        <v>89</v>
      </c>
      <c r="C31" s="27">
        <f>SUM(C22:C30)</f>
        <v>442588744</v>
      </c>
      <c r="D31" s="27">
        <f>SUM(D22:D30)</f>
        <v>460314702</v>
      </c>
      <c r="E31" s="27">
        <f t="shared" si="2"/>
        <v>17725958</v>
      </c>
      <c r="F31" s="28">
        <f t="shared" si="3"/>
        <v>4.0050629936490209E-2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24851396</v>
      </c>
      <c r="D33" s="27">
        <f>+D19-D31</f>
        <v>20789614</v>
      </c>
      <c r="E33" s="27">
        <f>D33-C33</f>
        <v>-4061782</v>
      </c>
      <c r="F33" s="28">
        <f>IF(C33=0,0,E33/C33)</f>
        <v>-0.1634428102147662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13449795</v>
      </c>
      <c r="D36" s="51">
        <v>20550654</v>
      </c>
      <c r="E36" s="51">
        <f>D36-C36</f>
        <v>7100859</v>
      </c>
      <c r="F36" s="70">
        <f>IF(C36=0,0,E36/C36)</f>
        <v>0.52795295392978103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213448</v>
      </c>
      <c r="D38" s="51">
        <v>3239430</v>
      </c>
      <c r="E38" s="51">
        <f>D38-C38</f>
        <v>3025982</v>
      </c>
      <c r="F38" s="70">
        <f>IF(C38=0,0,E38/C38)</f>
        <v>14.176670664517822</v>
      </c>
    </row>
    <row r="39" spans="1:6" ht="23.1" customHeight="1" x14ac:dyDescent="0.25">
      <c r="A39" s="20"/>
      <c r="B39" s="71" t="s">
        <v>95</v>
      </c>
      <c r="C39" s="27">
        <f>SUM(C36:C38)</f>
        <v>13663243</v>
      </c>
      <c r="D39" s="27">
        <f>SUM(D36:D38)</f>
        <v>23790084</v>
      </c>
      <c r="E39" s="27">
        <f>D39-C39</f>
        <v>10126841</v>
      </c>
      <c r="F39" s="28">
        <f>IF(C39=0,0,E39/C39)</f>
        <v>0.74117403898913314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38514639</v>
      </c>
      <c r="D41" s="27">
        <f>D33+D39</f>
        <v>44579698</v>
      </c>
      <c r="E41" s="27">
        <f>D41-C41</f>
        <v>6065059</v>
      </c>
      <c r="F41" s="28">
        <f>IF(C41=0,0,E41/C41)</f>
        <v>0.15747412302111932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38514639</v>
      </c>
      <c r="D48" s="27">
        <f>D41+D46</f>
        <v>44579698</v>
      </c>
      <c r="E48" s="27">
        <f>D48-C48</f>
        <v>6065059</v>
      </c>
      <c r="F48" s="28">
        <f>IF(C48=0,0,E48/C48)</f>
        <v>0.15747412302111932</v>
      </c>
    </row>
    <row r="49" spans="1:6" ht="23.1" customHeight="1" x14ac:dyDescent="0.2">
      <c r="A49" s="44"/>
      <c r="B49" s="48" t="s">
        <v>102</v>
      </c>
      <c r="C49" s="51">
        <v>2425000</v>
      </c>
      <c r="D49" s="51">
        <v>2460000</v>
      </c>
      <c r="E49" s="51">
        <f>D49-C49</f>
        <v>35000</v>
      </c>
      <c r="F49" s="70">
        <f>IF(C49=0,0,E49/C49)</f>
        <v>1.443298969072165E-2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FILING&amp;RDANBURY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235751310</v>
      </c>
      <c r="D14" s="97">
        <v>244317017</v>
      </c>
      <c r="E14" s="97">
        <f t="shared" ref="E14:E25" si="0">D14-C14</f>
        <v>8565707</v>
      </c>
      <c r="F14" s="98">
        <f t="shared" ref="F14:F25" si="1">IF(C14=0,0,E14/C14)</f>
        <v>3.6333656003862715E-2</v>
      </c>
    </row>
    <row r="15" spans="1:6" ht="18" customHeight="1" x14ac:dyDescent="0.25">
      <c r="A15" s="99">
        <v>2</v>
      </c>
      <c r="B15" s="100" t="s">
        <v>113</v>
      </c>
      <c r="C15" s="97">
        <v>13851610</v>
      </c>
      <c r="D15" s="97">
        <v>18140524</v>
      </c>
      <c r="E15" s="97">
        <f t="shared" si="0"/>
        <v>4288914</v>
      </c>
      <c r="F15" s="98">
        <f t="shared" si="1"/>
        <v>0.30963288744052136</v>
      </c>
    </row>
    <row r="16" spans="1:6" ht="18" customHeight="1" x14ac:dyDescent="0.25">
      <c r="A16" s="99">
        <v>3</v>
      </c>
      <c r="B16" s="100" t="s">
        <v>114</v>
      </c>
      <c r="C16" s="97">
        <v>29093781</v>
      </c>
      <c r="D16" s="97">
        <v>29728277</v>
      </c>
      <c r="E16" s="97">
        <f t="shared" si="0"/>
        <v>634496</v>
      </c>
      <c r="F16" s="98">
        <f t="shared" si="1"/>
        <v>2.1808647009476011E-2</v>
      </c>
    </row>
    <row r="17" spans="1:6" ht="18" customHeight="1" x14ac:dyDescent="0.25">
      <c r="A17" s="99">
        <v>4</v>
      </c>
      <c r="B17" s="100" t="s">
        <v>115</v>
      </c>
      <c r="C17" s="97">
        <v>12785459</v>
      </c>
      <c r="D17" s="97">
        <v>16597039</v>
      </c>
      <c r="E17" s="97">
        <f t="shared" si="0"/>
        <v>3811580</v>
      </c>
      <c r="F17" s="98">
        <f t="shared" si="1"/>
        <v>0.29811835460893504</v>
      </c>
    </row>
    <row r="18" spans="1:6" ht="18" customHeight="1" x14ac:dyDescent="0.25">
      <c r="A18" s="99">
        <v>5</v>
      </c>
      <c r="B18" s="100" t="s">
        <v>116</v>
      </c>
      <c r="C18" s="97">
        <v>392783</v>
      </c>
      <c r="D18" s="97">
        <v>1250805</v>
      </c>
      <c r="E18" s="97">
        <f t="shared" si="0"/>
        <v>858022</v>
      </c>
      <c r="F18" s="98">
        <f t="shared" si="1"/>
        <v>2.1844682687387182</v>
      </c>
    </row>
    <row r="19" spans="1:6" ht="18" customHeight="1" x14ac:dyDescent="0.25">
      <c r="A19" s="99">
        <v>6</v>
      </c>
      <c r="B19" s="100" t="s">
        <v>117</v>
      </c>
      <c r="C19" s="97">
        <v>106864426</v>
      </c>
      <c r="D19" s="97">
        <v>98382451</v>
      </c>
      <c r="E19" s="97">
        <f t="shared" si="0"/>
        <v>-8481975</v>
      </c>
      <c r="F19" s="98">
        <f t="shared" si="1"/>
        <v>-7.9371361616633773E-2</v>
      </c>
    </row>
    <row r="20" spans="1:6" ht="18" customHeight="1" x14ac:dyDescent="0.25">
      <c r="A20" s="99">
        <v>7</v>
      </c>
      <c r="B20" s="100" t="s">
        <v>118</v>
      </c>
      <c r="C20" s="97">
        <v>80006057</v>
      </c>
      <c r="D20" s="97">
        <v>88090728</v>
      </c>
      <c r="E20" s="97">
        <f t="shared" si="0"/>
        <v>8084671</v>
      </c>
      <c r="F20" s="98">
        <f t="shared" si="1"/>
        <v>0.10105073669609789</v>
      </c>
    </row>
    <row r="21" spans="1:6" ht="18" customHeight="1" x14ac:dyDescent="0.25">
      <c r="A21" s="99">
        <v>8</v>
      </c>
      <c r="B21" s="100" t="s">
        <v>119</v>
      </c>
      <c r="C21" s="97">
        <v>3203393</v>
      </c>
      <c r="D21" s="97">
        <v>4031338</v>
      </c>
      <c r="E21" s="97">
        <f t="shared" si="0"/>
        <v>827945</v>
      </c>
      <c r="F21" s="98">
        <f t="shared" si="1"/>
        <v>0.25845876544026913</v>
      </c>
    </row>
    <row r="22" spans="1:6" ht="18" customHeight="1" x14ac:dyDescent="0.25">
      <c r="A22" s="99">
        <v>9</v>
      </c>
      <c r="B22" s="100" t="s">
        <v>120</v>
      </c>
      <c r="C22" s="97">
        <v>6683450</v>
      </c>
      <c r="D22" s="97">
        <v>6593905</v>
      </c>
      <c r="E22" s="97">
        <f t="shared" si="0"/>
        <v>-89545</v>
      </c>
      <c r="F22" s="98">
        <f t="shared" si="1"/>
        <v>-1.3398020483432957E-2</v>
      </c>
    </row>
    <row r="23" spans="1:6" ht="18" customHeight="1" x14ac:dyDescent="0.25">
      <c r="A23" s="99">
        <v>10</v>
      </c>
      <c r="B23" s="100" t="s">
        <v>121</v>
      </c>
      <c r="C23" s="97">
        <v>10110940</v>
      </c>
      <c r="D23" s="97">
        <v>4769955</v>
      </c>
      <c r="E23" s="97">
        <f t="shared" si="0"/>
        <v>-5340985</v>
      </c>
      <c r="F23" s="98">
        <f t="shared" si="1"/>
        <v>-0.5282382251304033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1022065</v>
      </c>
      <c r="E24" s="97">
        <f t="shared" si="0"/>
        <v>1022065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498743209</v>
      </c>
      <c r="D25" s="103">
        <f>SUM(D14:D24)</f>
        <v>512924104</v>
      </c>
      <c r="E25" s="103">
        <f t="shared" si="0"/>
        <v>14180895</v>
      </c>
      <c r="F25" s="104">
        <f t="shared" si="1"/>
        <v>2.8433259328850331E-2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168732326</v>
      </c>
      <c r="D27" s="97">
        <v>177258760</v>
      </c>
      <c r="E27" s="97">
        <f t="shared" ref="E27:E38" si="2">D27-C27</f>
        <v>8526434</v>
      </c>
      <c r="F27" s="98">
        <f t="shared" ref="F27:F38" si="3">IF(C27=0,0,E27/C27)</f>
        <v>5.0532308788299403E-2</v>
      </c>
    </row>
    <row r="28" spans="1:6" ht="18" customHeight="1" x14ac:dyDescent="0.25">
      <c r="A28" s="99">
        <v>2</v>
      </c>
      <c r="B28" s="100" t="s">
        <v>113</v>
      </c>
      <c r="C28" s="97">
        <v>9238802</v>
      </c>
      <c r="D28" s="97">
        <v>11869966</v>
      </c>
      <c r="E28" s="97">
        <f t="shared" si="2"/>
        <v>2631164</v>
      </c>
      <c r="F28" s="98">
        <f t="shared" si="3"/>
        <v>0.28479493336906669</v>
      </c>
    </row>
    <row r="29" spans="1:6" ht="18" customHeight="1" x14ac:dyDescent="0.25">
      <c r="A29" s="99">
        <v>3</v>
      </c>
      <c r="B29" s="100" t="s">
        <v>114</v>
      </c>
      <c r="C29" s="97">
        <v>15484988</v>
      </c>
      <c r="D29" s="97">
        <v>20275277</v>
      </c>
      <c r="E29" s="97">
        <f t="shared" si="2"/>
        <v>4790289</v>
      </c>
      <c r="F29" s="98">
        <f t="shared" si="3"/>
        <v>0.30935051418832227</v>
      </c>
    </row>
    <row r="30" spans="1:6" ht="18" customHeight="1" x14ac:dyDescent="0.25">
      <c r="A30" s="99">
        <v>4</v>
      </c>
      <c r="B30" s="100" t="s">
        <v>115</v>
      </c>
      <c r="C30" s="97">
        <v>24134850</v>
      </c>
      <c r="D30" s="97">
        <v>31924463</v>
      </c>
      <c r="E30" s="97">
        <f t="shared" si="2"/>
        <v>7789613</v>
      </c>
      <c r="F30" s="98">
        <f t="shared" si="3"/>
        <v>0.32275373578041711</v>
      </c>
    </row>
    <row r="31" spans="1:6" ht="18" customHeight="1" x14ac:dyDescent="0.25">
      <c r="A31" s="99">
        <v>5</v>
      </c>
      <c r="B31" s="100" t="s">
        <v>116</v>
      </c>
      <c r="C31" s="97">
        <v>617917</v>
      </c>
      <c r="D31" s="97">
        <v>805622</v>
      </c>
      <c r="E31" s="97">
        <f t="shared" si="2"/>
        <v>187705</v>
      </c>
      <c r="F31" s="98">
        <f t="shared" si="3"/>
        <v>0.30377057112848488</v>
      </c>
    </row>
    <row r="32" spans="1:6" ht="18" customHeight="1" x14ac:dyDescent="0.25">
      <c r="A32" s="99">
        <v>6</v>
      </c>
      <c r="B32" s="100" t="s">
        <v>117</v>
      </c>
      <c r="C32" s="97">
        <v>143184851</v>
      </c>
      <c r="D32" s="97">
        <v>142345734</v>
      </c>
      <c r="E32" s="97">
        <f t="shared" si="2"/>
        <v>-839117</v>
      </c>
      <c r="F32" s="98">
        <f t="shared" si="3"/>
        <v>-5.8603755504833396E-3</v>
      </c>
    </row>
    <row r="33" spans="1:6" ht="18" customHeight="1" x14ac:dyDescent="0.25">
      <c r="A33" s="99">
        <v>7</v>
      </c>
      <c r="B33" s="100" t="s">
        <v>118</v>
      </c>
      <c r="C33" s="97">
        <v>107016662</v>
      </c>
      <c r="D33" s="97">
        <v>113193542</v>
      </c>
      <c r="E33" s="97">
        <f t="shared" si="2"/>
        <v>6176880</v>
      </c>
      <c r="F33" s="98">
        <f t="shared" si="3"/>
        <v>5.7718862507597182E-2</v>
      </c>
    </row>
    <row r="34" spans="1:6" ht="18" customHeight="1" x14ac:dyDescent="0.25">
      <c r="A34" s="99">
        <v>8</v>
      </c>
      <c r="B34" s="100" t="s">
        <v>119</v>
      </c>
      <c r="C34" s="97">
        <v>4010454</v>
      </c>
      <c r="D34" s="97">
        <v>3717284</v>
      </c>
      <c r="E34" s="97">
        <f t="shared" si="2"/>
        <v>-293170</v>
      </c>
      <c r="F34" s="98">
        <f t="shared" si="3"/>
        <v>-7.3101449362092175E-2</v>
      </c>
    </row>
    <row r="35" spans="1:6" ht="18" customHeight="1" x14ac:dyDescent="0.25">
      <c r="A35" s="99">
        <v>9</v>
      </c>
      <c r="B35" s="100" t="s">
        <v>120</v>
      </c>
      <c r="C35" s="97">
        <v>20881628</v>
      </c>
      <c r="D35" s="97">
        <v>20616388</v>
      </c>
      <c r="E35" s="97">
        <f t="shared" si="2"/>
        <v>-265240</v>
      </c>
      <c r="F35" s="98">
        <f t="shared" si="3"/>
        <v>-1.2702074761603836E-2</v>
      </c>
    </row>
    <row r="36" spans="1:6" ht="18" customHeight="1" x14ac:dyDescent="0.25">
      <c r="A36" s="99">
        <v>10</v>
      </c>
      <c r="B36" s="100" t="s">
        <v>121</v>
      </c>
      <c r="C36" s="97">
        <v>10297709</v>
      </c>
      <c r="D36" s="97">
        <v>6133181</v>
      </c>
      <c r="E36" s="97">
        <f t="shared" si="2"/>
        <v>-4164528</v>
      </c>
      <c r="F36" s="98">
        <f t="shared" si="3"/>
        <v>-0.4044130592542477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1750595</v>
      </c>
      <c r="E37" s="97">
        <f t="shared" si="2"/>
        <v>1750595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503600187</v>
      </c>
      <c r="D38" s="103">
        <f>SUM(D27:D37)</f>
        <v>529890812</v>
      </c>
      <c r="E38" s="103">
        <f t="shared" si="2"/>
        <v>26290625</v>
      </c>
      <c r="F38" s="104">
        <f t="shared" si="3"/>
        <v>5.2205351941221577E-2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404483636</v>
      </c>
      <c r="D41" s="103">
        <f t="shared" si="4"/>
        <v>421575777</v>
      </c>
      <c r="E41" s="107">
        <f t="shared" ref="E41:E52" si="5">D41-C41</f>
        <v>17092141</v>
      </c>
      <c r="F41" s="108">
        <f t="shared" ref="F41:F52" si="6">IF(C41=0,0,E41/C41)</f>
        <v>4.2256693420348899E-2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23090412</v>
      </c>
      <c r="D42" s="103">
        <f t="shared" si="4"/>
        <v>30010490</v>
      </c>
      <c r="E42" s="107">
        <f t="shared" si="5"/>
        <v>6920078</v>
      </c>
      <c r="F42" s="108">
        <f t="shared" si="6"/>
        <v>0.29969486902182602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44578769</v>
      </c>
      <c r="D43" s="103">
        <f t="shared" si="4"/>
        <v>50003554</v>
      </c>
      <c r="E43" s="107">
        <f t="shared" si="5"/>
        <v>5424785</v>
      </c>
      <c r="F43" s="108">
        <f t="shared" si="6"/>
        <v>0.12168987887485183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36920309</v>
      </c>
      <c r="D44" s="103">
        <f t="shared" si="4"/>
        <v>48521502</v>
      </c>
      <c r="E44" s="107">
        <f t="shared" si="5"/>
        <v>11601193</v>
      </c>
      <c r="F44" s="108">
        <f t="shared" si="6"/>
        <v>0.31422253264456695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1010700</v>
      </c>
      <c r="D45" s="103">
        <f t="shared" si="4"/>
        <v>2056427</v>
      </c>
      <c r="E45" s="107">
        <f t="shared" si="5"/>
        <v>1045727</v>
      </c>
      <c r="F45" s="108">
        <f t="shared" si="6"/>
        <v>1.0346561788859205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250049277</v>
      </c>
      <c r="D46" s="103">
        <f t="shared" si="4"/>
        <v>240728185</v>
      </c>
      <c r="E46" s="107">
        <f t="shared" si="5"/>
        <v>-9321092</v>
      </c>
      <c r="F46" s="108">
        <f t="shared" si="6"/>
        <v>-3.7277020401062788E-2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187022719</v>
      </c>
      <c r="D47" s="103">
        <f t="shared" si="4"/>
        <v>201284270</v>
      </c>
      <c r="E47" s="107">
        <f t="shared" si="5"/>
        <v>14261551</v>
      </c>
      <c r="F47" s="108">
        <f t="shared" si="6"/>
        <v>7.6255714152033041E-2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7213847</v>
      </c>
      <c r="D48" s="103">
        <f t="shared" si="4"/>
        <v>7748622</v>
      </c>
      <c r="E48" s="107">
        <f t="shared" si="5"/>
        <v>534775</v>
      </c>
      <c r="F48" s="108">
        <f t="shared" si="6"/>
        <v>7.4131735813082814E-2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27565078</v>
      </c>
      <c r="D49" s="103">
        <f t="shared" si="4"/>
        <v>27210293</v>
      </c>
      <c r="E49" s="107">
        <f t="shared" si="5"/>
        <v>-354785</v>
      </c>
      <c r="F49" s="108">
        <f t="shared" si="6"/>
        <v>-1.287081429626283E-2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20408649</v>
      </c>
      <c r="D50" s="103">
        <f t="shared" si="4"/>
        <v>10903136</v>
      </c>
      <c r="E50" s="107">
        <f t="shared" si="5"/>
        <v>-9505513</v>
      </c>
      <c r="F50" s="108">
        <f t="shared" si="6"/>
        <v>-0.46575905146881597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2772660</v>
      </c>
      <c r="E51" s="107">
        <f t="shared" si="5"/>
        <v>2772660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1002343396</v>
      </c>
      <c r="D52" s="112">
        <f>SUM(D41:D51)</f>
        <v>1042814916</v>
      </c>
      <c r="E52" s="111">
        <f t="shared" si="5"/>
        <v>40471520</v>
      </c>
      <c r="F52" s="113">
        <f t="shared" si="6"/>
        <v>4.0376900931863871E-2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81519835</v>
      </c>
      <c r="D57" s="97">
        <v>84336220</v>
      </c>
      <c r="E57" s="97">
        <f t="shared" ref="E57:E68" si="7">D57-C57</f>
        <v>2816385</v>
      </c>
      <c r="F57" s="98">
        <f t="shared" ref="F57:F68" si="8">IF(C57=0,0,E57/C57)</f>
        <v>3.4548462959965512E-2</v>
      </c>
    </row>
    <row r="58" spans="1:6" ht="18" customHeight="1" x14ac:dyDescent="0.25">
      <c r="A58" s="99">
        <v>2</v>
      </c>
      <c r="B58" s="100" t="s">
        <v>113</v>
      </c>
      <c r="C58" s="97">
        <v>4899403</v>
      </c>
      <c r="D58" s="97">
        <v>6377528</v>
      </c>
      <c r="E58" s="97">
        <f t="shared" si="7"/>
        <v>1478125</v>
      </c>
      <c r="F58" s="98">
        <f t="shared" si="8"/>
        <v>0.3016949207893288</v>
      </c>
    </row>
    <row r="59" spans="1:6" ht="18" customHeight="1" x14ac:dyDescent="0.25">
      <c r="A59" s="99">
        <v>3</v>
      </c>
      <c r="B59" s="100" t="s">
        <v>114</v>
      </c>
      <c r="C59" s="97">
        <v>9863299</v>
      </c>
      <c r="D59" s="97">
        <v>9729167</v>
      </c>
      <c r="E59" s="97">
        <f t="shared" si="7"/>
        <v>-134132</v>
      </c>
      <c r="F59" s="98">
        <f t="shared" si="8"/>
        <v>-1.3599101071558308E-2</v>
      </c>
    </row>
    <row r="60" spans="1:6" ht="18" customHeight="1" x14ac:dyDescent="0.25">
      <c r="A60" s="99">
        <v>4</v>
      </c>
      <c r="B60" s="100" t="s">
        <v>115</v>
      </c>
      <c r="C60" s="97">
        <v>3367724</v>
      </c>
      <c r="D60" s="97">
        <v>4450305</v>
      </c>
      <c r="E60" s="97">
        <f t="shared" si="7"/>
        <v>1082581</v>
      </c>
      <c r="F60" s="98">
        <f t="shared" si="8"/>
        <v>0.32145775603939042</v>
      </c>
    </row>
    <row r="61" spans="1:6" ht="18" customHeight="1" x14ac:dyDescent="0.25">
      <c r="A61" s="99">
        <v>5</v>
      </c>
      <c r="B61" s="100" t="s">
        <v>116</v>
      </c>
      <c r="C61" s="97">
        <v>152328</v>
      </c>
      <c r="D61" s="97">
        <v>436158</v>
      </c>
      <c r="E61" s="97">
        <f t="shared" si="7"/>
        <v>283830</v>
      </c>
      <c r="F61" s="98">
        <f t="shared" si="8"/>
        <v>1.8632818654482433</v>
      </c>
    </row>
    <row r="62" spans="1:6" ht="18" customHeight="1" x14ac:dyDescent="0.25">
      <c r="A62" s="99">
        <v>6</v>
      </c>
      <c r="B62" s="100" t="s">
        <v>117</v>
      </c>
      <c r="C62" s="97">
        <v>70320610</v>
      </c>
      <c r="D62" s="97">
        <v>63657349</v>
      </c>
      <c r="E62" s="97">
        <f t="shared" si="7"/>
        <v>-6663261</v>
      </c>
      <c r="F62" s="98">
        <f t="shared" si="8"/>
        <v>-9.4755449362569522E-2</v>
      </c>
    </row>
    <row r="63" spans="1:6" ht="18" customHeight="1" x14ac:dyDescent="0.25">
      <c r="A63" s="99">
        <v>7</v>
      </c>
      <c r="B63" s="100" t="s">
        <v>118</v>
      </c>
      <c r="C63" s="97">
        <v>41363560</v>
      </c>
      <c r="D63" s="97">
        <v>48524276</v>
      </c>
      <c r="E63" s="97">
        <f t="shared" si="7"/>
        <v>7160716</v>
      </c>
      <c r="F63" s="98">
        <f t="shared" si="8"/>
        <v>0.17311653058875978</v>
      </c>
    </row>
    <row r="64" spans="1:6" ht="18" customHeight="1" x14ac:dyDescent="0.25">
      <c r="A64" s="99">
        <v>8</v>
      </c>
      <c r="B64" s="100" t="s">
        <v>119</v>
      </c>
      <c r="C64" s="97">
        <v>2204255</v>
      </c>
      <c r="D64" s="97">
        <v>2773962</v>
      </c>
      <c r="E64" s="97">
        <f t="shared" si="7"/>
        <v>569707</v>
      </c>
      <c r="F64" s="98">
        <f t="shared" si="8"/>
        <v>0.25845784630181173</v>
      </c>
    </row>
    <row r="65" spans="1:6" ht="18" customHeight="1" x14ac:dyDescent="0.25">
      <c r="A65" s="99">
        <v>9</v>
      </c>
      <c r="B65" s="100" t="s">
        <v>120</v>
      </c>
      <c r="C65" s="97">
        <v>677729</v>
      </c>
      <c r="D65" s="97">
        <v>1946025</v>
      </c>
      <c r="E65" s="97">
        <f t="shared" si="7"/>
        <v>1268296</v>
      </c>
      <c r="F65" s="98">
        <f t="shared" si="8"/>
        <v>1.87139107224274</v>
      </c>
    </row>
    <row r="66" spans="1:6" ht="18" customHeight="1" x14ac:dyDescent="0.25">
      <c r="A66" s="99">
        <v>10</v>
      </c>
      <c r="B66" s="100" t="s">
        <v>121</v>
      </c>
      <c r="C66" s="97">
        <v>1058628</v>
      </c>
      <c r="D66" s="97">
        <v>379899</v>
      </c>
      <c r="E66" s="97">
        <f t="shared" si="7"/>
        <v>-678729</v>
      </c>
      <c r="F66" s="98">
        <f t="shared" si="8"/>
        <v>-0.64114023056257718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155806</v>
      </c>
      <c r="E67" s="97">
        <f t="shared" si="7"/>
        <v>155806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215427371</v>
      </c>
      <c r="D68" s="103">
        <f>SUM(D57:D67)</f>
        <v>222766695</v>
      </c>
      <c r="E68" s="103">
        <f t="shared" si="7"/>
        <v>7339324</v>
      </c>
      <c r="F68" s="104">
        <f t="shared" si="8"/>
        <v>3.4068669946308729E-2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58345514</v>
      </c>
      <c r="D70" s="97">
        <v>61188262</v>
      </c>
      <c r="E70" s="97">
        <f t="shared" ref="E70:E81" si="9">D70-C70</f>
        <v>2842748</v>
      </c>
      <c r="F70" s="98">
        <f t="shared" ref="F70:F81" si="10">IF(C70=0,0,E70/C70)</f>
        <v>4.8722649011199042E-2</v>
      </c>
    </row>
    <row r="71" spans="1:6" ht="18" customHeight="1" x14ac:dyDescent="0.25">
      <c r="A71" s="99">
        <v>2</v>
      </c>
      <c r="B71" s="100" t="s">
        <v>113</v>
      </c>
      <c r="C71" s="97">
        <v>3267824</v>
      </c>
      <c r="D71" s="97">
        <v>4173035</v>
      </c>
      <c r="E71" s="97">
        <f t="shared" si="9"/>
        <v>905211</v>
      </c>
      <c r="F71" s="98">
        <f t="shared" si="10"/>
        <v>0.27700726844530182</v>
      </c>
    </row>
    <row r="72" spans="1:6" ht="18" customHeight="1" x14ac:dyDescent="0.25">
      <c r="A72" s="99">
        <v>3</v>
      </c>
      <c r="B72" s="100" t="s">
        <v>114</v>
      </c>
      <c r="C72" s="97">
        <v>3363838</v>
      </c>
      <c r="D72" s="97">
        <v>4847819</v>
      </c>
      <c r="E72" s="97">
        <f t="shared" si="9"/>
        <v>1483981</v>
      </c>
      <c r="F72" s="98">
        <f t="shared" si="10"/>
        <v>0.44115709496117234</v>
      </c>
    </row>
    <row r="73" spans="1:6" ht="18" customHeight="1" x14ac:dyDescent="0.25">
      <c r="A73" s="99">
        <v>4</v>
      </c>
      <c r="B73" s="100" t="s">
        <v>115</v>
      </c>
      <c r="C73" s="97">
        <v>6357184</v>
      </c>
      <c r="D73" s="97">
        <v>8560178</v>
      </c>
      <c r="E73" s="97">
        <f t="shared" si="9"/>
        <v>2202994</v>
      </c>
      <c r="F73" s="98">
        <f t="shared" si="10"/>
        <v>0.34653613927172788</v>
      </c>
    </row>
    <row r="74" spans="1:6" ht="18" customHeight="1" x14ac:dyDescent="0.25">
      <c r="A74" s="99">
        <v>5</v>
      </c>
      <c r="B74" s="100" t="s">
        <v>116</v>
      </c>
      <c r="C74" s="97">
        <v>141290</v>
      </c>
      <c r="D74" s="97">
        <v>170926</v>
      </c>
      <c r="E74" s="97">
        <f t="shared" si="9"/>
        <v>29636</v>
      </c>
      <c r="F74" s="98">
        <f t="shared" si="10"/>
        <v>0.20975299030363084</v>
      </c>
    </row>
    <row r="75" spans="1:6" ht="18" customHeight="1" x14ac:dyDescent="0.25">
      <c r="A75" s="99">
        <v>6</v>
      </c>
      <c r="B75" s="100" t="s">
        <v>117</v>
      </c>
      <c r="C75" s="97">
        <v>87182001</v>
      </c>
      <c r="D75" s="97">
        <v>87635692</v>
      </c>
      <c r="E75" s="97">
        <f t="shared" si="9"/>
        <v>453691</v>
      </c>
      <c r="F75" s="98">
        <f t="shared" si="10"/>
        <v>5.2039525910858595E-3</v>
      </c>
    </row>
    <row r="76" spans="1:6" ht="18" customHeight="1" x14ac:dyDescent="0.25">
      <c r="A76" s="99">
        <v>7</v>
      </c>
      <c r="B76" s="100" t="s">
        <v>118</v>
      </c>
      <c r="C76" s="97">
        <v>62018020</v>
      </c>
      <c r="D76" s="97">
        <v>65263273</v>
      </c>
      <c r="E76" s="97">
        <f t="shared" si="9"/>
        <v>3245253</v>
      </c>
      <c r="F76" s="98">
        <f t="shared" si="10"/>
        <v>5.2327581564196986E-2</v>
      </c>
    </row>
    <row r="77" spans="1:6" ht="18" customHeight="1" x14ac:dyDescent="0.25">
      <c r="A77" s="99">
        <v>8</v>
      </c>
      <c r="B77" s="100" t="s">
        <v>119</v>
      </c>
      <c r="C77" s="97">
        <v>2734484</v>
      </c>
      <c r="D77" s="97">
        <v>2541352</v>
      </c>
      <c r="E77" s="97">
        <f t="shared" si="9"/>
        <v>-193132</v>
      </c>
      <c r="F77" s="98">
        <f t="shared" si="10"/>
        <v>-7.0628315982101189E-2</v>
      </c>
    </row>
    <row r="78" spans="1:6" ht="18" customHeight="1" x14ac:dyDescent="0.25">
      <c r="A78" s="99">
        <v>9</v>
      </c>
      <c r="B78" s="100" t="s">
        <v>120</v>
      </c>
      <c r="C78" s="97">
        <v>2117482</v>
      </c>
      <c r="D78" s="97">
        <v>6084409</v>
      </c>
      <c r="E78" s="97">
        <f t="shared" si="9"/>
        <v>3966927</v>
      </c>
      <c r="F78" s="98">
        <f t="shared" si="10"/>
        <v>1.8734171057888567</v>
      </c>
    </row>
    <row r="79" spans="1:6" ht="18" customHeight="1" x14ac:dyDescent="0.25">
      <c r="A79" s="99">
        <v>10</v>
      </c>
      <c r="B79" s="100" t="s">
        <v>121</v>
      </c>
      <c r="C79" s="97">
        <v>2585492</v>
      </c>
      <c r="D79" s="97">
        <v>840246</v>
      </c>
      <c r="E79" s="97">
        <f t="shared" si="9"/>
        <v>-1745246</v>
      </c>
      <c r="F79" s="98">
        <f t="shared" si="10"/>
        <v>-0.67501504549230862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155118</v>
      </c>
      <c r="E80" s="97">
        <f t="shared" si="9"/>
        <v>155118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228113129</v>
      </c>
      <c r="D81" s="103">
        <f>SUM(D70:D80)</f>
        <v>241460310</v>
      </c>
      <c r="E81" s="103">
        <f t="shared" si="9"/>
        <v>13347181</v>
      </c>
      <c r="F81" s="104">
        <f t="shared" si="10"/>
        <v>5.8511235449319535E-2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139865349</v>
      </c>
      <c r="D84" s="103">
        <f t="shared" si="11"/>
        <v>145524482</v>
      </c>
      <c r="E84" s="103">
        <f t="shared" ref="E84:E95" si="12">D84-C84</f>
        <v>5659133</v>
      </c>
      <c r="F84" s="104">
        <f t="shared" ref="F84:F95" si="13">IF(C84=0,0,E84/C84)</f>
        <v>4.0461293954945195E-2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8167227</v>
      </c>
      <c r="D85" s="103">
        <f t="shared" si="11"/>
        <v>10550563</v>
      </c>
      <c r="E85" s="103">
        <f t="shared" si="12"/>
        <v>2383336</v>
      </c>
      <c r="F85" s="104">
        <f t="shared" si="13"/>
        <v>0.29181703900234435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13227137</v>
      </c>
      <c r="D86" s="103">
        <f t="shared" si="11"/>
        <v>14576986</v>
      </c>
      <c r="E86" s="103">
        <f t="shared" si="12"/>
        <v>1349849</v>
      </c>
      <c r="F86" s="104">
        <f t="shared" si="13"/>
        <v>0.1020514870300353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9724908</v>
      </c>
      <c r="D87" s="103">
        <f t="shared" si="11"/>
        <v>13010483</v>
      </c>
      <c r="E87" s="103">
        <f t="shared" si="12"/>
        <v>3285575</v>
      </c>
      <c r="F87" s="104">
        <f t="shared" si="13"/>
        <v>0.33785152517638212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293618</v>
      </c>
      <c r="D88" s="103">
        <f t="shared" si="11"/>
        <v>607084</v>
      </c>
      <c r="E88" s="103">
        <f t="shared" si="12"/>
        <v>313466</v>
      </c>
      <c r="F88" s="104">
        <f t="shared" si="13"/>
        <v>1.0675980355427801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157502611</v>
      </c>
      <c r="D89" s="103">
        <f t="shared" si="11"/>
        <v>151293041</v>
      </c>
      <c r="E89" s="103">
        <f t="shared" si="12"/>
        <v>-6209570</v>
      </c>
      <c r="F89" s="104">
        <f t="shared" si="13"/>
        <v>-3.942518768784093E-2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103381580</v>
      </c>
      <c r="D90" s="103">
        <f t="shared" si="11"/>
        <v>113787549</v>
      </c>
      <c r="E90" s="103">
        <f t="shared" si="12"/>
        <v>10405969</v>
      </c>
      <c r="F90" s="104">
        <f t="shared" si="13"/>
        <v>0.10065592922839833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4938739</v>
      </c>
      <c r="D91" s="103">
        <f t="shared" si="11"/>
        <v>5315314</v>
      </c>
      <c r="E91" s="103">
        <f t="shared" si="12"/>
        <v>376575</v>
      </c>
      <c r="F91" s="104">
        <f t="shared" si="13"/>
        <v>7.6249220701883613E-2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2795211</v>
      </c>
      <c r="D92" s="103">
        <f t="shared" si="11"/>
        <v>8030434</v>
      </c>
      <c r="E92" s="103">
        <f t="shared" si="12"/>
        <v>5235223</v>
      </c>
      <c r="F92" s="104">
        <f t="shared" si="13"/>
        <v>1.8729258721434625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3644120</v>
      </c>
      <c r="D93" s="103">
        <f t="shared" si="11"/>
        <v>1220145</v>
      </c>
      <c r="E93" s="103">
        <f t="shared" si="12"/>
        <v>-2423975</v>
      </c>
      <c r="F93" s="104">
        <f t="shared" si="13"/>
        <v>-0.66517430820060808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310924</v>
      </c>
      <c r="E94" s="103">
        <f t="shared" si="12"/>
        <v>310924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443540500</v>
      </c>
      <c r="D95" s="112">
        <f>SUM(D84:D94)</f>
        <v>464227005</v>
      </c>
      <c r="E95" s="112">
        <f t="shared" si="12"/>
        <v>20686505</v>
      </c>
      <c r="F95" s="113">
        <f t="shared" si="13"/>
        <v>4.6639495153204723E-2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8118</v>
      </c>
      <c r="D100" s="117">
        <v>8302</v>
      </c>
      <c r="E100" s="117">
        <f t="shared" ref="E100:E111" si="14">D100-C100</f>
        <v>184</v>
      </c>
      <c r="F100" s="98">
        <f t="shared" ref="F100:F111" si="15">IF(C100=0,0,E100/C100)</f>
        <v>2.2665681202266568E-2</v>
      </c>
    </row>
    <row r="101" spans="1:6" ht="18" customHeight="1" x14ac:dyDescent="0.25">
      <c r="A101" s="99">
        <v>2</v>
      </c>
      <c r="B101" s="100" t="s">
        <v>113</v>
      </c>
      <c r="C101" s="117">
        <v>448</v>
      </c>
      <c r="D101" s="117">
        <v>615</v>
      </c>
      <c r="E101" s="117">
        <f t="shared" si="14"/>
        <v>167</v>
      </c>
      <c r="F101" s="98">
        <f t="shared" si="15"/>
        <v>0.37276785714285715</v>
      </c>
    </row>
    <row r="102" spans="1:6" ht="18" customHeight="1" x14ac:dyDescent="0.25">
      <c r="A102" s="99">
        <v>3</v>
      </c>
      <c r="B102" s="100" t="s">
        <v>114</v>
      </c>
      <c r="C102" s="117">
        <v>1386</v>
      </c>
      <c r="D102" s="117">
        <v>1606</v>
      </c>
      <c r="E102" s="117">
        <f t="shared" si="14"/>
        <v>220</v>
      </c>
      <c r="F102" s="98">
        <f t="shared" si="15"/>
        <v>0.15873015873015872</v>
      </c>
    </row>
    <row r="103" spans="1:6" ht="18" customHeight="1" x14ac:dyDescent="0.25">
      <c r="A103" s="99">
        <v>4</v>
      </c>
      <c r="B103" s="100" t="s">
        <v>115</v>
      </c>
      <c r="C103" s="117">
        <v>926</v>
      </c>
      <c r="D103" s="117">
        <v>1121</v>
      </c>
      <c r="E103" s="117">
        <f t="shared" si="14"/>
        <v>195</v>
      </c>
      <c r="F103" s="98">
        <f t="shared" si="15"/>
        <v>0.21058315334773217</v>
      </c>
    </row>
    <row r="104" spans="1:6" ht="18" customHeight="1" x14ac:dyDescent="0.25">
      <c r="A104" s="99">
        <v>5</v>
      </c>
      <c r="B104" s="100" t="s">
        <v>116</v>
      </c>
      <c r="C104" s="117">
        <v>25</v>
      </c>
      <c r="D104" s="117">
        <v>29</v>
      </c>
      <c r="E104" s="117">
        <f t="shared" si="14"/>
        <v>4</v>
      </c>
      <c r="F104" s="98">
        <f t="shared" si="15"/>
        <v>0.16</v>
      </c>
    </row>
    <row r="105" spans="1:6" ht="18" customHeight="1" x14ac:dyDescent="0.25">
      <c r="A105" s="99">
        <v>6</v>
      </c>
      <c r="B105" s="100" t="s">
        <v>117</v>
      </c>
      <c r="C105" s="117">
        <v>4702</v>
      </c>
      <c r="D105" s="117">
        <v>4036</v>
      </c>
      <c r="E105" s="117">
        <f t="shared" si="14"/>
        <v>-666</v>
      </c>
      <c r="F105" s="98">
        <f t="shared" si="15"/>
        <v>-0.14164185452998723</v>
      </c>
    </row>
    <row r="106" spans="1:6" ht="18" customHeight="1" x14ac:dyDescent="0.25">
      <c r="A106" s="99">
        <v>7</v>
      </c>
      <c r="B106" s="100" t="s">
        <v>118</v>
      </c>
      <c r="C106" s="117">
        <v>3920</v>
      </c>
      <c r="D106" s="117">
        <v>4306</v>
      </c>
      <c r="E106" s="117">
        <f t="shared" si="14"/>
        <v>386</v>
      </c>
      <c r="F106" s="98">
        <f t="shared" si="15"/>
        <v>9.8469387755102042E-2</v>
      </c>
    </row>
    <row r="107" spans="1:6" ht="18" customHeight="1" x14ac:dyDescent="0.25">
      <c r="A107" s="99">
        <v>8</v>
      </c>
      <c r="B107" s="100" t="s">
        <v>119</v>
      </c>
      <c r="C107" s="117">
        <v>105</v>
      </c>
      <c r="D107" s="117">
        <v>112</v>
      </c>
      <c r="E107" s="117">
        <f t="shared" si="14"/>
        <v>7</v>
      </c>
      <c r="F107" s="98">
        <f t="shared" si="15"/>
        <v>6.6666666666666666E-2</v>
      </c>
    </row>
    <row r="108" spans="1:6" ht="18" customHeight="1" x14ac:dyDescent="0.25">
      <c r="A108" s="99">
        <v>9</v>
      </c>
      <c r="B108" s="100" t="s">
        <v>120</v>
      </c>
      <c r="C108" s="117">
        <v>322</v>
      </c>
      <c r="D108" s="117">
        <v>298</v>
      </c>
      <c r="E108" s="117">
        <f t="shared" si="14"/>
        <v>-24</v>
      </c>
      <c r="F108" s="98">
        <f t="shared" si="15"/>
        <v>-7.4534161490683232E-2</v>
      </c>
    </row>
    <row r="109" spans="1:6" ht="18" customHeight="1" x14ac:dyDescent="0.25">
      <c r="A109" s="99">
        <v>10</v>
      </c>
      <c r="B109" s="100" t="s">
        <v>121</v>
      </c>
      <c r="C109" s="117">
        <v>545</v>
      </c>
      <c r="D109" s="117">
        <v>234</v>
      </c>
      <c r="E109" s="117">
        <f t="shared" si="14"/>
        <v>-311</v>
      </c>
      <c r="F109" s="98">
        <f t="shared" si="15"/>
        <v>-0.57064220183486236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56</v>
      </c>
      <c r="E110" s="117">
        <f t="shared" si="14"/>
        <v>56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20497</v>
      </c>
      <c r="D111" s="118">
        <f>SUM(D100:D110)</f>
        <v>20715</v>
      </c>
      <c r="E111" s="118">
        <f t="shared" si="14"/>
        <v>218</v>
      </c>
      <c r="F111" s="104">
        <f t="shared" si="15"/>
        <v>1.0635702785773528E-2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44115</v>
      </c>
      <c r="D113" s="117">
        <v>46500</v>
      </c>
      <c r="E113" s="117">
        <f t="shared" ref="E113:E124" si="16">D113-C113</f>
        <v>2385</v>
      </c>
      <c r="F113" s="98">
        <f t="shared" ref="F113:F124" si="17">IF(C113=0,0,E113/C113)</f>
        <v>5.406324379462768E-2</v>
      </c>
    </row>
    <row r="114" spans="1:6" ht="18" customHeight="1" x14ac:dyDescent="0.25">
      <c r="A114" s="99">
        <v>2</v>
      </c>
      <c r="B114" s="100" t="s">
        <v>113</v>
      </c>
      <c r="C114" s="117">
        <v>2296</v>
      </c>
      <c r="D114" s="117">
        <v>3496</v>
      </c>
      <c r="E114" s="117">
        <f t="shared" si="16"/>
        <v>1200</v>
      </c>
      <c r="F114" s="98">
        <f t="shared" si="17"/>
        <v>0.52264808362369342</v>
      </c>
    </row>
    <row r="115" spans="1:6" ht="18" customHeight="1" x14ac:dyDescent="0.25">
      <c r="A115" s="99">
        <v>3</v>
      </c>
      <c r="B115" s="100" t="s">
        <v>114</v>
      </c>
      <c r="C115" s="117">
        <v>6734</v>
      </c>
      <c r="D115" s="117">
        <v>7550</v>
      </c>
      <c r="E115" s="117">
        <f t="shared" si="16"/>
        <v>816</v>
      </c>
      <c r="F115" s="98">
        <f t="shared" si="17"/>
        <v>0.12117612117612117</v>
      </c>
    </row>
    <row r="116" spans="1:6" ht="18" customHeight="1" x14ac:dyDescent="0.25">
      <c r="A116" s="99">
        <v>4</v>
      </c>
      <c r="B116" s="100" t="s">
        <v>115</v>
      </c>
      <c r="C116" s="117">
        <v>2921</v>
      </c>
      <c r="D116" s="117">
        <v>3890</v>
      </c>
      <c r="E116" s="117">
        <f t="shared" si="16"/>
        <v>969</v>
      </c>
      <c r="F116" s="98">
        <f t="shared" si="17"/>
        <v>0.33173570694967475</v>
      </c>
    </row>
    <row r="117" spans="1:6" ht="18" customHeight="1" x14ac:dyDescent="0.25">
      <c r="A117" s="99">
        <v>5</v>
      </c>
      <c r="B117" s="100" t="s">
        <v>116</v>
      </c>
      <c r="C117" s="117">
        <v>102</v>
      </c>
      <c r="D117" s="117">
        <v>226</v>
      </c>
      <c r="E117" s="117">
        <f t="shared" si="16"/>
        <v>124</v>
      </c>
      <c r="F117" s="98">
        <f t="shared" si="17"/>
        <v>1.2156862745098038</v>
      </c>
    </row>
    <row r="118" spans="1:6" ht="18" customHeight="1" x14ac:dyDescent="0.25">
      <c r="A118" s="99">
        <v>6</v>
      </c>
      <c r="B118" s="100" t="s">
        <v>117</v>
      </c>
      <c r="C118" s="117">
        <v>17793</v>
      </c>
      <c r="D118" s="117">
        <v>16197</v>
      </c>
      <c r="E118" s="117">
        <f t="shared" si="16"/>
        <v>-1596</v>
      </c>
      <c r="F118" s="98">
        <f t="shared" si="17"/>
        <v>-8.969819591974372E-2</v>
      </c>
    </row>
    <row r="119" spans="1:6" ht="18" customHeight="1" x14ac:dyDescent="0.25">
      <c r="A119" s="99">
        <v>7</v>
      </c>
      <c r="B119" s="100" t="s">
        <v>118</v>
      </c>
      <c r="C119" s="117">
        <v>13913</v>
      </c>
      <c r="D119" s="117">
        <v>15205</v>
      </c>
      <c r="E119" s="117">
        <f t="shared" si="16"/>
        <v>1292</v>
      </c>
      <c r="F119" s="98">
        <f t="shared" si="17"/>
        <v>9.2862790196219361E-2</v>
      </c>
    </row>
    <row r="120" spans="1:6" ht="18" customHeight="1" x14ac:dyDescent="0.25">
      <c r="A120" s="99">
        <v>8</v>
      </c>
      <c r="B120" s="100" t="s">
        <v>119</v>
      </c>
      <c r="C120" s="117">
        <v>279</v>
      </c>
      <c r="D120" s="117">
        <v>443</v>
      </c>
      <c r="E120" s="117">
        <f t="shared" si="16"/>
        <v>164</v>
      </c>
      <c r="F120" s="98">
        <f t="shared" si="17"/>
        <v>0.58781362007168458</v>
      </c>
    </row>
    <row r="121" spans="1:6" ht="18" customHeight="1" x14ac:dyDescent="0.25">
      <c r="A121" s="99">
        <v>9</v>
      </c>
      <c r="B121" s="100" t="s">
        <v>120</v>
      </c>
      <c r="C121" s="117">
        <v>1041</v>
      </c>
      <c r="D121" s="117">
        <v>1120</v>
      </c>
      <c r="E121" s="117">
        <f t="shared" si="16"/>
        <v>79</v>
      </c>
      <c r="F121" s="98">
        <f t="shared" si="17"/>
        <v>7.5888568683957727E-2</v>
      </c>
    </row>
    <row r="122" spans="1:6" ht="18" customHeight="1" x14ac:dyDescent="0.25">
      <c r="A122" s="99">
        <v>10</v>
      </c>
      <c r="B122" s="100" t="s">
        <v>121</v>
      </c>
      <c r="C122" s="117">
        <v>2600</v>
      </c>
      <c r="D122" s="117">
        <v>1008</v>
      </c>
      <c r="E122" s="117">
        <f t="shared" si="16"/>
        <v>-1592</v>
      </c>
      <c r="F122" s="98">
        <f t="shared" si="17"/>
        <v>-0.61230769230769233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249</v>
      </c>
      <c r="E123" s="117">
        <f t="shared" si="16"/>
        <v>249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91794</v>
      </c>
      <c r="D124" s="118">
        <f>SUM(D113:D123)</f>
        <v>95884</v>
      </c>
      <c r="E124" s="118">
        <f t="shared" si="16"/>
        <v>4090</v>
      </c>
      <c r="F124" s="104">
        <f t="shared" si="17"/>
        <v>4.4556289082075082E-2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51777</v>
      </c>
      <c r="D126" s="117">
        <v>51174</v>
      </c>
      <c r="E126" s="117">
        <f t="shared" ref="E126:E137" si="18">D126-C126</f>
        <v>-603</v>
      </c>
      <c r="F126" s="98">
        <f t="shared" ref="F126:F137" si="19">IF(C126=0,0,E126/C126)</f>
        <v>-1.1646097688162698E-2</v>
      </c>
    </row>
    <row r="127" spans="1:6" ht="18" customHeight="1" x14ac:dyDescent="0.25">
      <c r="A127" s="99">
        <v>2</v>
      </c>
      <c r="B127" s="100" t="s">
        <v>113</v>
      </c>
      <c r="C127" s="117">
        <v>3125</v>
      </c>
      <c r="D127" s="117">
        <v>3850</v>
      </c>
      <c r="E127" s="117">
        <f t="shared" si="18"/>
        <v>725</v>
      </c>
      <c r="F127" s="98">
        <f t="shared" si="19"/>
        <v>0.23200000000000001</v>
      </c>
    </row>
    <row r="128" spans="1:6" ht="18" customHeight="1" x14ac:dyDescent="0.25">
      <c r="A128" s="99">
        <v>3</v>
      </c>
      <c r="B128" s="100" t="s">
        <v>114</v>
      </c>
      <c r="C128" s="117">
        <v>6326</v>
      </c>
      <c r="D128" s="117">
        <v>8764</v>
      </c>
      <c r="E128" s="117">
        <f t="shared" si="18"/>
        <v>2438</v>
      </c>
      <c r="F128" s="98">
        <f t="shared" si="19"/>
        <v>0.38539361365791969</v>
      </c>
    </row>
    <row r="129" spans="1:6" ht="18" customHeight="1" x14ac:dyDescent="0.25">
      <c r="A129" s="99">
        <v>4</v>
      </c>
      <c r="B129" s="100" t="s">
        <v>115</v>
      </c>
      <c r="C129" s="117">
        <v>19664</v>
      </c>
      <c r="D129" s="117">
        <v>22569</v>
      </c>
      <c r="E129" s="117">
        <f t="shared" si="18"/>
        <v>2905</v>
      </c>
      <c r="F129" s="98">
        <f t="shared" si="19"/>
        <v>0.14773189585028479</v>
      </c>
    </row>
    <row r="130" spans="1:6" ht="18" customHeight="1" x14ac:dyDescent="0.25">
      <c r="A130" s="99">
        <v>5</v>
      </c>
      <c r="B130" s="100" t="s">
        <v>116</v>
      </c>
      <c r="C130" s="117">
        <v>242</v>
      </c>
      <c r="D130" s="117">
        <v>269</v>
      </c>
      <c r="E130" s="117">
        <f t="shared" si="18"/>
        <v>27</v>
      </c>
      <c r="F130" s="98">
        <f t="shared" si="19"/>
        <v>0.1115702479338843</v>
      </c>
    </row>
    <row r="131" spans="1:6" ht="18" customHeight="1" x14ac:dyDescent="0.25">
      <c r="A131" s="99">
        <v>6</v>
      </c>
      <c r="B131" s="100" t="s">
        <v>117</v>
      </c>
      <c r="C131" s="117">
        <v>48838</v>
      </c>
      <c r="D131" s="117">
        <v>45070</v>
      </c>
      <c r="E131" s="117">
        <f t="shared" si="18"/>
        <v>-3768</v>
      </c>
      <c r="F131" s="98">
        <f t="shared" si="19"/>
        <v>-7.7153036569884106E-2</v>
      </c>
    </row>
    <row r="132" spans="1:6" ht="18" customHeight="1" x14ac:dyDescent="0.25">
      <c r="A132" s="99">
        <v>7</v>
      </c>
      <c r="B132" s="100" t="s">
        <v>118</v>
      </c>
      <c r="C132" s="117">
        <v>37649</v>
      </c>
      <c r="D132" s="117">
        <v>36790</v>
      </c>
      <c r="E132" s="117">
        <f t="shared" si="18"/>
        <v>-859</v>
      </c>
      <c r="F132" s="98">
        <f t="shared" si="19"/>
        <v>-2.2816011049430263E-2</v>
      </c>
    </row>
    <row r="133" spans="1:6" ht="18" customHeight="1" x14ac:dyDescent="0.25">
      <c r="A133" s="99">
        <v>8</v>
      </c>
      <c r="B133" s="100" t="s">
        <v>119</v>
      </c>
      <c r="C133" s="117">
        <v>1542</v>
      </c>
      <c r="D133" s="117">
        <v>1492</v>
      </c>
      <c r="E133" s="117">
        <f t="shared" si="18"/>
        <v>-50</v>
      </c>
      <c r="F133" s="98">
        <f t="shared" si="19"/>
        <v>-3.2425421530479899E-2</v>
      </c>
    </row>
    <row r="134" spans="1:6" ht="18" customHeight="1" x14ac:dyDescent="0.25">
      <c r="A134" s="99">
        <v>9</v>
      </c>
      <c r="B134" s="100" t="s">
        <v>120</v>
      </c>
      <c r="C134" s="117">
        <v>13183</v>
      </c>
      <c r="D134" s="117">
        <v>12793</v>
      </c>
      <c r="E134" s="117">
        <f t="shared" si="18"/>
        <v>-390</v>
      </c>
      <c r="F134" s="98">
        <f t="shared" si="19"/>
        <v>-2.9583554577865434E-2</v>
      </c>
    </row>
    <row r="135" spans="1:6" ht="18" customHeight="1" x14ac:dyDescent="0.25">
      <c r="A135" s="99">
        <v>10</v>
      </c>
      <c r="B135" s="100" t="s">
        <v>121</v>
      </c>
      <c r="C135" s="117">
        <v>5892</v>
      </c>
      <c r="D135" s="117">
        <v>2212</v>
      </c>
      <c r="E135" s="117">
        <f t="shared" si="18"/>
        <v>-3680</v>
      </c>
      <c r="F135" s="98">
        <f t="shared" si="19"/>
        <v>-0.62457569585879158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841</v>
      </c>
      <c r="E136" s="117">
        <f t="shared" si="18"/>
        <v>841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188238</v>
      </c>
      <c r="D137" s="118">
        <f>SUM(D126:D136)</f>
        <v>185824</v>
      </c>
      <c r="E137" s="118">
        <f t="shared" si="18"/>
        <v>-2414</v>
      </c>
      <c r="F137" s="104">
        <f t="shared" si="19"/>
        <v>-1.2824190652259374E-2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17170608</v>
      </c>
      <c r="D142" s="97">
        <v>17856523</v>
      </c>
      <c r="E142" s="97">
        <f t="shared" ref="E142:E153" si="20">D142-C142</f>
        <v>685915</v>
      </c>
      <c r="F142" s="98">
        <f t="shared" ref="F142:F153" si="21">IF(C142=0,0,E142/C142)</f>
        <v>3.9947042061643942E-2</v>
      </c>
    </row>
    <row r="143" spans="1:6" ht="18" customHeight="1" x14ac:dyDescent="0.25">
      <c r="A143" s="99">
        <v>2</v>
      </c>
      <c r="B143" s="100" t="s">
        <v>113</v>
      </c>
      <c r="C143" s="97">
        <v>1215866</v>
      </c>
      <c r="D143" s="97">
        <v>1399220</v>
      </c>
      <c r="E143" s="97">
        <f t="shared" si="20"/>
        <v>183354</v>
      </c>
      <c r="F143" s="98">
        <f t="shared" si="21"/>
        <v>0.15080115736438063</v>
      </c>
    </row>
    <row r="144" spans="1:6" ht="18" customHeight="1" x14ac:dyDescent="0.25">
      <c r="A144" s="99">
        <v>3</v>
      </c>
      <c r="B144" s="100" t="s">
        <v>114</v>
      </c>
      <c r="C144" s="97">
        <v>5045658</v>
      </c>
      <c r="D144" s="97">
        <v>7056421</v>
      </c>
      <c r="E144" s="97">
        <f t="shared" si="20"/>
        <v>2010763</v>
      </c>
      <c r="F144" s="98">
        <f t="shared" si="21"/>
        <v>0.3985135338146184</v>
      </c>
    </row>
    <row r="145" spans="1:6" ht="18" customHeight="1" x14ac:dyDescent="0.25">
      <c r="A145" s="99">
        <v>4</v>
      </c>
      <c r="B145" s="100" t="s">
        <v>115</v>
      </c>
      <c r="C145" s="97">
        <v>11723566</v>
      </c>
      <c r="D145" s="97">
        <v>14969456</v>
      </c>
      <c r="E145" s="97">
        <f t="shared" si="20"/>
        <v>3245890</v>
      </c>
      <c r="F145" s="98">
        <f t="shared" si="21"/>
        <v>0.27686882984238753</v>
      </c>
    </row>
    <row r="146" spans="1:6" ht="18" customHeight="1" x14ac:dyDescent="0.25">
      <c r="A146" s="99">
        <v>5</v>
      </c>
      <c r="B146" s="100" t="s">
        <v>116</v>
      </c>
      <c r="C146" s="97">
        <v>252365</v>
      </c>
      <c r="D146" s="97">
        <v>286709</v>
      </c>
      <c r="E146" s="97">
        <f t="shared" si="20"/>
        <v>34344</v>
      </c>
      <c r="F146" s="98">
        <f t="shared" si="21"/>
        <v>0.13608860182671922</v>
      </c>
    </row>
    <row r="147" spans="1:6" ht="18" customHeight="1" x14ac:dyDescent="0.25">
      <c r="A147" s="99">
        <v>6</v>
      </c>
      <c r="B147" s="100" t="s">
        <v>117</v>
      </c>
      <c r="C147" s="97">
        <v>28938269</v>
      </c>
      <c r="D147" s="97">
        <v>28420434</v>
      </c>
      <c r="E147" s="97">
        <f t="shared" si="20"/>
        <v>-517835</v>
      </c>
      <c r="F147" s="98">
        <f t="shared" si="21"/>
        <v>-1.7894470467462998E-2</v>
      </c>
    </row>
    <row r="148" spans="1:6" ht="18" customHeight="1" x14ac:dyDescent="0.25">
      <c r="A148" s="99">
        <v>7</v>
      </c>
      <c r="B148" s="100" t="s">
        <v>118</v>
      </c>
      <c r="C148" s="97">
        <v>20916565</v>
      </c>
      <c r="D148" s="97">
        <v>21042863</v>
      </c>
      <c r="E148" s="97">
        <f t="shared" si="20"/>
        <v>126298</v>
      </c>
      <c r="F148" s="98">
        <f t="shared" si="21"/>
        <v>6.0381807433486333E-3</v>
      </c>
    </row>
    <row r="149" spans="1:6" ht="18" customHeight="1" x14ac:dyDescent="0.25">
      <c r="A149" s="99">
        <v>8</v>
      </c>
      <c r="B149" s="100" t="s">
        <v>119</v>
      </c>
      <c r="C149" s="97">
        <v>1906124</v>
      </c>
      <c r="D149" s="97">
        <v>1906619</v>
      </c>
      <c r="E149" s="97">
        <f t="shared" si="20"/>
        <v>495</v>
      </c>
      <c r="F149" s="98">
        <f t="shared" si="21"/>
        <v>2.5968929618429862E-4</v>
      </c>
    </row>
    <row r="150" spans="1:6" ht="18" customHeight="1" x14ac:dyDescent="0.25">
      <c r="A150" s="99">
        <v>9</v>
      </c>
      <c r="B150" s="100" t="s">
        <v>120</v>
      </c>
      <c r="C150" s="97">
        <v>10844087</v>
      </c>
      <c r="D150" s="97">
        <v>10409786</v>
      </c>
      <c r="E150" s="97">
        <f t="shared" si="20"/>
        <v>-434301</v>
      </c>
      <c r="F150" s="98">
        <f t="shared" si="21"/>
        <v>-4.004956802725762E-2</v>
      </c>
    </row>
    <row r="151" spans="1:6" ht="18" customHeight="1" x14ac:dyDescent="0.25">
      <c r="A151" s="99">
        <v>10</v>
      </c>
      <c r="B151" s="100" t="s">
        <v>121</v>
      </c>
      <c r="C151" s="97">
        <v>4235982</v>
      </c>
      <c r="D151" s="97">
        <v>2647084</v>
      </c>
      <c r="E151" s="97">
        <f t="shared" si="20"/>
        <v>-1588898</v>
      </c>
      <c r="F151" s="98">
        <f t="shared" si="21"/>
        <v>-0.37509555045323612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400248</v>
      </c>
      <c r="E152" s="97">
        <f t="shared" si="20"/>
        <v>400248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102249090</v>
      </c>
      <c r="D153" s="103">
        <f>SUM(D142:D152)</f>
        <v>106395363</v>
      </c>
      <c r="E153" s="103">
        <f t="shared" si="20"/>
        <v>4146273</v>
      </c>
      <c r="F153" s="104">
        <f t="shared" si="21"/>
        <v>4.0550708079651367E-2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3598350</v>
      </c>
      <c r="D155" s="97">
        <v>3433316</v>
      </c>
      <c r="E155" s="97">
        <f t="shared" ref="E155:E166" si="22">D155-C155</f>
        <v>-165034</v>
      </c>
      <c r="F155" s="98">
        <f t="shared" ref="F155:F166" si="23">IF(C155=0,0,E155/C155)</f>
        <v>-4.5863798685508633E-2</v>
      </c>
    </row>
    <row r="156" spans="1:6" ht="18" customHeight="1" x14ac:dyDescent="0.25">
      <c r="A156" s="99">
        <v>2</v>
      </c>
      <c r="B156" s="100" t="s">
        <v>113</v>
      </c>
      <c r="C156" s="97">
        <v>292886</v>
      </c>
      <c r="D156" s="97">
        <v>367320</v>
      </c>
      <c r="E156" s="97">
        <f t="shared" si="22"/>
        <v>74434</v>
      </c>
      <c r="F156" s="98">
        <f t="shared" si="23"/>
        <v>0.25413983597713785</v>
      </c>
    </row>
    <row r="157" spans="1:6" ht="18" customHeight="1" x14ac:dyDescent="0.25">
      <c r="A157" s="99">
        <v>3</v>
      </c>
      <c r="B157" s="100" t="s">
        <v>114</v>
      </c>
      <c r="C157" s="97">
        <v>1301767</v>
      </c>
      <c r="D157" s="97">
        <v>1135002</v>
      </c>
      <c r="E157" s="97">
        <f t="shared" si="22"/>
        <v>-166765</v>
      </c>
      <c r="F157" s="98">
        <f t="shared" si="23"/>
        <v>-0.12810664274021388</v>
      </c>
    </row>
    <row r="158" spans="1:6" ht="18" customHeight="1" x14ac:dyDescent="0.25">
      <c r="A158" s="99">
        <v>4</v>
      </c>
      <c r="B158" s="100" t="s">
        <v>115</v>
      </c>
      <c r="C158" s="97">
        <v>2870842</v>
      </c>
      <c r="D158" s="97">
        <v>3194679</v>
      </c>
      <c r="E158" s="97">
        <f t="shared" si="22"/>
        <v>323837</v>
      </c>
      <c r="F158" s="98">
        <f t="shared" si="23"/>
        <v>0.11280209778176577</v>
      </c>
    </row>
    <row r="159" spans="1:6" ht="18" customHeight="1" x14ac:dyDescent="0.25">
      <c r="A159" s="99">
        <v>5</v>
      </c>
      <c r="B159" s="100" t="s">
        <v>116</v>
      </c>
      <c r="C159" s="97">
        <v>37265</v>
      </c>
      <c r="D159" s="97">
        <v>61582</v>
      </c>
      <c r="E159" s="97">
        <f t="shared" si="22"/>
        <v>24317</v>
      </c>
      <c r="F159" s="98">
        <f t="shared" si="23"/>
        <v>0.65254260029518318</v>
      </c>
    </row>
    <row r="160" spans="1:6" ht="18" customHeight="1" x14ac:dyDescent="0.25">
      <c r="A160" s="99">
        <v>6</v>
      </c>
      <c r="B160" s="100" t="s">
        <v>117</v>
      </c>
      <c r="C160" s="97">
        <v>19150902</v>
      </c>
      <c r="D160" s="97">
        <v>17940367</v>
      </c>
      <c r="E160" s="97">
        <f t="shared" si="22"/>
        <v>-1210535</v>
      </c>
      <c r="F160" s="98">
        <f t="shared" si="23"/>
        <v>-6.3210338604416647E-2</v>
      </c>
    </row>
    <row r="161" spans="1:6" ht="18" customHeight="1" x14ac:dyDescent="0.25">
      <c r="A161" s="99">
        <v>7</v>
      </c>
      <c r="B161" s="100" t="s">
        <v>118</v>
      </c>
      <c r="C161" s="97">
        <v>12719217</v>
      </c>
      <c r="D161" s="97">
        <v>13409703</v>
      </c>
      <c r="E161" s="97">
        <f t="shared" si="22"/>
        <v>690486</v>
      </c>
      <c r="F161" s="98">
        <f t="shared" si="23"/>
        <v>5.4286832279062461E-2</v>
      </c>
    </row>
    <row r="162" spans="1:6" ht="18" customHeight="1" x14ac:dyDescent="0.25">
      <c r="A162" s="99">
        <v>8</v>
      </c>
      <c r="B162" s="100" t="s">
        <v>119</v>
      </c>
      <c r="C162" s="97">
        <v>1306954</v>
      </c>
      <c r="D162" s="97">
        <v>1303410</v>
      </c>
      <c r="E162" s="97">
        <f t="shared" si="22"/>
        <v>-3544</v>
      </c>
      <c r="F162" s="98">
        <f t="shared" si="23"/>
        <v>-2.7116486119633898E-3</v>
      </c>
    </row>
    <row r="163" spans="1:6" ht="18" customHeight="1" x14ac:dyDescent="0.25">
      <c r="A163" s="99">
        <v>9</v>
      </c>
      <c r="B163" s="100" t="s">
        <v>120</v>
      </c>
      <c r="C163" s="97">
        <v>2392099</v>
      </c>
      <c r="D163" s="97">
        <v>1587314</v>
      </c>
      <c r="E163" s="97">
        <f t="shared" si="22"/>
        <v>-804785</v>
      </c>
      <c r="F163" s="98">
        <f t="shared" si="23"/>
        <v>-0.33643465425134994</v>
      </c>
    </row>
    <row r="164" spans="1:6" ht="18" customHeight="1" x14ac:dyDescent="0.25">
      <c r="A164" s="99">
        <v>10</v>
      </c>
      <c r="B164" s="100" t="s">
        <v>121</v>
      </c>
      <c r="C164" s="97">
        <v>57913</v>
      </c>
      <c r="D164" s="97">
        <v>222678</v>
      </c>
      <c r="E164" s="97">
        <f t="shared" si="22"/>
        <v>164765</v>
      </c>
      <c r="F164" s="98">
        <f t="shared" si="23"/>
        <v>2.84504342720978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84086</v>
      </c>
      <c r="E165" s="97">
        <f t="shared" si="22"/>
        <v>84086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43728195</v>
      </c>
      <c r="D166" s="103">
        <f>SUM(D155:D165)</f>
        <v>42739457</v>
      </c>
      <c r="E166" s="103">
        <f t="shared" si="22"/>
        <v>-988738</v>
      </c>
      <c r="F166" s="104">
        <f t="shared" si="23"/>
        <v>-2.2610995034210764E-2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7762</v>
      </c>
      <c r="D168" s="117">
        <v>7754</v>
      </c>
      <c r="E168" s="117">
        <f t="shared" ref="E168:E179" si="24">D168-C168</f>
        <v>-8</v>
      </c>
      <c r="F168" s="98">
        <f t="shared" ref="F168:F179" si="25">IF(C168=0,0,E168/C168)</f>
        <v>-1.030662200463798E-3</v>
      </c>
    </row>
    <row r="169" spans="1:6" ht="18" customHeight="1" x14ac:dyDescent="0.25">
      <c r="A169" s="99">
        <v>2</v>
      </c>
      <c r="B169" s="100" t="s">
        <v>113</v>
      </c>
      <c r="C169" s="117">
        <v>548</v>
      </c>
      <c r="D169" s="117">
        <v>605</v>
      </c>
      <c r="E169" s="117">
        <f t="shared" si="24"/>
        <v>57</v>
      </c>
      <c r="F169" s="98">
        <f t="shared" si="25"/>
        <v>0.10401459854014598</v>
      </c>
    </row>
    <row r="170" spans="1:6" ht="18" customHeight="1" x14ac:dyDescent="0.25">
      <c r="A170" s="99">
        <v>3</v>
      </c>
      <c r="B170" s="100" t="s">
        <v>114</v>
      </c>
      <c r="C170" s="117">
        <v>2340</v>
      </c>
      <c r="D170" s="117">
        <v>3770</v>
      </c>
      <c r="E170" s="117">
        <f t="shared" si="24"/>
        <v>1430</v>
      </c>
      <c r="F170" s="98">
        <f t="shared" si="25"/>
        <v>0.61111111111111116</v>
      </c>
    </row>
    <row r="171" spans="1:6" ht="18" customHeight="1" x14ac:dyDescent="0.25">
      <c r="A171" s="99">
        <v>4</v>
      </c>
      <c r="B171" s="100" t="s">
        <v>115</v>
      </c>
      <c r="C171" s="117">
        <v>9421</v>
      </c>
      <c r="D171" s="117">
        <v>11386</v>
      </c>
      <c r="E171" s="117">
        <f t="shared" si="24"/>
        <v>1965</v>
      </c>
      <c r="F171" s="98">
        <f t="shared" si="25"/>
        <v>0.20857658422672753</v>
      </c>
    </row>
    <row r="172" spans="1:6" ht="18" customHeight="1" x14ac:dyDescent="0.25">
      <c r="A172" s="99">
        <v>5</v>
      </c>
      <c r="B172" s="100" t="s">
        <v>116</v>
      </c>
      <c r="C172" s="117">
        <v>149</v>
      </c>
      <c r="D172" s="117">
        <v>156</v>
      </c>
      <c r="E172" s="117">
        <f t="shared" si="24"/>
        <v>7</v>
      </c>
      <c r="F172" s="98">
        <f t="shared" si="25"/>
        <v>4.6979865771812082E-2</v>
      </c>
    </row>
    <row r="173" spans="1:6" ht="18" customHeight="1" x14ac:dyDescent="0.25">
      <c r="A173" s="99">
        <v>6</v>
      </c>
      <c r="B173" s="100" t="s">
        <v>117</v>
      </c>
      <c r="C173" s="117">
        <v>14600</v>
      </c>
      <c r="D173" s="117">
        <v>13461</v>
      </c>
      <c r="E173" s="117">
        <f t="shared" si="24"/>
        <v>-1139</v>
      </c>
      <c r="F173" s="98">
        <f t="shared" si="25"/>
        <v>-7.8013698630136991E-2</v>
      </c>
    </row>
    <row r="174" spans="1:6" ht="18" customHeight="1" x14ac:dyDescent="0.25">
      <c r="A174" s="99">
        <v>7</v>
      </c>
      <c r="B174" s="100" t="s">
        <v>118</v>
      </c>
      <c r="C174" s="117">
        <v>10668</v>
      </c>
      <c r="D174" s="117">
        <v>10231</v>
      </c>
      <c r="E174" s="117">
        <f t="shared" si="24"/>
        <v>-437</v>
      </c>
      <c r="F174" s="98">
        <f t="shared" si="25"/>
        <v>-4.096362954630671E-2</v>
      </c>
    </row>
    <row r="175" spans="1:6" ht="18" customHeight="1" x14ac:dyDescent="0.25">
      <c r="A175" s="99">
        <v>8</v>
      </c>
      <c r="B175" s="100" t="s">
        <v>119</v>
      </c>
      <c r="C175" s="117">
        <v>1260</v>
      </c>
      <c r="D175" s="117">
        <v>1256</v>
      </c>
      <c r="E175" s="117">
        <f t="shared" si="24"/>
        <v>-4</v>
      </c>
      <c r="F175" s="98">
        <f t="shared" si="25"/>
        <v>-3.1746031746031746E-3</v>
      </c>
    </row>
    <row r="176" spans="1:6" ht="18" customHeight="1" x14ac:dyDescent="0.25">
      <c r="A176" s="99">
        <v>9</v>
      </c>
      <c r="B176" s="100" t="s">
        <v>120</v>
      </c>
      <c r="C176" s="117">
        <v>6064</v>
      </c>
      <c r="D176" s="117">
        <v>5785</v>
      </c>
      <c r="E176" s="117">
        <f t="shared" si="24"/>
        <v>-279</v>
      </c>
      <c r="F176" s="98">
        <f t="shared" si="25"/>
        <v>-4.6009234828496046E-2</v>
      </c>
    </row>
    <row r="177" spans="1:6" ht="18" customHeight="1" x14ac:dyDescent="0.25">
      <c r="A177" s="99">
        <v>10</v>
      </c>
      <c r="B177" s="100" t="s">
        <v>121</v>
      </c>
      <c r="C177" s="117">
        <v>2885</v>
      </c>
      <c r="D177" s="117">
        <v>1449</v>
      </c>
      <c r="E177" s="117">
        <f t="shared" si="24"/>
        <v>-1436</v>
      </c>
      <c r="F177" s="98">
        <f t="shared" si="25"/>
        <v>-0.4977469670710572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283</v>
      </c>
      <c r="E178" s="117">
        <f t="shared" si="24"/>
        <v>283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55697</v>
      </c>
      <c r="D179" s="118">
        <f>SUM(D168:D178)</f>
        <v>56136</v>
      </c>
      <c r="E179" s="118">
        <f t="shared" si="24"/>
        <v>439</v>
      </c>
      <c r="F179" s="104">
        <f t="shared" si="25"/>
        <v>7.8819325996014149E-3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4" fitToHeight="0" orientation="portrait" r:id="rId1"/>
  <headerFooter>
    <oddHeader>&amp;LOFFICE OF HEALTH CARE ACCESS&amp;CTWELVE MONTHS ACTUAL FILING&amp;RDANBURY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52331167</v>
      </c>
      <c r="D15" s="146">
        <v>54797841</v>
      </c>
      <c r="E15" s="146">
        <f>+D15-C15</f>
        <v>2466674</v>
      </c>
      <c r="F15" s="150">
        <f>IF(C15=0,0,E15/C15)</f>
        <v>4.7135849273149212E-2</v>
      </c>
    </row>
    <row r="16" spans="1:7" ht="15" customHeight="1" x14ac:dyDescent="0.2">
      <c r="A16" s="141">
        <v>2</v>
      </c>
      <c r="B16" s="149" t="s">
        <v>158</v>
      </c>
      <c r="C16" s="146">
        <v>5994805</v>
      </c>
      <c r="D16" s="146">
        <v>6365059</v>
      </c>
      <c r="E16" s="146">
        <f>+D16-C16</f>
        <v>370254</v>
      </c>
      <c r="F16" s="150">
        <f>IF(C16=0,0,E16/C16)</f>
        <v>6.1762476010479073E-2</v>
      </c>
    </row>
    <row r="17" spans="1:7" ht="15" customHeight="1" x14ac:dyDescent="0.2">
      <c r="A17" s="141">
        <v>3</v>
      </c>
      <c r="B17" s="149" t="s">
        <v>159</v>
      </c>
      <c r="C17" s="146">
        <v>123640954</v>
      </c>
      <c r="D17" s="146">
        <v>125010388</v>
      </c>
      <c r="E17" s="146">
        <f>+D17-C17</f>
        <v>1369434</v>
      </c>
      <c r="F17" s="150">
        <f>IF(C17=0,0,E17/C17)</f>
        <v>1.1075893186653994E-2</v>
      </c>
    </row>
    <row r="18" spans="1:7" ht="15.75" customHeight="1" x14ac:dyDescent="0.25">
      <c r="A18" s="141"/>
      <c r="B18" s="151" t="s">
        <v>160</v>
      </c>
      <c r="C18" s="147">
        <f>SUM(C15:C17)</f>
        <v>181966926</v>
      </c>
      <c r="D18" s="147">
        <f>SUM(D15:D17)</f>
        <v>186173288</v>
      </c>
      <c r="E18" s="147">
        <f>+D18-C18</f>
        <v>4206362</v>
      </c>
      <c r="F18" s="148">
        <f>IF(C18=0,0,E18/C18)</f>
        <v>2.3116079896848947E-2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14967226</v>
      </c>
      <c r="D21" s="146">
        <v>18746472</v>
      </c>
      <c r="E21" s="146">
        <f>+D21-C21</f>
        <v>3779246</v>
      </c>
      <c r="F21" s="150">
        <f>IF(C21=0,0,E21/C21)</f>
        <v>0.25250143212910664</v>
      </c>
    </row>
    <row r="22" spans="1:7" ht="15" customHeight="1" x14ac:dyDescent="0.2">
      <c r="A22" s="141">
        <v>2</v>
      </c>
      <c r="B22" s="149" t="s">
        <v>163</v>
      </c>
      <c r="C22" s="146">
        <v>1714573</v>
      </c>
      <c r="D22" s="146">
        <v>2177502</v>
      </c>
      <c r="E22" s="146">
        <f>+D22-C22</f>
        <v>462929</v>
      </c>
      <c r="F22" s="150">
        <f>IF(C22=0,0,E22/C22)</f>
        <v>0.26999666972476527</v>
      </c>
    </row>
    <row r="23" spans="1:7" ht="15" customHeight="1" x14ac:dyDescent="0.2">
      <c r="A23" s="141">
        <v>3</v>
      </c>
      <c r="B23" s="149" t="s">
        <v>164</v>
      </c>
      <c r="C23" s="146">
        <v>35362523</v>
      </c>
      <c r="D23" s="146">
        <v>42766350</v>
      </c>
      <c r="E23" s="146">
        <f>+D23-C23</f>
        <v>7403827</v>
      </c>
      <c r="F23" s="150">
        <f>IF(C23=0,0,E23/C23)</f>
        <v>0.20936930885842053</v>
      </c>
    </row>
    <row r="24" spans="1:7" ht="15.75" customHeight="1" x14ac:dyDescent="0.25">
      <c r="A24" s="141"/>
      <c r="B24" s="151" t="s">
        <v>165</v>
      </c>
      <c r="C24" s="147">
        <f>SUM(C21:C23)</f>
        <v>52044322</v>
      </c>
      <c r="D24" s="147">
        <f>SUM(D21:D23)</f>
        <v>63690324</v>
      </c>
      <c r="E24" s="147">
        <f>+D24-C24</f>
        <v>11646002</v>
      </c>
      <c r="F24" s="148">
        <f>IF(C24=0,0,E24/C24)</f>
        <v>0.2237708467025471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277783</v>
      </c>
      <c r="D27" s="146">
        <v>149029</v>
      </c>
      <c r="E27" s="146">
        <f>+D27-C27</f>
        <v>-128754</v>
      </c>
      <c r="F27" s="150">
        <f>IF(C27=0,0,E27/C27)</f>
        <v>-0.46350568609310144</v>
      </c>
    </row>
    <row r="28" spans="1:7" ht="15" customHeight="1" x14ac:dyDescent="0.2">
      <c r="A28" s="141">
        <v>2</v>
      </c>
      <c r="B28" s="149" t="s">
        <v>168</v>
      </c>
      <c r="C28" s="146">
        <v>38638408</v>
      </c>
      <c r="D28" s="146">
        <v>41098443</v>
      </c>
      <c r="E28" s="146">
        <f>+D28-C28</f>
        <v>2460035</v>
      </c>
      <c r="F28" s="150">
        <f>IF(C28=0,0,E28/C28)</f>
        <v>6.36681252498809E-2</v>
      </c>
    </row>
    <row r="29" spans="1:7" ht="15" customHeight="1" x14ac:dyDescent="0.2">
      <c r="A29" s="141">
        <v>3</v>
      </c>
      <c r="B29" s="149" t="s">
        <v>169</v>
      </c>
      <c r="C29" s="146">
        <v>418269</v>
      </c>
      <c r="D29" s="146">
        <v>329219</v>
      </c>
      <c r="E29" s="146">
        <f>+D29-C29</f>
        <v>-89050</v>
      </c>
      <c r="F29" s="150">
        <f>IF(C29=0,0,E29/C29)</f>
        <v>-0.2129012668880553</v>
      </c>
    </row>
    <row r="30" spans="1:7" ht="15.75" customHeight="1" x14ac:dyDescent="0.25">
      <c r="A30" s="141"/>
      <c r="B30" s="151" t="s">
        <v>170</v>
      </c>
      <c r="C30" s="147">
        <f>SUM(C27:C29)</f>
        <v>39334460</v>
      </c>
      <c r="D30" s="147">
        <f>SUM(D27:D29)</f>
        <v>41576691</v>
      </c>
      <c r="E30" s="147">
        <f>+D30-C30</f>
        <v>2242231</v>
      </c>
      <c r="F30" s="148">
        <f>IF(C30=0,0,E30/C30)</f>
        <v>5.7004240048039299E-2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45038934</v>
      </c>
      <c r="D33" s="146">
        <v>47533352</v>
      </c>
      <c r="E33" s="146">
        <f>+D33-C33</f>
        <v>2494418</v>
      </c>
      <c r="F33" s="150">
        <f>IF(C33=0,0,E33/C33)</f>
        <v>5.5383593226251755E-2</v>
      </c>
    </row>
    <row r="34" spans="1:7" ht="15" customHeight="1" x14ac:dyDescent="0.2">
      <c r="A34" s="141">
        <v>2</v>
      </c>
      <c r="B34" s="149" t="s">
        <v>174</v>
      </c>
      <c r="C34" s="146">
        <v>17484621</v>
      </c>
      <c r="D34" s="146">
        <v>18702345</v>
      </c>
      <c r="E34" s="146">
        <f>+D34-C34</f>
        <v>1217724</v>
      </c>
      <c r="F34" s="150">
        <f>IF(C34=0,0,E34/C34)</f>
        <v>6.9645432977929578E-2</v>
      </c>
    </row>
    <row r="35" spans="1:7" ht="15.75" customHeight="1" x14ac:dyDescent="0.25">
      <c r="A35" s="141"/>
      <c r="B35" s="151" t="s">
        <v>175</v>
      </c>
      <c r="C35" s="147">
        <f>SUM(C33:C34)</f>
        <v>62523555</v>
      </c>
      <c r="D35" s="147">
        <f>SUM(D33:D34)</f>
        <v>66235697</v>
      </c>
      <c r="E35" s="147">
        <f>+D35-C35</f>
        <v>3712142</v>
      </c>
      <c r="F35" s="148">
        <f>IF(C35=0,0,E35/C35)</f>
        <v>5.9371895919865719E-2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8341864</v>
      </c>
      <c r="D38" s="146">
        <v>8578495</v>
      </c>
      <c r="E38" s="146">
        <f>+D38-C38</f>
        <v>236631</v>
      </c>
      <c r="F38" s="150">
        <f>IF(C38=0,0,E38/C38)</f>
        <v>2.8366681595384437E-2</v>
      </c>
    </row>
    <row r="39" spans="1:7" ht="15" customHeight="1" x14ac:dyDescent="0.2">
      <c r="A39" s="141">
        <v>2</v>
      </c>
      <c r="B39" s="149" t="s">
        <v>179</v>
      </c>
      <c r="C39" s="146">
        <v>14691042</v>
      </c>
      <c r="D39" s="146">
        <v>17038115</v>
      </c>
      <c r="E39" s="146">
        <f>+D39-C39</f>
        <v>2347073</v>
      </c>
      <c r="F39" s="150">
        <f>IF(C39=0,0,E39/C39)</f>
        <v>0.1597621870524909</v>
      </c>
    </row>
    <row r="40" spans="1:7" ht="15" customHeight="1" x14ac:dyDescent="0.2">
      <c r="A40" s="141">
        <v>3</v>
      </c>
      <c r="B40" s="149" t="s">
        <v>180</v>
      </c>
      <c r="C40" s="146">
        <v>92718</v>
      </c>
      <c r="D40" s="146">
        <v>87325</v>
      </c>
      <c r="E40" s="146">
        <f>+D40-C40</f>
        <v>-5393</v>
      </c>
      <c r="F40" s="150">
        <f>IF(C40=0,0,E40/C40)</f>
        <v>-5.8165620483616988E-2</v>
      </c>
    </row>
    <row r="41" spans="1:7" ht="15.75" customHeight="1" x14ac:dyDescent="0.25">
      <c r="A41" s="141"/>
      <c r="B41" s="151" t="s">
        <v>181</v>
      </c>
      <c r="C41" s="147">
        <f>SUM(C38:C40)</f>
        <v>23125624</v>
      </c>
      <c r="D41" s="147">
        <f>SUM(D38:D40)</f>
        <v>25703935</v>
      </c>
      <c r="E41" s="147">
        <f>+D41-C41</f>
        <v>2578311</v>
      </c>
      <c r="F41" s="148">
        <f>IF(C41=0,0,E41/C41)</f>
        <v>0.11149152126662615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16695481</v>
      </c>
      <c r="D44" s="146">
        <v>10687109</v>
      </c>
      <c r="E44" s="146">
        <f>+D44-C44</f>
        <v>-6008372</v>
      </c>
      <c r="F44" s="150">
        <f>IF(C44=0,0,E44/C44)</f>
        <v>-0.35988013762526516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4667920</v>
      </c>
      <c r="D47" s="146">
        <v>4557278</v>
      </c>
      <c r="E47" s="146">
        <f>+D47-C47</f>
        <v>-110642</v>
      </c>
      <c r="F47" s="150">
        <f>IF(C47=0,0,E47/C47)</f>
        <v>-2.3702634149685514E-2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5917298</v>
      </c>
      <c r="D50" s="146">
        <v>6692376</v>
      </c>
      <c r="E50" s="146">
        <f>+D50-C50</f>
        <v>775078</v>
      </c>
      <c r="F50" s="150">
        <f>IF(C50=0,0,E50/C50)</f>
        <v>0.13098512192558157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436066</v>
      </c>
      <c r="D53" s="146">
        <v>422892</v>
      </c>
      <c r="E53" s="146">
        <f t="shared" ref="E53:E59" si="0">+D53-C53</f>
        <v>-13174</v>
      </c>
      <c r="F53" s="150">
        <f t="shared" ref="F53:F59" si="1">IF(C53=0,0,E53/C53)</f>
        <v>-3.0211023102007493E-2</v>
      </c>
    </row>
    <row r="54" spans="1:7" ht="15" customHeight="1" x14ac:dyDescent="0.2">
      <c r="A54" s="141">
        <v>2</v>
      </c>
      <c r="B54" s="149" t="s">
        <v>193</v>
      </c>
      <c r="C54" s="146">
        <v>93955</v>
      </c>
      <c r="D54" s="146">
        <v>122387</v>
      </c>
      <c r="E54" s="146">
        <f t="shared" si="0"/>
        <v>28432</v>
      </c>
      <c r="F54" s="150">
        <f t="shared" si="1"/>
        <v>0.30261295300941943</v>
      </c>
    </row>
    <row r="55" spans="1:7" ht="15" customHeight="1" x14ac:dyDescent="0.2">
      <c r="A55" s="141">
        <v>3</v>
      </c>
      <c r="B55" s="149" t="s">
        <v>194</v>
      </c>
      <c r="C55" s="146">
        <v>1627169</v>
      </c>
      <c r="D55" s="146">
        <v>1258752</v>
      </c>
      <c r="E55" s="146">
        <f t="shared" si="0"/>
        <v>-368417</v>
      </c>
      <c r="F55" s="150">
        <f t="shared" si="1"/>
        <v>-0.22641594081499833</v>
      </c>
    </row>
    <row r="56" spans="1:7" ht="15" customHeight="1" x14ac:dyDescent="0.2">
      <c r="A56" s="141">
        <v>4</v>
      </c>
      <c r="B56" s="149" t="s">
        <v>195</v>
      </c>
      <c r="C56" s="146">
        <v>3910615</v>
      </c>
      <c r="D56" s="146">
        <v>4091028</v>
      </c>
      <c r="E56" s="146">
        <f t="shared" si="0"/>
        <v>180413</v>
      </c>
      <c r="F56" s="150">
        <f t="shared" si="1"/>
        <v>4.6134175826564365E-2</v>
      </c>
    </row>
    <row r="57" spans="1:7" ht="15" customHeight="1" x14ac:dyDescent="0.2">
      <c r="A57" s="141">
        <v>5</v>
      </c>
      <c r="B57" s="149" t="s">
        <v>196</v>
      </c>
      <c r="C57" s="146">
        <v>829381</v>
      </c>
      <c r="D57" s="146">
        <v>612790</v>
      </c>
      <c r="E57" s="146">
        <f t="shared" si="0"/>
        <v>-216591</v>
      </c>
      <c r="F57" s="150">
        <f t="shared" si="1"/>
        <v>-0.26114777165138819</v>
      </c>
    </row>
    <row r="58" spans="1:7" ht="15" customHeight="1" x14ac:dyDescent="0.2">
      <c r="A58" s="141">
        <v>6</v>
      </c>
      <c r="B58" s="149" t="s">
        <v>197</v>
      </c>
      <c r="C58" s="146">
        <v>17561</v>
      </c>
      <c r="D58" s="146">
        <v>19059</v>
      </c>
      <c r="E58" s="146">
        <f t="shared" si="0"/>
        <v>1498</v>
      </c>
      <c r="F58" s="150">
        <f t="shared" si="1"/>
        <v>8.530265930186208E-2</v>
      </c>
    </row>
    <row r="59" spans="1:7" ht="15.75" customHeight="1" x14ac:dyDescent="0.25">
      <c r="A59" s="141"/>
      <c r="B59" s="151" t="s">
        <v>198</v>
      </c>
      <c r="C59" s="147">
        <f>SUM(C53:C58)</f>
        <v>6914747</v>
      </c>
      <c r="D59" s="147">
        <f>SUM(D53:D58)</f>
        <v>6526908</v>
      </c>
      <c r="E59" s="147">
        <f t="shared" si="0"/>
        <v>-387839</v>
      </c>
      <c r="F59" s="148">
        <f t="shared" si="1"/>
        <v>-5.6088675406345309E-2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472468</v>
      </c>
      <c r="D62" s="146">
        <v>347637</v>
      </c>
      <c r="E62" s="146">
        <f t="shared" ref="E62:E78" si="2">+D62-C62</f>
        <v>-124831</v>
      </c>
      <c r="F62" s="150">
        <f t="shared" ref="F62:F78" si="3">IF(C62=0,0,E62/C62)</f>
        <v>-0.26421048621282289</v>
      </c>
    </row>
    <row r="63" spans="1:7" ht="15" customHeight="1" x14ac:dyDescent="0.2">
      <c r="A63" s="141">
        <v>2</v>
      </c>
      <c r="B63" s="149" t="s">
        <v>202</v>
      </c>
      <c r="C63" s="146">
        <v>889278</v>
      </c>
      <c r="D63" s="146">
        <v>1054189</v>
      </c>
      <c r="E63" s="146">
        <f t="shared" si="2"/>
        <v>164911</v>
      </c>
      <c r="F63" s="150">
        <f t="shared" si="3"/>
        <v>0.18544369702162877</v>
      </c>
    </row>
    <row r="64" spans="1:7" ht="15" customHeight="1" x14ac:dyDescent="0.2">
      <c r="A64" s="141">
        <v>3</v>
      </c>
      <c r="B64" s="149" t="s">
        <v>203</v>
      </c>
      <c r="C64" s="146">
        <v>3125847</v>
      </c>
      <c r="D64" s="146">
        <v>2511112</v>
      </c>
      <c r="E64" s="146">
        <f t="shared" si="2"/>
        <v>-614735</v>
      </c>
      <c r="F64" s="150">
        <f t="shared" si="3"/>
        <v>-0.1966618967595023</v>
      </c>
    </row>
    <row r="65" spans="1:7" ht="15" customHeight="1" x14ac:dyDescent="0.2">
      <c r="A65" s="141">
        <v>4</v>
      </c>
      <c r="B65" s="149" t="s">
        <v>204</v>
      </c>
      <c r="C65" s="146">
        <v>1056563</v>
      </c>
      <c r="D65" s="146">
        <v>1084399</v>
      </c>
      <c r="E65" s="146">
        <f t="shared" si="2"/>
        <v>27836</v>
      </c>
      <c r="F65" s="150">
        <f t="shared" si="3"/>
        <v>2.6345802379981128E-2</v>
      </c>
    </row>
    <row r="66" spans="1:7" ht="15" customHeight="1" x14ac:dyDescent="0.2">
      <c r="A66" s="141">
        <v>5</v>
      </c>
      <c r="B66" s="149" t="s">
        <v>205</v>
      </c>
      <c r="C66" s="146">
        <v>3960777</v>
      </c>
      <c r="D66" s="146">
        <v>4935335</v>
      </c>
      <c r="E66" s="146">
        <f t="shared" si="2"/>
        <v>974558</v>
      </c>
      <c r="F66" s="150">
        <f t="shared" si="3"/>
        <v>0.24605222662119075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7208401</v>
      </c>
      <c r="D68" s="146">
        <v>7535591</v>
      </c>
      <c r="E68" s="146">
        <f t="shared" si="2"/>
        <v>327190</v>
      </c>
      <c r="F68" s="150">
        <f t="shared" si="3"/>
        <v>4.5390094141544012E-2</v>
      </c>
    </row>
    <row r="69" spans="1:7" ht="15" customHeight="1" x14ac:dyDescent="0.2">
      <c r="A69" s="141">
        <v>8</v>
      </c>
      <c r="B69" s="149" t="s">
        <v>208</v>
      </c>
      <c r="C69" s="146">
        <v>667920</v>
      </c>
      <c r="D69" s="146">
        <v>654918</v>
      </c>
      <c r="E69" s="146">
        <f t="shared" si="2"/>
        <v>-13002</v>
      </c>
      <c r="F69" s="150">
        <f t="shared" si="3"/>
        <v>-1.9466403162055335E-2</v>
      </c>
    </row>
    <row r="70" spans="1:7" ht="15" customHeight="1" x14ac:dyDescent="0.2">
      <c r="A70" s="141">
        <v>9</v>
      </c>
      <c r="B70" s="149" t="s">
        <v>209</v>
      </c>
      <c r="C70" s="146">
        <v>421397</v>
      </c>
      <c r="D70" s="146">
        <v>436180</v>
      </c>
      <c r="E70" s="146">
        <f t="shared" si="2"/>
        <v>14783</v>
      </c>
      <c r="F70" s="150">
        <f t="shared" si="3"/>
        <v>3.5080933181773959E-2</v>
      </c>
    </row>
    <row r="71" spans="1:7" ht="15" customHeight="1" x14ac:dyDescent="0.2">
      <c r="A71" s="141">
        <v>10</v>
      </c>
      <c r="B71" s="149" t="s">
        <v>210</v>
      </c>
      <c r="C71" s="146">
        <v>328109</v>
      </c>
      <c r="D71" s="146">
        <v>350159</v>
      </c>
      <c r="E71" s="146">
        <f t="shared" si="2"/>
        <v>22050</v>
      </c>
      <c r="F71" s="150">
        <f t="shared" si="3"/>
        <v>6.7203276959790795E-2</v>
      </c>
    </row>
    <row r="72" spans="1:7" ht="15" customHeight="1" x14ac:dyDescent="0.2">
      <c r="A72" s="141">
        <v>11</v>
      </c>
      <c r="B72" s="149" t="s">
        <v>211</v>
      </c>
      <c r="C72" s="146">
        <v>78688</v>
      </c>
      <c r="D72" s="146">
        <v>95656</v>
      </c>
      <c r="E72" s="146">
        <f t="shared" si="2"/>
        <v>16968</v>
      </c>
      <c r="F72" s="150">
        <f t="shared" si="3"/>
        <v>0.21563643757625051</v>
      </c>
    </row>
    <row r="73" spans="1:7" ht="15" customHeight="1" x14ac:dyDescent="0.2">
      <c r="A73" s="141">
        <v>12</v>
      </c>
      <c r="B73" s="149" t="s">
        <v>212</v>
      </c>
      <c r="C73" s="146">
        <v>9045513</v>
      </c>
      <c r="D73" s="146">
        <v>9219790</v>
      </c>
      <c r="E73" s="146">
        <f t="shared" si="2"/>
        <v>174277</v>
      </c>
      <c r="F73" s="150">
        <f t="shared" si="3"/>
        <v>1.9266679512814806E-2</v>
      </c>
    </row>
    <row r="74" spans="1:7" ht="15" customHeight="1" x14ac:dyDescent="0.2">
      <c r="A74" s="141">
        <v>13</v>
      </c>
      <c r="B74" s="149" t="s">
        <v>213</v>
      </c>
      <c r="C74" s="146">
        <v>324412</v>
      </c>
      <c r="D74" s="146">
        <v>308751</v>
      </c>
      <c r="E74" s="146">
        <f t="shared" si="2"/>
        <v>-15661</v>
      </c>
      <c r="F74" s="150">
        <f t="shared" si="3"/>
        <v>-4.8275032982750328E-2</v>
      </c>
    </row>
    <row r="75" spans="1:7" ht="15" customHeight="1" x14ac:dyDescent="0.2">
      <c r="A75" s="141">
        <v>14</v>
      </c>
      <c r="B75" s="149" t="s">
        <v>214</v>
      </c>
      <c r="C75" s="146">
        <v>903136</v>
      </c>
      <c r="D75" s="146">
        <v>664390</v>
      </c>
      <c r="E75" s="146">
        <f t="shared" si="2"/>
        <v>-238746</v>
      </c>
      <c r="F75" s="150">
        <f t="shared" si="3"/>
        <v>-0.26435221273429471</v>
      </c>
    </row>
    <row r="76" spans="1:7" ht="15" customHeight="1" x14ac:dyDescent="0.2">
      <c r="A76" s="141">
        <v>15</v>
      </c>
      <c r="B76" s="149" t="s">
        <v>215</v>
      </c>
      <c r="C76" s="146">
        <v>833286</v>
      </c>
      <c r="D76" s="146">
        <v>2055845</v>
      </c>
      <c r="E76" s="146">
        <f t="shared" si="2"/>
        <v>1222559</v>
      </c>
      <c r="F76" s="150">
        <f t="shared" si="3"/>
        <v>1.4671541343548313</v>
      </c>
    </row>
    <row r="77" spans="1:7" ht="15" customHeight="1" x14ac:dyDescent="0.2">
      <c r="A77" s="141">
        <v>16</v>
      </c>
      <c r="B77" s="149" t="s">
        <v>216</v>
      </c>
      <c r="C77" s="146">
        <v>20082616</v>
      </c>
      <c r="D77" s="146">
        <v>17217144</v>
      </c>
      <c r="E77" s="146">
        <f t="shared" si="2"/>
        <v>-2865472</v>
      </c>
      <c r="F77" s="150">
        <f t="shared" si="3"/>
        <v>-0.14268420010620131</v>
      </c>
    </row>
    <row r="78" spans="1:7" ht="15.75" customHeight="1" x14ac:dyDescent="0.25">
      <c r="A78" s="141"/>
      <c r="B78" s="151" t="s">
        <v>217</v>
      </c>
      <c r="C78" s="147">
        <f>SUM(C62:C77)</f>
        <v>49398411</v>
      </c>
      <c r="D78" s="147">
        <f>SUM(D62:D77)</f>
        <v>48471096</v>
      </c>
      <c r="E78" s="147">
        <f t="shared" si="2"/>
        <v>-927315</v>
      </c>
      <c r="F78" s="148">
        <f t="shared" si="3"/>
        <v>-1.877216252968137E-2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442588744</v>
      </c>
      <c r="D83" s="147">
        <f>+D81+D78+D59+D50+D47+D44+D41+D35+D30+D24+D18</f>
        <v>460314702</v>
      </c>
      <c r="E83" s="147">
        <f>+D83-C83</f>
        <v>17725958</v>
      </c>
      <c r="F83" s="148">
        <f>IF(C83=0,0,E83/C83)</f>
        <v>4.0050629936490209E-2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40033821</v>
      </c>
      <c r="D91" s="146">
        <v>40304335</v>
      </c>
      <c r="E91" s="146">
        <f t="shared" ref="E91:E109" si="4">D91-C91</f>
        <v>270514</v>
      </c>
      <c r="F91" s="150">
        <f t="shared" ref="F91:F109" si="5">IF(C91=0,0,E91/C91)</f>
        <v>6.7571366720153942E-3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1092875</v>
      </c>
      <c r="D92" s="146">
        <v>1135450</v>
      </c>
      <c r="E92" s="146">
        <f t="shared" si="4"/>
        <v>42575</v>
      </c>
      <c r="F92" s="150">
        <f t="shared" si="5"/>
        <v>3.8956879789545922E-2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5738570</v>
      </c>
      <c r="D93" s="146">
        <v>5543039</v>
      </c>
      <c r="E93" s="146">
        <f t="shared" si="4"/>
        <v>-195531</v>
      </c>
      <c r="F93" s="150">
        <f t="shared" si="5"/>
        <v>-3.4073122746607606E-2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3193211</v>
      </c>
      <c r="D94" s="146">
        <v>2620891</v>
      </c>
      <c r="E94" s="146">
        <f t="shared" si="4"/>
        <v>-572320</v>
      </c>
      <c r="F94" s="150">
        <f t="shared" si="5"/>
        <v>-0.17923024817339037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19523561</v>
      </c>
      <c r="D95" s="146">
        <v>20482758</v>
      </c>
      <c r="E95" s="146">
        <f t="shared" si="4"/>
        <v>959197</v>
      </c>
      <c r="F95" s="150">
        <f t="shared" si="5"/>
        <v>4.9130227830875728E-2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1670305</v>
      </c>
      <c r="D96" s="146">
        <v>1896629</v>
      </c>
      <c r="E96" s="146">
        <f t="shared" si="4"/>
        <v>226324</v>
      </c>
      <c r="F96" s="150">
        <f t="shared" si="5"/>
        <v>0.135498606541919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6067997</v>
      </c>
      <c r="D97" s="146">
        <v>4753357</v>
      </c>
      <c r="E97" s="146">
        <f t="shared" si="4"/>
        <v>-1314640</v>
      </c>
      <c r="F97" s="150">
        <f t="shared" si="5"/>
        <v>-0.21665139254353619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386757</v>
      </c>
      <c r="D98" s="146">
        <v>210132</v>
      </c>
      <c r="E98" s="146">
        <f t="shared" si="4"/>
        <v>-176625</v>
      </c>
      <c r="F98" s="150">
        <f t="shared" si="5"/>
        <v>-0.45668210271565868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1299825</v>
      </c>
      <c r="D99" s="146">
        <v>1334268</v>
      </c>
      <c r="E99" s="146">
        <f t="shared" si="4"/>
        <v>34443</v>
      </c>
      <c r="F99" s="150">
        <f t="shared" si="5"/>
        <v>2.6498182447637183E-2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6465466</v>
      </c>
      <c r="D100" s="146">
        <v>6879656</v>
      </c>
      <c r="E100" s="146">
        <f t="shared" si="4"/>
        <v>414190</v>
      </c>
      <c r="F100" s="150">
        <f t="shared" si="5"/>
        <v>6.4061894378533588E-2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6293663</v>
      </c>
      <c r="D101" s="146">
        <v>6739059</v>
      </c>
      <c r="E101" s="146">
        <f t="shared" si="4"/>
        <v>445396</v>
      </c>
      <c r="F101" s="150">
        <f t="shared" si="5"/>
        <v>7.0768962367384461E-2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0</v>
      </c>
      <c r="D102" s="146">
        <v>0</v>
      </c>
      <c r="E102" s="146">
        <f t="shared" si="4"/>
        <v>0</v>
      </c>
      <c r="F102" s="150">
        <f t="shared" si="5"/>
        <v>0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9821542</v>
      </c>
      <c r="D103" s="146">
        <v>9351485</v>
      </c>
      <c r="E103" s="146">
        <f t="shared" si="4"/>
        <v>-470057</v>
      </c>
      <c r="F103" s="150">
        <f t="shared" si="5"/>
        <v>-4.7859796353770113E-2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4662004</v>
      </c>
      <c r="D104" s="146">
        <v>5632010</v>
      </c>
      <c r="E104" s="146">
        <f t="shared" si="4"/>
        <v>970006</v>
      </c>
      <c r="F104" s="150">
        <f t="shared" si="5"/>
        <v>0.20806631654541696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1901427</v>
      </c>
      <c r="D105" s="146">
        <v>2148942</v>
      </c>
      <c r="E105" s="146">
        <f t="shared" si="4"/>
        <v>247515</v>
      </c>
      <c r="F105" s="150">
        <f t="shared" si="5"/>
        <v>0.13017328564283562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2329072</v>
      </c>
      <c r="D106" s="146">
        <v>2727066</v>
      </c>
      <c r="E106" s="146">
        <f t="shared" si="4"/>
        <v>397994</v>
      </c>
      <c r="F106" s="150">
        <f t="shared" si="5"/>
        <v>0.17088093455247411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12206540</v>
      </c>
      <c r="D107" s="146">
        <v>12227252</v>
      </c>
      <c r="E107" s="146">
        <f t="shared" si="4"/>
        <v>20712</v>
      </c>
      <c r="F107" s="150">
        <f t="shared" si="5"/>
        <v>1.6967953244736019E-3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227529</v>
      </c>
      <c r="D108" s="146">
        <v>140721</v>
      </c>
      <c r="E108" s="146">
        <f t="shared" si="4"/>
        <v>-86808</v>
      </c>
      <c r="F108" s="150">
        <f t="shared" si="5"/>
        <v>-0.38152499241854887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122914165</v>
      </c>
      <c r="D109" s="147">
        <f>SUM(D91:D108)</f>
        <v>124127050</v>
      </c>
      <c r="E109" s="147">
        <f t="shared" si="4"/>
        <v>1212885</v>
      </c>
      <c r="F109" s="148">
        <f t="shared" si="5"/>
        <v>9.8677398166435899E-3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0</v>
      </c>
      <c r="D112" s="146">
        <v>0</v>
      </c>
      <c r="E112" s="146">
        <f t="shared" ref="E112:E118" si="6">D112-C112</f>
        <v>0</v>
      </c>
      <c r="F112" s="150">
        <f t="shared" ref="F112:F118" si="7">IF(C112=0,0,E112/C112)</f>
        <v>0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7821644</v>
      </c>
      <c r="D113" s="146">
        <v>11328813</v>
      </c>
      <c r="E113" s="146">
        <f t="shared" si="6"/>
        <v>3507169</v>
      </c>
      <c r="F113" s="150">
        <f t="shared" si="7"/>
        <v>0.4483928186964275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7013862</v>
      </c>
      <c r="D114" s="146">
        <v>7521020</v>
      </c>
      <c r="E114" s="146">
        <f t="shared" si="6"/>
        <v>507158</v>
      </c>
      <c r="F114" s="150">
        <f t="shared" si="7"/>
        <v>7.2307952451873159E-2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3897308</v>
      </c>
      <c r="D115" s="146">
        <v>3762369</v>
      </c>
      <c r="E115" s="146">
        <f t="shared" si="6"/>
        <v>-134939</v>
      </c>
      <c r="F115" s="150">
        <f t="shared" si="7"/>
        <v>-3.4623642781119686E-2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3868175</v>
      </c>
      <c r="D116" s="146">
        <v>4049389</v>
      </c>
      <c r="E116" s="146">
        <f t="shared" si="6"/>
        <v>181214</v>
      </c>
      <c r="F116" s="150">
        <f t="shared" si="7"/>
        <v>4.6847415124703508E-2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526209</v>
      </c>
      <c r="D117" s="146">
        <v>354105</v>
      </c>
      <c r="E117" s="146">
        <f t="shared" si="6"/>
        <v>-172104</v>
      </c>
      <c r="F117" s="150">
        <f t="shared" si="7"/>
        <v>-0.32706396127774323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23127198</v>
      </c>
      <c r="D118" s="147">
        <f>SUM(D112:D117)</f>
        <v>27015696</v>
      </c>
      <c r="E118" s="147">
        <f t="shared" si="6"/>
        <v>3888498</v>
      </c>
      <c r="F118" s="148">
        <f t="shared" si="7"/>
        <v>0.16813528383334636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38213169</v>
      </c>
      <c r="D121" s="146">
        <v>40450846</v>
      </c>
      <c r="E121" s="146">
        <f t="shared" ref="E121:E155" si="8">D121-C121</f>
        <v>2237677</v>
      </c>
      <c r="F121" s="150">
        <f t="shared" ref="F121:F155" si="9">IF(C121=0,0,E121/C121)</f>
        <v>5.8557744844454016E-2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3624615</v>
      </c>
      <c r="D122" s="146">
        <v>3914324</v>
      </c>
      <c r="E122" s="146">
        <f t="shared" si="8"/>
        <v>289709</v>
      </c>
      <c r="F122" s="150">
        <f t="shared" si="9"/>
        <v>7.9928213065387638E-2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2881136</v>
      </c>
      <c r="D123" s="146">
        <v>2911150</v>
      </c>
      <c r="E123" s="146">
        <f t="shared" si="8"/>
        <v>30014</v>
      </c>
      <c r="F123" s="150">
        <f t="shared" si="9"/>
        <v>1.0417418684852086E-2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4763886</v>
      </c>
      <c r="D124" s="146">
        <v>5008238</v>
      </c>
      <c r="E124" s="146">
        <f t="shared" si="8"/>
        <v>244352</v>
      </c>
      <c r="F124" s="150">
        <f t="shared" si="9"/>
        <v>5.12925792094941E-2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9070248</v>
      </c>
      <c r="D125" s="146">
        <v>9763083</v>
      </c>
      <c r="E125" s="146">
        <f t="shared" si="8"/>
        <v>692835</v>
      </c>
      <c r="F125" s="150">
        <f t="shared" si="9"/>
        <v>7.6385452746165261E-2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1566868</v>
      </c>
      <c r="D126" s="146">
        <v>2514561</v>
      </c>
      <c r="E126" s="146">
        <f t="shared" si="8"/>
        <v>947693</v>
      </c>
      <c r="F126" s="150">
        <f t="shared" si="9"/>
        <v>0.60483269809581919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4403332</v>
      </c>
      <c r="D127" s="146">
        <v>4232625</v>
      </c>
      <c r="E127" s="146">
        <f t="shared" si="8"/>
        <v>-170707</v>
      </c>
      <c r="F127" s="150">
        <f t="shared" si="9"/>
        <v>-3.8767687741919077E-2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2365112</v>
      </c>
      <c r="D128" s="146">
        <v>2457569</v>
      </c>
      <c r="E128" s="146">
        <f t="shared" si="8"/>
        <v>92457</v>
      </c>
      <c r="F128" s="150">
        <f t="shared" si="9"/>
        <v>3.9092017629609087E-2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2418877</v>
      </c>
      <c r="D129" s="146">
        <v>2559422</v>
      </c>
      <c r="E129" s="146">
        <f t="shared" si="8"/>
        <v>140545</v>
      </c>
      <c r="F129" s="150">
        <f t="shared" si="9"/>
        <v>5.8103409143995331E-2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27301671</v>
      </c>
      <c r="D130" s="146">
        <v>28136424</v>
      </c>
      <c r="E130" s="146">
        <f t="shared" si="8"/>
        <v>834753</v>
      </c>
      <c r="F130" s="150">
        <f t="shared" si="9"/>
        <v>3.0575161498356641E-2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17977359</v>
      </c>
      <c r="D132" s="146">
        <v>18328634</v>
      </c>
      <c r="E132" s="146">
        <f t="shared" si="8"/>
        <v>351275</v>
      </c>
      <c r="F132" s="150">
        <f t="shared" si="9"/>
        <v>1.9539855659554888E-2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329951</v>
      </c>
      <c r="D133" s="146">
        <v>339430</v>
      </c>
      <c r="E133" s="146">
        <f t="shared" si="8"/>
        <v>9479</v>
      </c>
      <c r="F133" s="150">
        <f t="shared" si="9"/>
        <v>2.8728508172425601E-2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130369</v>
      </c>
      <c r="D134" s="146">
        <v>167777</v>
      </c>
      <c r="E134" s="146">
        <f t="shared" si="8"/>
        <v>37408</v>
      </c>
      <c r="F134" s="150">
        <f t="shared" si="9"/>
        <v>0.28693937976052591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2978274</v>
      </c>
      <c r="D138" s="146">
        <v>3078243</v>
      </c>
      <c r="E138" s="146">
        <f t="shared" si="8"/>
        <v>99969</v>
      </c>
      <c r="F138" s="150">
        <f t="shared" si="9"/>
        <v>3.3566085591856226E-2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653727</v>
      </c>
      <c r="D139" s="146">
        <v>982122</v>
      </c>
      <c r="E139" s="146">
        <f t="shared" si="8"/>
        <v>328395</v>
      </c>
      <c r="F139" s="150">
        <f t="shared" si="9"/>
        <v>0.5023427210441056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11853739</v>
      </c>
      <c r="D140" s="146">
        <v>13413797</v>
      </c>
      <c r="E140" s="146">
        <f t="shared" si="8"/>
        <v>1560058</v>
      </c>
      <c r="F140" s="150">
        <f t="shared" si="9"/>
        <v>0.13160893790558406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74512</v>
      </c>
      <c r="D141" s="146">
        <v>73516</v>
      </c>
      <c r="E141" s="146">
        <f t="shared" si="8"/>
        <v>-996</v>
      </c>
      <c r="F141" s="150">
        <f t="shared" si="9"/>
        <v>-1.3366974447068929E-2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3764297</v>
      </c>
      <c r="D142" s="146">
        <v>3637663</v>
      </c>
      <c r="E142" s="146">
        <f t="shared" si="8"/>
        <v>-126634</v>
      </c>
      <c r="F142" s="150">
        <f t="shared" si="9"/>
        <v>-3.3640809957343962E-2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4008930</v>
      </c>
      <c r="D143" s="146">
        <v>3932948</v>
      </c>
      <c r="E143" s="146">
        <f t="shared" si="8"/>
        <v>-75982</v>
      </c>
      <c r="F143" s="150">
        <f t="shared" si="9"/>
        <v>-1.8953187010000174E-2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23022731</v>
      </c>
      <c r="D144" s="146">
        <v>25809465</v>
      </c>
      <c r="E144" s="146">
        <f t="shared" si="8"/>
        <v>2786734</v>
      </c>
      <c r="F144" s="150">
        <f t="shared" si="9"/>
        <v>0.1210427207788685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2611494</v>
      </c>
      <c r="D145" s="146">
        <v>2598130</v>
      </c>
      <c r="E145" s="146">
        <f t="shared" si="8"/>
        <v>-13364</v>
      </c>
      <c r="F145" s="150">
        <f t="shared" si="9"/>
        <v>-5.1173772560840656E-3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1135289</v>
      </c>
      <c r="D146" s="146">
        <v>1101464</v>
      </c>
      <c r="E146" s="146">
        <f t="shared" si="8"/>
        <v>-33825</v>
      </c>
      <c r="F146" s="150">
        <f t="shared" si="9"/>
        <v>-2.9794175756129058E-2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4785724</v>
      </c>
      <c r="D148" s="146">
        <v>4996998</v>
      </c>
      <c r="E148" s="146">
        <f t="shared" si="8"/>
        <v>211274</v>
      </c>
      <c r="F148" s="150">
        <f t="shared" si="9"/>
        <v>4.414671635890411E-2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1343938</v>
      </c>
      <c r="D149" s="146">
        <v>1475315</v>
      </c>
      <c r="E149" s="146">
        <f t="shared" si="8"/>
        <v>131377</v>
      </c>
      <c r="F149" s="150">
        <f t="shared" si="9"/>
        <v>9.7755253590567429E-2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751948</v>
      </c>
      <c r="D151" s="146">
        <v>666281</v>
      </c>
      <c r="E151" s="146">
        <f t="shared" si="8"/>
        <v>-85667</v>
      </c>
      <c r="F151" s="150">
        <f t="shared" si="9"/>
        <v>-0.11392676089304048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8460960</v>
      </c>
      <c r="D152" s="146">
        <v>8554357</v>
      </c>
      <c r="E152" s="146">
        <f t="shared" si="8"/>
        <v>93397</v>
      </c>
      <c r="F152" s="150">
        <f t="shared" si="9"/>
        <v>1.103858191032696E-2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1718946</v>
      </c>
      <c r="D153" s="146">
        <v>1798239</v>
      </c>
      <c r="E153" s="146">
        <f t="shared" si="8"/>
        <v>79293</v>
      </c>
      <c r="F153" s="150">
        <f t="shared" si="9"/>
        <v>4.6128848724741787E-2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11155428</v>
      </c>
      <c r="D154" s="146">
        <v>10962829</v>
      </c>
      <c r="E154" s="146">
        <f t="shared" si="8"/>
        <v>-192599</v>
      </c>
      <c r="F154" s="150">
        <f t="shared" si="9"/>
        <v>-1.7265048010708328E-2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193366530</v>
      </c>
      <c r="D155" s="147">
        <f>SUM(D121:D154)</f>
        <v>203865450</v>
      </c>
      <c r="E155" s="147">
        <f t="shared" si="8"/>
        <v>10498920</v>
      </c>
      <c r="F155" s="148">
        <f t="shared" si="9"/>
        <v>5.4295435719925261E-2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46073340</v>
      </c>
      <c r="D158" s="146">
        <v>49449328</v>
      </c>
      <c r="E158" s="146">
        <f t="shared" ref="E158:E171" si="10">D158-C158</f>
        <v>3375988</v>
      </c>
      <c r="F158" s="150">
        <f t="shared" ref="F158:F171" si="11">IF(C158=0,0,E158/C158)</f>
        <v>7.3274218886670683E-2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6765306</v>
      </c>
      <c r="D159" s="146">
        <v>6595514</v>
      </c>
      <c r="E159" s="146">
        <f t="shared" si="10"/>
        <v>-169792</v>
      </c>
      <c r="F159" s="150">
        <f t="shared" si="11"/>
        <v>-2.5097460484418591E-2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4920582</v>
      </c>
      <c r="D161" s="146">
        <v>5000173</v>
      </c>
      <c r="E161" s="146">
        <f t="shared" si="10"/>
        <v>79591</v>
      </c>
      <c r="F161" s="150">
        <f t="shared" si="11"/>
        <v>1.6175119122087592E-2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2704021</v>
      </c>
      <c r="D162" s="146">
        <v>3013534</v>
      </c>
      <c r="E162" s="146">
        <f t="shared" si="10"/>
        <v>309513</v>
      </c>
      <c r="F162" s="150">
        <f t="shared" si="11"/>
        <v>0.11446397790549703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4567645</v>
      </c>
      <c r="D163" s="146">
        <v>5002548</v>
      </c>
      <c r="E163" s="146">
        <f t="shared" si="10"/>
        <v>434903</v>
      </c>
      <c r="F163" s="150">
        <f t="shared" si="11"/>
        <v>9.5213835576101039E-2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4351018</v>
      </c>
      <c r="D165" s="146">
        <v>4677882</v>
      </c>
      <c r="E165" s="146">
        <f t="shared" si="10"/>
        <v>326864</v>
      </c>
      <c r="F165" s="150">
        <f t="shared" si="11"/>
        <v>7.5123568783213496E-2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3151496</v>
      </c>
      <c r="D166" s="146">
        <v>3267275</v>
      </c>
      <c r="E166" s="146">
        <f t="shared" si="10"/>
        <v>115779</v>
      </c>
      <c r="F166" s="150">
        <f t="shared" si="11"/>
        <v>3.6737790560419557E-2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3710991</v>
      </c>
      <c r="D167" s="146">
        <v>3818729</v>
      </c>
      <c r="E167" s="146">
        <f t="shared" si="10"/>
        <v>107738</v>
      </c>
      <c r="F167" s="150">
        <f t="shared" si="11"/>
        <v>2.9032137237735151E-2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6675615</v>
      </c>
      <c r="D169" s="146">
        <v>6292893</v>
      </c>
      <c r="E169" s="146">
        <f t="shared" si="10"/>
        <v>-382722</v>
      </c>
      <c r="F169" s="150">
        <f t="shared" si="11"/>
        <v>-5.7331346999489934E-2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82920014</v>
      </c>
      <c r="D171" s="147">
        <f>SUM(D158:D170)</f>
        <v>87117876</v>
      </c>
      <c r="E171" s="147">
        <f t="shared" si="10"/>
        <v>4197862</v>
      </c>
      <c r="F171" s="148">
        <f t="shared" si="11"/>
        <v>5.0625437665748584E-2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20260837</v>
      </c>
      <c r="D174" s="146">
        <v>18188630</v>
      </c>
      <c r="E174" s="146">
        <f>D174-C174</f>
        <v>-2072207</v>
      </c>
      <c r="F174" s="150">
        <f>IF(C174=0,0,E174/C174)</f>
        <v>-0.10227647554738237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442588744</v>
      </c>
      <c r="D176" s="147">
        <f>+D174+D171+D155+D118+D109</f>
        <v>460314702</v>
      </c>
      <c r="E176" s="147">
        <f>D176-C176</f>
        <v>17725958</v>
      </c>
      <c r="F176" s="148">
        <f>IF(C176=0,0,E176/C176)</f>
        <v>4.0050629936490209E-2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r:id="rId1"/>
  <headerFooter>
    <oddHeader>&amp;LOFFICE OF HEALTH CARE ACCESS&amp;CTWELVE MONTHS ACTUAL FILING&amp;RDANBURY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427936480</v>
      </c>
      <c r="D11" s="164">
        <v>457712742</v>
      </c>
      <c r="E11" s="51">
        <v>471020724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10028673</v>
      </c>
      <c r="D12" s="49">
        <v>9727398</v>
      </c>
      <c r="E12" s="49">
        <v>10083592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437965153</v>
      </c>
      <c r="D13" s="51">
        <f>+D11+D12</f>
        <v>467440140</v>
      </c>
      <c r="E13" s="51">
        <f>+E11+E12</f>
        <v>481104316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415921169</v>
      </c>
      <c r="D14" s="49">
        <v>442588744</v>
      </c>
      <c r="E14" s="49">
        <v>460314702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22043984</v>
      </c>
      <c r="D15" s="51">
        <f>+D13-D14</f>
        <v>24851396</v>
      </c>
      <c r="E15" s="51">
        <f>+E13-E14</f>
        <v>20789614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-29322315</v>
      </c>
      <c r="D16" s="49">
        <v>13663243</v>
      </c>
      <c r="E16" s="49">
        <v>23790084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-7278331</v>
      </c>
      <c r="D17" s="51">
        <f>D15+D16</f>
        <v>38514639</v>
      </c>
      <c r="E17" s="51">
        <f>E15+E16</f>
        <v>44579698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5.3944378685036445E-2</v>
      </c>
      <c r="D20" s="169">
        <f>IF(+D27=0,0,+D24/+D27)</f>
        <v>5.1655001561275657E-2</v>
      </c>
      <c r="E20" s="169">
        <f>IF(+E27=0,0,+E24/+E27)</f>
        <v>4.1176162777800666E-2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-7.1755362564313432E-2</v>
      </c>
      <c r="D21" s="169">
        <f>IF(D27=0,0,+D26/D27)</f>
        <v>2.8399806533890036E-2</v>
      </c>
      <c r="E21" s="169">
        <f>IF(E27=0,0,+E26/E27)</f>
        <v>4.711893021590257E-2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-1.7810983879276994E-2</v>
      </c>
      <c r="D22" s="169">
        <f>IF(D27=0,0,+D28/D27)</f>
        <v>8.0054808095165686E-2</v>
      </c>
      <c r="E22" s="169">
        <f>IF(E27=0,0,+E28/E27)</f>
        <v>8.8295092993703236E-2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22043984</v>
      </c>
      <c r="D24" s="51">
        <f>+D15</f>
        <v>24851396</v>
      </c>
      <c r="E24" s="51">
        <f>+E15</f>
        <v>20789614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437965153</v>
      </c>
      <c r="D25" s="51">
        <f>+D13</f>
        <v>467440140</v>
      </c>
      <c r="E25" s="51">
        <f>+E13</f>
        <v>481104316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-29322315</v>
      </c>
      <c r="D26" s="51">
        <f>+D16</f>
        <v>13663243</v>
      </c>
      <c r="E26" s="51">
        <f>+E16</f>
        <v>23790084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408642838</v>
      </c>
      <c r="D27" s="51">
        <f>+D25+D26</f>
        <v>481103383</v>
      </c>
      <c r="E27" s="51">
        <f>+E25+E26</f>
        <v>504894400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-7278331</v>
      </c>
      <c r="D28" s="51">
        <f>+D17</f>
        <v>38514639</v>
      </c>
      <c r="E28" s="51">
        <f>+E17</f>
        <v>44579698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348481186</v>
      </c>
      <c r="D31" s="51">
        <v>325008268</v>
      </c>
      <c r="E31" s="51">
        <v>368034236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376402186</v>
      </c>
      <c r="D32" s="51">
        <v>380666988</v>
      </c>
      <c r="E32" s="51">
        <v>424005127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-5702833</v>
      </c>
      <c r="D33" s="51">
        <f>+D32-C32</f>
        <v>4264802</v>
      </c>
      <c r="E33" s="51">
        <f>+E32-D32</f>
        <v>43338139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0.98499999999999999</v>
      </c>
      <c r="D34" s="171">
        <f>IF(C32=0,0,+D33/C32)</f>
        <v>1.1330438978906461E-2</v>
      </c>
      <c r="E34" s="171">
        <f>IF(D32=0,0,+E33/D32)</f>
        <v>0.11384790477287197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0.42269232143776903</v>
      </c>
      <c r="D38" s="172">
        <f>IF((D40+D41)=0,0,+D39/(D40+D41))</f>
        <v>0.43834225388283532</v>
      </c>
      <c r="E38" s="172">
        <f>IF((E40+E41)=0,0,+E39/(E40+E41))</f>
        <v>0.4382568620528064</v>
      </c>
      <c r="F38" s="5"/>
    </row>
    <row r="39" spans="1:6" ht="24" customHeight="1" x14ac:dyDescent="0.2">
      <c r="A39" s="21">
        <v>2</v>
      </c>
      <c r="B39" s="48" t="s">
        <v>324</v>
      </c>
      <c r="C39" s="51">
        <v>381506727</v>
      </c>
      <c r="D39" s="51">
        <v>442588744</v>
      </c>
      <c r="E39" s="23">
        <v>460314702</v>
      </c>
      <c r="F39" s="5"/>
    </row>
    <row r="40" spans="1:6" ht="24" customHeight="1" x14ac:dyDescent="0.2">
      <c r="A40" s="21">
        <v>3</v>
      </c>
      <c r="B40" s="48" t="s">
        <v>325</v>
      </c>
      <c r="C40" s="51">
        <v>895354473</v>
      </c>
      <c r="D40" s="51">
        <v>1002343396</v>
      </c>
      <c r="E40" s="23">
        <v>1042814916</v>
      </c>
      <c r="F40" s="5"/>
    </row>
    <row r="41" spans="1:6" ht="24" customHeight="1" x14ac:dyDescent="0.2">
      <c r="A41" s="21">
        <v>4</v>
      </c>
      <c r="B41" s="48" t="s">
        <v>326</v>
      </c>
      <c r="C41" s="51">
        <v>7209183</v>
      </c>
      <c r="D41" s="51">
        <v>7344217</v>
      </c>
      <c r="E41" s="23">
        <v>7515933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1.4415491957978273</v>
      </c>
      <c r="D43" s="173">
        <f>IF(D38=0,0,IF((D46-D47)=0,0,((+D44-D45)/(D46-D47)/D38)))</f>
        <v>1.3649496435473021</v>
      </c>
      <c r="E43" s="173">
        <f>IF(E38=0,0,IF((E46-E47)=0,0,((+E44-E45)/(E46-E47)/E38)))</f>
        <v>1.3717959473376626</v>
      </c>
      <c r="F43" s="5"/>
    </row>
    <row r="44" spans="1:6" ht="24" customHeight="1" x14ac:dyDescent="0.2">
      <c r="A44" s="21">
        <v>6</v>
      </c>
      <c r="B44" s="48" t="s">
        <v>328</v>
      </c>
      <c r="C44" s="51">
        <v>253942363</v>
      </c>
      <c r="D44" s="51">
        <v>268618141</v>
      </c>
      <c r="E44" s="23">
        <v>278426338</v>
      </c>
      <c r="F44" s="5"/>
    </row>
    <row r="45" spans="1:6" ht="24" customHeight="1" x14ac:dyDescent="0.2">
      <c r="A45" s="21">
        <v>7</v>
      </c>
      <c r="B45" s="48" t="s">
        <v>329</v>
      </c>
      <c r="C45" s="51">
        <v>4646462</v>
      </c>
      <c r="D45" s="51">
        <v>2795211</v>
      </c>
      <c r="E45" s="23">
        <v>8030434</v>
      </c>
      <c r="F45" s="5"/>
    </row>
    <row r="46" spans="1:6" ht="24" customHeight="1" x14ac:dyDescent="0.2">
      <c r="A46" s="21">
        <v>8</v>
      </c>
      <c r="B46" s="48" t="s">
        <v>330</v>
      </c>
      <c r="C46" s="51">
        <v>435092321</v>
      </c>
      <c r="D46" s="51">
        <v>471850921</v>
      </c>
      <c r="E46" s="23">
        <v>476971370</v>
      </c>
      <c r="F46" s="5"/>
    </row>
    <row r="47" spans="1:6" ht="24" customHeight="1" x14ac:dyDescent="0.2">
      <c r="A47" s="21">
        <v>9</v>
      </c>
      <c r="B47" s="48" t="s">
        <v>331</v>
      </c>
      <c r="C47" s="51">
        <v>25962335</v>
      </c>
      <c r="D47" s="51">
        <v>27565078</v>
      </c>
      <c r="E47" s="174">
        <v>27210293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0.85604475127795621</v>
      </c>
      <c r="D49" s="175">
        <f>IF(D38=0,0,IF(D51=0,0,(D50/D51)/D38))</f>
        <v>0.78982817653089576</v>
      </c>
      <c r="E49" s="175">
        <f>IF(E38=0,0,IF(E51=0,0,(E50/E51)/E38))</f>
        <v>0.78861315561695489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137007798</v>
      </c>
      <c r="D50" s="176">
        <v>148032576</v>
      </c>
      <c r="E50" s="176">
        <v>156075045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378638228</v>
      </c>
      <c r="D51" s="176">
        <v>427574048</v>
      </c>
      <c r="E51" s="176">
        <v>451586267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0.79559475306997529</v>
      </c>
      <c r="D53" s="175">
        <f>IF(D38=0,0,IF(D55=0,0,(D54/D55)/D38))</f>
        <v>0.64247370069122467</v>
      </c>
      <c r="E53" s="175">
        <f>IF(E38=0,0,IF(E55=0,0,(E54/E55)/E38))</f>
        <v>0.63890522957599671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20804641</v>
      </c>
      <c r="D54" s="176">
        <v>22952045</v>
      </c>
      <c r="E54" s="176">
        <v>27587469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61864849</v>
      </c>
      <c r="D55" s="176">
        <v>81499078</v>
      </c>
      <c r="E55" s="176">
        <v>98525056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10675330.44022622</v>
      </c>
      <c r="D57" s="53">
        <f>+D60*D38</f>
        <v>12695349.888613898</v>
      </c>
      <c r="E57" s="53">
        <f>+E60*E38</f>
        <v>10279288.842293713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9657765</v>
      </c>
      <c r="D58" s="51">
        <v>12266705</v>
      </c>
      <c r="E58" s="52">
        <v>12767832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15597793</v>
      </c>
      <c r="D59" s="51">
        <v>16695481</v>
      </c>
      <c r="E59" s="52">
        <v>10687109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25255558</v>
      </c>
      <c r="D60" s="51">
        <v>28962186</v>
      </c>
      <c r="E60" s="52">
        <v>23454941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2.7982024128833303E-2</v>
      </c>
      <c r="D62" s="178">
        <f>IF(D63=0,0,+D57/D63)</f>
        <v>2.8684303567860048E-2</v>
      </c>
      <c r="E62" s="178">
        <f>IF(E63=0,0,+E57/E63)</f>
        <v>2.2331002676281481E-2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381506727</v>
      </c>
      <c r="D63" s="176">
        <v>442588744</v>
      </c>
      <c r="E63" s="176">
        <v>460314702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5.5665167448238453</v>
      </c>
      <c r="D67" s="179">
        <f>IF(D69=0,0,D68/D69)</f>
        <v>4.8731741739565635</v>
      </c>
      <c r="E67" s="179">
        <f>IF(E69=0,0,E68/E69)</f>
        <v>3.2111350898003712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221005672</v>
      </c>
      <c r="D68" s="180">
        <v>241828286</v>
      </c>
      <c r="E68" s="180">
        <v>269665576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39702687</v>
      </c>
      <c r="D69" s="180">
        <v>49624388</v>
      </c>
      <c r="E69" s="180">
        <v>83978272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131.84502227615761</v>
      </c>
      <c r="D71" s="181">
        <f>IF((D77/365)=0,0,+D74/(D77/365))</f>
        <v>159.76250604582353</v>
      </c>
      <c r="E71" s="181">
        <f>IF((E77/365)=0,0,+E74/(E77/365))</f>
        <v>167.56431260940207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29827344</v>
      </c>
      <c r="D72" s="182">
        <v>38643022</v>
      </c>
      <c r="E72" s="182">
        <v>26334940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113069804</v>
      </c>
      <c r="D73" s="184">
        <v>144958291</v>
      </c>
      <c r="E73" s="184">
        <v>173186305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142897148</v>
      </c>
      <c r="D74" s="180">
        <f>+D72+D73</f>
        <v>183601313</v>
      </c>
      <c r="E74" s="180">
        <f>+E72+E73</f>
        <v>199521245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415921169</v>
      </c>
      <c r="D75" s="180">
        <f>+D14</f>
        <v>442588744</v>
      </c>
      <c r="E75" s="180">
        <f>+E14</f>
        <v>460314702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20324444</v>
      </c>
      <c r="D76" s="180">
        <v>23125624</v>
      </c>
      <c r="E76" s="180">
        <v>25703935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395596725</v>
      </c>
      <c r="D77" s="180">
        <f>+D75-D76</f>
        <v>419463120</v>
      </c>
      <c r="E77" s="180">
        <f>+E75-E76</f>
        <v>434610767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37.654390016013593</v>
      </c>
      <c r="D79" s="179">
        <f>IF((D84/365)=0,0,+D83/(D84/365))</f>
        <v>26.30836631810438</v>
      </c>
      <c r="E79" s="179">
        <f>IF((E84/365)=0,0,+E83/(E84/365))</f>
        <v>31.267466704925706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47038786</v>
      </c>
      <c r="D80" s="189">
        <v>41637724</v>
      </c>
      <c r="E80" s="189">
        <v>51429630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2891698</v>
      </c>
      <c r="D82" s="190">
        <v>8646835</v>
      </c>
      <c r="E82" s="190">
        <v>11079973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44147088</v>
      </c>
      <c r="D83" s="191">
        <f>+D80+D81-D82</f>
        <v>32990889</v>
      </c>
      <c r="E83" s="191">
        <f>+E80+E81-E82</f>
        <v>40349657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427936480</v>
      </c>
      <c r="D84" s="191">
        <f>+D11</f>
        <v>457712742</v>
      </c>
      <c r="E84" s="191">
        <f>+E11</f>
        <v>471020724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36.631953297894462</v>
      </c>
      <c r="D86" s="179">
        <f>IF((D90/365)=0,0,+D87/(D90/365))</f>
        <v>43.18115409049549</v>
      </c>
      <c r="E86" s="179">
        <f>IF((E90/365)=0,0,+E87/(E90/365))</f>
        <v>70.527634397055792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39702687</v>
      </c>
      <c r="D87" s="51">
        <f>+D69</f>
        <v>49624388</v>
      </c>
      <c r="E87" s="51">
        <f>+E69</f>
        <v>83978272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415921169</v>
      </c>
      <c r="D88" s="51">
        <f t="shared" si="0"/>
        <v>442588744</v>
      </c>
      <c r="E88" s="51">
        <f t="shared" si="0"/>
        <v>460314702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20324444</v>
      </c>
      <c r="D89" s="52">
        <f t="shared" si="0"/>
        <v>23125624</v>
      </c>
      <c r="E89" s="52">
        <f t="shared" si="0"/>
        <v>25703935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395596725</v>
      </c>
      <c r="D90" s="51">
        <f>+D88-D89</f>
        <v>419463120</v>
      </c>
      <c r="E90" s="51">
        <f>+E88-E89</f>
        <v>434610767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68.479164883896075</v>
      </c>
      <c r="D94" s="192">
        <f>IF(D96=0,0,(D95/D96)*100)</f>
        <v>68.042486367090135</v>
      </c>
      <c r="E94" s="192">
        <f>IF(E96=0,0,(E95/E96)*100)</f>
        <v>70.266786870472885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376402186</v>
      </c>
      <c r="D95" s="51">
        <f>+D32</f>
        <v>380666988</v>
      </c>
      <c r="E95" s="51">
        <f>+E32</f>
        <v>424005127</v>
      </c>
      <c r="F95" s="28"/>
    </row>
    <row r="96" spans="1:6" ht="24" customHeight="1" x14ac:dyDescent="0.25">
      <c r="A96" s="21">
        <v>3</v>
      </c>
      <c r="B96" s="48" t="s">
        <v>43</v>
      </c>
      <c r="C96" s="51">
        <v>549659428</v>
      </c>
      <c r="D96" s="51">
        <v>559454847</v>
      </c>
      <c r="E96" s="51">
        <v>603421824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8.3182258356054426</v>
      </c>
      <c r="D98" s="192">
        <f>IF(D104=0,0,(D101/D104)*100)</f>
        <v>37.517037494990547</v>
      </c>
      <c r="E98" s="192">
        <f>IF(E104=0,0,(E101/E104)*100)</f>
        <v>42.534717985915513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-7278331</v>
      </c>
      <c r="D99" s="51">
        <f>+D28</f>
        <v>38514639</v>
      </c>
      <c r="E99" s="51">
        <f>+E28</f>
        <v>44579698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20324444</v>
      </c>
      <c r="D100" s="52">
        <f>+D76</f>
        <v>23125624</v>
      </c>
      <c r="E100" s="52">
        <f>+E76</f>
        <v>25703935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13046113</v>
      </c>
      <c r="D101" s="51">
        <f>+D99+D100</f>
        <v>61640263</v>
      </c>
      <c r="E101" s="51">
        <f>+E99+E100</f>
        <v>70283633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39702687</v>
      </c>
      <c r="D102" s="180">
        <f>+D69</f>
        <v>49624388</v>
      </c>
      <c r="E102" s="180">
        <f>+E69</f>
        <v>83978272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117135000</v>
      </c>
      <c r="D103" s="194">
        <v>114675000</v>
      </c>
      <c r="E103" s="194">
        <v>81260000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156837687</v>
      </c>
      <c r="D104" s="180">
        <f>+D102+D103</f>
        <v>164299388</v>
      </c>
      <c r="E104" s="180">
        <f>+E102+E103</f>
        <v>165238272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23.733773932892667</v>
      </c>
      <c r="D106" s="197">
        <f>IF(D109=0,0,(D107/D109)*100)</f>
        <v>23.150672217999013</v>
      </c>
      <c r="E106" s="197">
        <f>IF(E109=0,0,(E107/E109)*100)</f>
        <v>16.082645656247717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117135000</v>
      </c>
      <c r="D107" s="180">
        <f>+D103</f>
        <v>114675000</v>
      </c>
      <c r="E107" s="180">
        <f>+E103</f>
        <v>81260000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376402186</v>
      </c>
      <c r="D108" s="180">
        <f>+D32</f>
        <v>380666988</v>
      </c>
      <c r="E108" s="180">
        <f>+E32</f>
        <v>424005127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493537186</v>
      </c>
      <c r="D109" s="180">
        <f>+D107+D108</f>
        <v>495341988</v>
      </c>
      <c r="E109" s="180">
        <f>+E107+E108</f>
        <v>505265127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3.2965524901870142</v>
      </c>
      <c r="D111" s="197">
        <f>IF((+D113+D115)=0,0,((+D112+D113+D114)/(+D113+D115)))</f>
        <v>9.34850287328773</v>
      </c>
      <c r="E111" s="197">
        <f>IF((+E113+E115)=0,0,((+E112+E113+E114)/(+E113+E115)))</f>
        <v>10.66523386988516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-7278331</v>
      </c>
      <c r="D112" s="180">
        <f>+D17</f>
        <v>38514639</v>
      </c>
      <c r="E112" s="180">
        <f>+E17</f>
        <v>44579698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5680738</v>
      </c>
      <c r="D113" s="180">
        <v>4667920</v>
      </c>
      <c r="E113" s="180">
        <v>4557278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20324444</v>
      </c>
      <c r="D114" s="180">
        <v>23125624</v>
      </c>
      <c r="E114" s="180">
        <v>25703935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2425000</v>
      </c>
      <c r="E115" s="180">
        <v>2460000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11.275480401825506</v>
      </c>
      <c r="D119" s="197">
        <f>IF(+D121=0,0,(+D120)/(+D121))</f>
        <v>10.896733554087016</v>
      </c>
      <c r="E119" s="197">
        <f>IF(+E121=0,0,(+E120)/(+E121))</f>
        <v>10.68731223448861</v>
      </c>
    </row>
    <row r="120" spans="1:8" ht="24" customHeight="1" x14ac:dyDescent="0.25">
      <c r="A120" s="17">
        <v>21</v>
      </c>
      <c r="B120" s="48" t="s">
        <v>369</v>
      </c>
      <c r="C120" s="180">
        <v>229167870</v>
      </c>
      <c r="D120" s="180">
        <v>251993763</v>
      </c>
      <c r="E120" s="180">
        <v>274705979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20324444</v>
      </c>
      <c r="D121" s="180">
        <v>23125624</v>
      </c>
      <c r="E121" s="180">
        <v>25703935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87644</v>
      </c>
      <c r="D124" s="198">
        <v>91794</v>
      </c>
      <c r="E124" s="198">
        <v>95884</v>
      </c>
    </row>
    <row r="125" spans="1:8" ht="24" customHeight="1" x14ac:dyDescent="0.2">
      <c r="A125" s="44">
        <v>2</v>
      </c>
      <c r="B125" s="48" t="s">
        <v>373</v>
      </c>
      <c r="C125" s="198">
        <v>20459</v>
      </c>
      <c r="D125" s="198">
        <v>20497</v>
      </c>
      <c r="E125" s="198">
        <v>20715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4.2838848428564447</v>
      </c>
      <c r="D126" s="199">
        <f>IF(D125=0,0,D124/D125)</f>
        <v>4.4784114748499784</v>
      </c>
      <c r="E126" s="199">
        <f>IF(E125=0,0,E124/E125)</f>
        <v>4.6287231474776735</v>
      </c>
    </row>
    <row r="127" spans="1:8" ht="24" customHeight="1" x14ac:dyDescent="0.2">
      <c r="A127" s="44">
        <v>4</v>
      </c>
      <c r="B127" s="48" t="s">
        <v>375</v>
      </c>
      <c r="C127" s="198">
        <v>248</v>
      </c>
      <c r="D127" s="198">
        <v>271</v>
      </c>
      <c r="E127" s="198">
        <v>278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351</v>
      </c>
      <c r="E128" s="198">
        <v>365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371</v>
      </c>
      <c r="D129" s="198">
        <v>371</v>
      </c>
      <c r="E129" s="198">
        <v>371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0.96819999999999995</v>
      </c>
      <c r="D130" s="171">
        <v>0.92800000000000005</v>
      </c>
      <c r="E130" s="171">
        <v>0.94489999999999996</v>
      </c>
    </row>
    <row r="131" spans="1:8" ht="24" customHeight="1" x14ac:dyDescent="0.2">
      <c r="A131" s="44">
        <v>7</v>
      </c>
      <c r="B131" s="48" t="s">
        <v>379</v>
      </c>
      <c r="C131" s="171">
        <v>0.69189999999999996</v>
      </c>
      <c r="D131" s="171">
        <v>0.71640000000000004</v>
      </c>
      <c r="E131" s="171">
        <v>0.71970000000000001</v>
      </c>
    </row>
    <row r="132" spans="1:8" ht="24" customHeight="1" x14ac:dyDescent="0.2">
      <c r="A132" s="44">
        <v>8</v>
      </c>
      <c r="B132" s="48" t="s">
        <v>380</v>
      </c>
      <c r="C132" s="199">
        <v>2448.1</v>
      </c>
      <c r="D132" s="199">
        <v>2448</v>
      </c>
      <c r="E132" s="199">
        <v>2492.8000000000002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0.45694749770910009</v>
      </c>
      <c r="D135" s="203">
        <f>IF(D149=0,0,D143/D149)</f>
        <v>0.4432471394264566</v>
      </c>
      <c r="E135" s="203">
        <f>IF(E149=0,0,E143/E149)</f>
        <v>0.43129520886139683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0.42289198235791914</v>
      </c>
      <c r="D136" s="203">
        <f>IF(D149=0,0,D144/D149)</f>
        <v>0.42657441522166722</v>
      </c>
      <c r="E136" s="203">
        <f>IF(E149=0,0,E144/E149)</f>
        <v>0.43304546192356153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6.9095370454468036E-2</v>
      </c>
      <c r="D137" s="203">
        <f>IF(D149=0,0,D145/D149)</f>
        <v>8.1308539892849252E-2</v>
      </c>
      <c r="E137" s="203">
        <f>IF(E149=0,0,E145/E149)</f>
        <v>9.4479906729680874E-2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2.1291136164346833E-2</v>
      </c>
      <c r="D138" s="203">
        <f>IF(D149=0,0,D146/D149)</f>
        <v>2.0360935265742001E-2</v>
      </c>
      <c r="E138" s="203">
        <f>IF(E149=0,0,E146/E149)</f>
        <v>1.3114308004393754E-2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2.8996711116000645E-2</v>
      </c>
      <c r="D139" s="203">
        <f>IF(D149=0,0,D147/D149)</f>
        <v>2.750063312633428E-2</v>
      </c>
      <c r="E139" s="203">
        <f>IF(E149=0,0,E147/E149)</f>
        <v>2.6093118330501517E-2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7.7730219816526231E-4</v>
      </c>
      <c r="D140" s="203">
        <f>IF(D149=0,0,D148/D149)</f>
        <v>1.0083370669506562E-3</v>
      </c>
      <c r="E140" s="203">
        <f>IF(E149=0,0,E148/E149)</f>
        <v>1.9719961504654966E-3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409129986</v>
      </c>
      <c r="D143" s="205">
        <f>+D46-D147</f>
        <v>444285843</v>
      </c>
      <c r="E143" s="205">
        <f>+E46-E147</f>
        <v>449761077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378638228</v>
      </c>
      <c r="D144" s="205">
        <f>+D51</f>
        <v>427574048</v>
      </c>
      <c r="E144" s="205">
        <f>+E51</f>
        <v>451586267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61864849</v>
      </c>
      <c r="D145" s="205">
        <f>+D55</f>
        <v>81499078</v>
      </c>
      <c r="E145" s="205">
        <f>+E55</f>
        <v>98525056</v>
      </c>
    </row>
    <row r="146" spans="1:7" ht="20.100000000000001" customHeight="1" x14ac:dyDescent="0.2">
      <c r="A146" s="202">
        <v>11</v>
      </c>
      <c r="B146" s="201" t="s">
        <v>392</v>
      </c>
      <c r="C146" s="204">
        <v>19063114</v>
      </c>
      <c r="D146" s="205">
        <v>20408649</v>
      </c>
      <c r="E146" s="205">
        <v>13675796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25962335</v>
      </c>
      <c r="D147" s="205">
        <f>+D47</f>
        <v>27565078</v>
      </c>
      <c r="E147" s="205">
        <f>+E47</f>
        <v>27210293</v>
      </c>
    </row>
    <row r="148" spans="1:7" ht="20.100000000000001" customHeight="1" x14ac:dyDescent="0.2">
      <c r="A148" s="202">
        <v>13</v>
      </c>
      <c r="B148" s="201" t="s">
        <v>394</v>
      </c>
      <c r="C148" s="206">
        <v>695961</v>
      </c>
      <c r="D148" s="205">
        <v>1010700</v>
      </c>
      <c r="E148" s="205">
        <v>2056427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895354473</v>
      </c>
      <c r="D149" s="205">
        <f>SUM(D143:D148)</f>
        <v>1002343396</v>
      </c>
      <c r="E149" s="205">
        <f>SUM(E143:E148)</f>
        <v>1042814916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0.60026482780896373</v>
      </c>
      <c r="D152" s="203">
        <f>IF(D166=0,0,D160/D166)</f>
        <v>0.59932053555425036</v>
      </c>
      <c r="E152" s="203">
        <f>IF(E166=0,0,E160/E166)</f>
        <v>0.58246483097208013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0.32989295830802801</v>
      </c>
      <c r="D153" s="203">
        <f>IF(D166=0,0,D161/D166)</f>
        <v>0.33375210606472239</v>
      </c>
      <c r="E153" s="203">
        <f>IF(E166=0,0,E161/E166)</f>
        <v>0.33620414865783177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5.0094262269848977E-2</v>
      </c>
      <c r="D154" s="203">
        <f>IF(D166=0,0,D162/D166)</f>
        <v>5.174734888922207E-2</v>
      </c>
      <c r="E154" s="203">
        <f>IF(E166=0,0,E162/E166)</f>
        <v>5.9426678549215378E-2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8.1174138464167791E-3</v>
      </c>
      <c r="D155" s="203">
        <f>IF(D166=0,0,D163/D166)</f>
        <v>8.215980276885651E-3</v>
      </c>
      <c r="E155" s="203">
        <f>IF(E166=0,0,E163/E166)</f>
        <v>3.2981041247266518E-3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1.1187940520333277E-2</v>
      </c>
      <c r="D156" s="203">
        <f>IF(D166=0,0,D164/D166)</f>
        <v>6.3020423163160973E-3</v>
      </c>
      <c r="E156" s="203">
        <f>IF(E166=0,0,E164/E166)</f>
        <v>1.7298506794106043E-2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4.4259724640921658E-4</v>
      </c>
      <c r="D157" s="203">
        <f>IF(D166=0,0,D165/D166)</f>
        <v>6.6198689860339703E-4</v>
      </c>
      <c r="E157" s="203">
        <f>IF(E166=0,0,E165/E166)</f>
        <v>1.3077309020400483E-3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249295901</v>
      </c>
      <c r="D160" s="208">
        <f>+D44-D164</f>
        <v>265822930</v>
      </c>
      <c r="E160" s="208">
        <f>+E44-E164</f>
        <v>270395904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137007798</v>
      </c>
      <c r="D161" s="208">
        <f>+D50</f>
        <v>148032576</v>
      </c>
      <c r="E161" s="208">
        <f>+E50</f>
        <v>156075045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20804641</v>
      </c>
      <c r="D162" s="208">
        <f>+D54</f>
        <v>22952045</v>
      </c>
      <c r="E162" s="208">
        <f>+E54</f>
        <v>27587469</v>
      </c>
    </row>
    <row r="163" spans="1:6" ht="20.100000000000001" customHeight="1" x14ac:dyDescent="0.2">
      <c r="A163" s="202">
        <v>11</v>
      </c>
      <c r="B163" s="201" t="s">
        <v>408</v>
      </c>
      <c r="C163" s="207">
        <v>3371242</v>
      </c>
      <c r="D163" s="208">
        <v>3644120</v>
      </c>
      <c r="E163" s="208">
        <v>1531069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4646462</v>
      </c>
      <c r="D164" s="208">
        <f>+D45</f>
        <v>2795211</v>
      </c>
      <c r="E164" s="208">
        <f>+E45</f>
        <v>8030434</v>
      </c>
    </row>
    <row r="165" spans="1:6" ht="20.100000000000001" customHeight="1" x14ac:dyDescent="0.2">
      <c r="A165" s="202">
        <v>13</v>
      </c>
      <c r="B165" s="201" t="s">
        <v>410</v>
      </c>
      <c r="C165" s="209">
        <v>183815</v>
      </c>
      <c r="D165" s="208">
        <v>293618</v>
      </c>
      <c r="E165" s="208">
        <v>607084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415309859</v>
      </c>
      <c r="D166" s="208">
        <f>SUM(D160:D165)</f>
        <v>443540500</v>
      </c>
      <c r="E166" s="208">
        <f>SUM(E160:E165)</f>
        <v>464227005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9311</v>
      </c>
      <c r="D169" s="198">
        <v>9049</v>
      </c>
      <c r="E169" s="198">
        <v>8752</v>
      </c>
    </row>
    <row r="170" spans="1:6" ht="20.100000000000001" customHeight="1" x14ac:dyDescent="0.2">
      <c r="A170" s="202">
        <v>2</v>
      </c>
      <c r="B170" s="201" t="s">
        <v>414</v>
      </c>
      <c r="C170" s="198">
        <v>8382</v>
      </c>
      <c r="D170" s="198">
        <v>8566</v>
      </c>
      <c r="E170" s="198">
        <v>8917</v>
      </c>
    </row>
    <row r="171" spans="1:6" ht="20.100000000000001" customHeight="1" x14ac:dyDescent="0.2">
      <c r="A171" s="202">
        <v>3</v>
      </c>
      <c r="B171" s="201" t="s">
        <v>415</v>
      </c>
      <c r="C171" s="198">
        <v>2752</v>
      </c>
      <c r="D171" s="198">
        <v>2857</v>
      </c>
      <c r="E171" s="198">
        <v>3017</v>
      </c>
    </row>
    <row r="172" spans="1:6" ht="20.100000000000001" customHeight="1" x14ac:dyDescent="0.2">
      <c r="A172" s="202">
        <v>4</v>
      </c>
      <c r="B172" s="201" t="s">
        <v>416</v>
      </c>
      <c r="C172" s="198">
        <v>2270</v>
      </c>
      <c r="D172" s="198">
        <v>2312</v>
      </c>
      <c r="E172" s="198">
        <v>2727</v>
      </c>
    </row>
    <row r="173" spans="1:6" ht="20.100000000000001" customHeight="1" x14ac:dyDescent="0.2">
      <c r="A173" s="202">
        <v>5</v>
      </c>
      <c r="B173" s="201" t="s">
        <v>417</v>
      </c>
      <c r="C173" s="198">
        <v>482</v>
      </c>
      <c r="D173" s="198">
        <v>545</v>
      </c>
      <c r="E173" s="198">
        <v>290</v>
      </c>
    </row>
    <row r="174" spans="1:6" ht="20.100000000000001" customHeight="1" x14ac:dyDescent="0.2">
      <c r="A174" s="202">
        <v>6</v>
      </c>
      <c r="B174" s="201" t="s">
        <v>418</v>
      </c>
      <c r="C174" s="198">
        <v>14</v>
      </c>
      <c r="D174" s="198">
        <v>25</v>
      </c>
      <c r="E174" s="198">
        <v>29</v>
      </c>
    </row>
    <row r="175" spans="1:6" ht="20.100000000000001" customHeight="1" x14ac:dyDescent="0.2">
      <c r="A175" s="202">
        <v>7</v>
      </c>
      <c r="B175" s="201" t="s">
        <v>419</v>
      </c>
      <c r="C175" s="198">
        <v>345</v>
      </c>
      <c r="D175" s="198">
        <v>322</v>
      </c>
      <c r="E175" s="198">
        <v>298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20459</v>
      </c>
      <c r="D176" s="198">
        <f>+D169+D170+D171+D174</f>
        <v>20497</v>
      </c>
      <c r="E176" s="198">
        <f>+E169+E170+E171+E174</f>
        <v>20715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1.1501999999999999</v>
      </c>
      <c r="D179" s="210">
        <v>1.1226</v>
      </c>
      <c r="E179" s="210">
        <v>1.1614</v>
      </c>
    </row>
    <row r="180" spans="1:6" ht="20.100000000000001" customHeight="1" x14ac:dyDescent="0.2">
      <c r="A180" s="202">
        <v>2</v>
      </c>
      <c r="B180" s="201" t="s">
        <v>414</v>
      </c>
      <c r="C180" s="210">
        <v>1.397</v>
      </c>
      <c r="D180" s="210">
        <v>1.3711</v>
      </c>
      <c r="E180" s="210">
        <v>1.3485</v>
      </c>
    </row>
    <row r="181" spans="1:6" ht="20.100000000000001" customHeight="1" x14ac:dyDescent="0.2">
      <c r="A181" s="202">
        <v>3</v>
      </c>
      <c r="B181" s="201" t="s">
        <v>415</v>
      </c>
      <c r="C181" s="210">
        <v>0.85393200000000002</v>
      </c>
      <c r="D181" s="210">
        <v>0.92737899999999995</v>
      </c>
      <c r="E181" s="210">
        <v>0.88328399999999996</v>
      </c>
    </row>
    <row r="182" spans="1:6" ht="20.100000000000001" customHeight="1" x14ac:dyDescent="0.2">
      <c r="A182" s="202">
        <v>4</v>
      </c>
      <c r="B182" s="201" t="s">
        <v>416</v>
      </c>
      <c r="C182" s="210">
        <v>0.84189999999999998</v>
      </c>
      <c r="D182" s="210">
        <v>0.94140000000000001</v>
      </c>
      <c r="E182" s="210">
        <v>0.86580000000000001</v>
      </c>
    </row>
    <row r="183" spans="1:6" ht="20.100000000000001" customHeight="1" x14ac:dyDescent="0.2">
      <c r="A183" s="202">
        <v>5</v>
      </c>
      <c r="B183" s="201" t="s">
        <v>417</v>
      </c>
      <c r="C183" s="210">
        <v>0.91059999999999997</v>
      </c>
      <c r="D183" s="210">
        <v>0.8679</v>
      </c>
      <c r="E183" s="210">
        <v>1.0477000000000001</v>
      </c>
    </row>
    <row r="184" spans="1:6" ht="20.100000000000001" customHeight="1" x14ac:dyDescent="0.2">
      <c r="A184" s="202">
        <v>6</v>
      </c>
      <c r="B184" s="201" t="s">
        <v>418</v>
      </c>
      <c r="C184" s="210">
        <v>0.89119999999999999</v>
      </c>
      <c r="D184" s="210">
        <v>0.81389999999999996</v>
      </c>
      <c r="E184" s="210">
        <v>0.90859999999999996</v>
      </c>
    </row>
    <row r="185" spans="1:6" ht="20.100000000000001" customHeight="1" x14ac:dyDescent="0.2">
      <c r="A185" s="202">
        <v>7</v>
      </c>
      <c r="B185" s="201" t="s">
        <v>419</v>
      </c>
      <c r="C185" s="210">
        <v>1.2087000000000001</v>
      </c>
      <c r="D185" s="210">
        <v>1.0331999999999999</v>
      </c>
      <c r="E185" s="210">
        <v>1.2416</v>
      </c>
    </row>
    <row r="186" spans="1:6" ht="20.100000000000001" customHeight="1" x14ac:dyDescent="0.2">
      <c r="A186" s="202">
        <v>8</v>
      </c>
      <c r="B186" s="201" t="s">
        <v>423</v>
      </c>
      <c r="C186" s="210">
        <v>1.211284</v>
      </c>
      <c r="D186" s="210">
        <v>1.1988639999999999</v>
      </c>
      <c r="E186" s="210">
        <v>1.201079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13088</v>
      </c>
      <c r="D189" s="198">
        <v>13885</v>
      </c>
      <c r="E189" s="198">
        <v>14124</v>
      </c>
    </row>
    <row r="190" spans="1:6" ht="20.100000000000001" customHeight="1" x14ac:dyDescent="0.2">
      <c r="A190" s="202">
        <v>2</v>
      </c>
      <c r="B190" s="201" t="s">
        <v>427</v>
      </c>
      <c r="C190" s="198">
        <v>54465</v>
      </c>
      <c r="D190" s="198">
        <v>55697</v>
      </c>
      <c r="E190" s="198">
        <v>56136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67553</v>
      </c>
      <c r="D191" s="198">
        <f>+D190+D189</f>
        <v>69582</v>
      </c>
      <c r="E191" s="198">
        <f>+E190+E189</f>
        <v>70260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FILING&amp;RDANBURY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57031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56088</v>
      </c>
      <c r="D14" s="237">
        <v>0</v>
      </c>
      <c r="E14" s="237">
        <f t="shared" ref="E14:E24" si="0">D14-C14</f>
        <v>-56088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24019</v>
      </c>
      <c r="D15" s="237">
        <v>0</v>
      </c>
      <c r="E15" s="237">
        <f t="shared" si="0"/>
        <v>-24019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23911</v>
      </c>
      <c r="D16" s="237">
        <v>117071</v>
      </c>
      <c r="E16" s="237">
        <f t="shared" si="0"/>
        <v>93160</v>
      </c>
      <c r="F16" s="238">
        <f t="shared" si="1"/>
        <v>3.8961147588975784</v>
      </c>
    </row>
    <row r="17" spans="1:6" ht="20.25" customHeight="1" x14ac:dyDescent="0.3">
      <c r="A17" s="235">
        <v>4</v>
      </c>
      <c r="B17" s="236" t="s">
        <v>437</v>
      </c>
      <c r="C17" s="237">
        <v>17118</v>
      </c>
      <c r="D17" s="237">
        <v>94009</v>
      </c>
      <c r="E17" s="237">
        <f t="shared" si="0"/>
        <v>76891</v>
      </c>
      <c r="F17" s="238">
        <f t="shared" si="1"/>
        <v>4.4918214744713163</v>
      </c>
    </row>
    <row r="18" spans="1:6" ht="20.25" customHeight="1" x14ac:dyDescent="0.3">
      <c r="A18" s="235">
        <v>5</v>
      </c>
      <c r="B18" s="236" t="s">
        <v>373</v>
      </c>
      <c r="C18" s="239">
        <v>2</v>
      </c>
      <c r="D18" s="239">
        <v>0</v>
      </c>
      <c r="E18" s="239">
        <f t="shared" si="0"/>
        <v>-2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9</v>
      </c>
      <c r="D19" s="239">
        <v>0</v>
      </c>
      <c r="E19" s="239">
        <f t="shared" si="0"/>
        <v>-9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7</v>
      </c>
      <c r="D20" s="239">
        <v>32</v>
      </c>
      <c r="E20" s="239">
        <f t="shared" si="0"/>
        <v>25</v>
      </c>
      <c r="F20" s="238">
        <f t="shared" si="1"/>
        <v>3.5714285714285716</v>
      </c>
    </row>
    <row r="21" spans="1:6" ht="20.25" customHeight="1" x14ac:dyDescent="0.3">
      <c r="A21" s="235">
        <v>8</v>
      </c>
      <c r="B21" s="236" t="s">
        <v>439</v>
      </c>
      <c r="C21" s="239">
        <v>1</v>
      </c>
      <c r="D21" s="239">
        <v>8</v>
      </c>
      <c r="E21" s="239">
        <f t="shared" si="0"/>
        <v>7</v>
      </c>
      <c r="F21" s="238">
        <f t="shared" si="1"/>
        <v>7</v>
      </c>
    </row>
    <row r="22" spans="1:6" ht="20.25" customHeight="1" x14ac:dyDescent="0.3">
      <c r="A22" s="235">
        <v>9</v>
      </c>
      <c r="B22" s="236" t="s">
        <v>440</v>
      </c>
      <c r="C22" s="239">
        <v>2</v>
      </c>
      <c r="D22" s="239">
        <v>0</v>
      </c>
      <c r="E22" s="239">
        <f t="shared" si="0"/>
        <v>-2</v>
      </c>
      <c r="F22" s="238">
        <f t="shared" si="1"/>
        <v>-1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79999</v>
      </c>
      <c r="D23" s="243">
        <f>+D14+D16</f>
        <v>117071</v>
      </c>
      <c r="E23" s="243">
        <f t="shared" si="0"/>
        <v>37072</v>
      </c>
      <c r="F23" s="244">
        <f t="shared" si="1"/>
        <v>0.46340579257240716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41137</v>
      </c>
      <c r="D24" s="243">
        <f>+D15+D17</f>
        <v>94009</v>
      </c>
      <c r="E24" s="243">
        <f t="shared" si="0"/>
        <v>52872</v>
      </c>
      <c r="F24" s="244">
        <f t="shared" si="1"/>
        <v>1.2852663052726256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2503052</v>
      </c>
      <c r="D40" s="237">
        <v>2916107</v>
      </c>
      <c r="E40" s="237">
        <f t="shared" ref="E40:E50" si="4">D40-C40</f>
        <v>413055</v>
      </c>
      <c r="F40" s="238">
        <f t="shared" ref="F40:F50" si="5">IF(C40=0,0,E40/C40)</f>
        <v>0.1650205429212018</v>
      </c>
    </row>
    <row r="41" spans="1:6" ht="20.25" customHeight="1" x14ac:dyDescent="0.3">
      <c r="A41" s="235">
        <v>2</v>
      </c>
      <c r="B41" s="236" t="s">
        <v>435</v>
      </c>
      <c r="C41" s="237">
        <v>868825</v>
      </c>
      <c r="D41" s="237">
        <v>957578</v>
      </c>
      <c r="E41" s="237">
        <f t="shared" si="4"/>
        <v>88753</v>
      </c>
      <c r="F41" s="238">
        <f t="shared" si="5"/>
        <v>0.10215290766264783</v>
      </c>
    </row>
    <row r="42" spans="1:6" ht="20.25" customHeight="1" x14ac:dyDescent="0.3">
      <c r="A42" s="235">
        <v>3</v>
      </c>
      <c r="B42" s="236" t="s">
        <v>436</v>
      </c>
      <c r="C42" s="237">
        <v>1516484</v>
      </c>
      <c r="D42" s="237">
        <v>2024828</v>
      </c>
      <c r="E42" s="237">
        <f t="shared" si="4"/>
        <v>508344</v>
      </c>
      <c r="F42" s="238">
        <f t="shared" si="5"/>
        <v>0.33521224094682173</v>
      </c>
    </row>
    <row r="43" spans="1:6" ht="20.25" customHeight="1" x14ac:dyDescent="0.3">
      <c r="A43" s="235">
        <v>4</v>
      </c>
      <c r="B43" s="236" t="s">
        <v>437</v>
      </c>
      <c r="C43" s="237">
        <v>536968</v>
      </c>
      <c r="D43" s="237">
        <v>716537</v>
      </c>
      <c r="E43" s="237">
        <f t="shared" si="4"/>
        <v>179569</v>
      </c>
      <c r="F43" s="238">
        <f t="shared" si="5"/>
        <v>0.33441285141758914</v>
      </c>
    </row>
    <row r="44" spans="1:6" ht="20.25" customHeight="1" x14ac:dyDescent="0.3">
      <c r="A44" s="235">
        <v>5</v>
      </c>
      <c r="B44" s="236" t="s">
        <v>373</v>
      </c>
      <c r="C44" s="239">
        <v>76</v>
      </c>
      <c r="D44" s="239">
        <v>83</v>
      </c>
      <c r="E44" s="239">
        <f t="shared" si="4"/>
        <v>7</v>
      </c>
      <c r="F44" s="238">
        <f t="shared" si="5"/>
        <v>9.2105263157894732E-2</v>
      </c>
    </row>
    <row r="45" spans="1:6" ht="20.25" customHeight="1" x14ac:dyDescent="0.3">
      <c r="A45" s="235">
        <v>6</v>
      </c>
      <c r="B45" s="236" t="s">
        <v>372</v>
      </c>
      <c r="C45" s="239">
        <v>392</v>
      </c>
      <c r="D45" s="239">
        <v>555</v>
      </c>
      <c r="E45" s="239">
        <f t="shared" si="4"/>
        <v>163</v>
      </c>
      <c r="F45" s="238">
        <f t="shared" si="5"/>
        <v>0.41581632653061223</v>
      </c>
    </row>
    <row r="46" spans="1:6" ht="20.25" customHeight="1" x14ac:dyDescent="0.3">
      <c r="A46" s="235">
        <v>7</v>
      </c>
      <c r="B46" s="236" t="s">
        <v>438</v>
      </c>
      <c r="C46" s="239">
        <v>423</v>
      </c>
      <c r="D46" s="239">
        <v>553</v>
      </c>
      <c r="E46" s="239">
        <f t="shared" si="4"/>
        <v>130</v>
      </c>
      <c r="F46" s="238">
        <f t="shared" si="5"/>
        <v>0.30732860520094563</v>
      </c>
    </row>
    <row r="47" spans="1:6" ht="20.25" customHeight="1" x14ac:dyDescent="0.3">
      <c r="A47" s="235">
        <v>8</v>
      </c>
      <c r="B47" s="236" t="s">
        <v>439</v>
      </c>
      <c r="C47" s="239">
        <v>90</v>
      </c>
      <c r="D47" s="239">
        <v>74</v>
      </c>
      <c r="E47" s="239">
        <f t="shared" si="4"/>
        <v>-16</v>
      </c>
      <c r="F47" s="238">
        <f t="shared" si="5"/>
        <v>-0.17777777777777778</v>
      </c>
    </row>
    <row r="48" spans="1:6" ht="20.25" customHeight="1" x14ac:dyDescent="0.3">
      <c r="A48" s="235">
        <v>9</v>
      </c>
      <c r="B48" s="236" t="s">
        <v>440</v>
      </c>
      <c r="C48" s="239">
        <v>55</v>
      </c>
      <c r="D48" s="239">
        <v>50</v>
      </c>
      <c r="E48" s="239">
        <f t="shared" si="4"/>
        <v>-5</v>
      </c>
      <c r="F48" s="238">
        <f t="shared" si="5"/>
        <v>-9.0909090909090912E-2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4019536</v>
      </c>
      <c r="D49" s="243">
        <f>+D40+D42</f>
        <v>4940935</v>
      </c>
      <c r="E49" s="243">
        <f t="shared" si="4"/>
        <v>921399</v>
      </c>
      <c r="F49" s="244">
        <f t="shared" si="5"/>
        <v>0.22923018975324516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1405793</v>
      </c>
      <c r="D50" s="243">
        <f>+D41+D43</f>
        <v>1674115</v>
      </c>
      <c r="E50" s="243">
        <f t="shared" si="4"/>
        <v>268322</v>
      </c>
      <c r="F50" s="244">
        <f t="shared" si="5"/>
        <v>0.19086878366871937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6959635</v>
      </c>
      <c r="D53" s="237">
        <v>7609148</v>
      </c>
      <c r="E53" s="237">
        <f t="shared" ref="E53:E63" si="6">D53-C53</f>
        <v>649513</v>
      </c>
      <c r="F53" s="238">
        <f t="shared" ref="F53:F63" si="7">IF(C53=0,0,E53/C53)</f>
        <v>9.3325727570483227E-2</v>
      </c>
    </row>
    <row r="54" spans="1:6" ht="20.25" customHeight="1" x14ac:dyDescent="0.3">
      <c r="A54" s="235">
        <v>2</v>
      </c>
      <c r="B54" s="236" t="s">
        <v>435</v>
      </c>
      <c r="C54" s="237">
        <v>2432635</v>
      </c>
      <c r="D54" s="237">
        <v>2636320</v>
      </c>
      <c r="E54" s="237">
        <f t="shared" si="6"/>
        <v>203685</v>
      </c>
      <c r="F54" s="238">
        <f t="shared" si="7"/>
        <v>8.3730193802193917E-2</v>
      </c>
    </row>
    <row r="55" spans="1:6" ht="20.25" customHeight="1" x14ac:dyDescent="0.3">
      <c r="A55" s="235">
        <v>3</v>
      </c>
      <c r="B55" s="236" t="s">
        <v>436</v>
      </c>
      <c r="C55" s="237">
        <v>3935789</v>
      </c>
      <c r="D55" s="237">
        <v>4609775</v>
      </c>
      <c r="E55" s="237">
        <f t="shared" si="6"/>
        <v>673986</v>
      </c>
      <c r="F55" s="238">
        <f t="shared" si="7"/>
        <v>0.17124546056711881</v>
      </c>
    </row>
    <row r="56" spans="1:6" ht="20.25" customHeight="1" x14ac:dyDescent="0.3">
      <c r="A56" s="235">
        <v>4</v>
      </c>
      <c r="B56" s="236" t="s">
        <v>437</v>
      </c>
      <c r="C56" s="237">
        <v>1122043</v>
      </c>
      <c r="D56" s="237">
        <v>1424520</v>
      </c>
      <c r="E56" s="237">
        <f t="shared" si="6"/>
        <v>302477</v>
      </c>
      <c r="F56" s="238">
        <f t="shared" si="7"/>
        <v>0.2695770126456829</v>
      </c>
    </row>
    <row r="57" spans="1:6" ht="20.25" customHeight="1" x14ac:dyDescent="0.3">
      <c r="A57" s="235">
        <v>5</v>
      </c>
      <c r="B57" s="236" t="s">
        <v>373</v>
      </c>
      <c r="C57" s="239">
        <v>213</v>
      </c>
      <c r="D57" s="239">
        <v>256</v>
      </c>
      <c r="E57" s="239">
        <f t="shared" si="6"/>
        <v>43</v>
      </c>
      <c r="F57" s="238">
        <f t="shared" si="7"/>
        <v>0.20187793427230047</v>
      </c>
    </row>
    <row r="58" spans="1:6" ht="20.25" customHeight="1" x14ac:dyDescent="0.3">
      <c r="A58" s="235">
        <v>6</v>
      </c>
      <c r="B58" s="236" t="s">
        <v>372</v>
      </c>
      <c r="C58" s="239">
        <v>1140</v>
      </c>
      <c r="D58" s="239">
        <v>1364</v>
      </c>
      <c r="E58" s="239">
        <f t="shared" si="6"/>
        <v>224</v>
      </c>
      <c r="F58" s="238">
        <f t="shared" si="7"/>
        <v>0.19649122807017544</v>
      </c>
    </row>
    <row r="59" spans="1:6" ht="20.25" customHeight="1" x14ac:dyDescent="0.3">
      <c r="A59" s="235">
        <v>7</v>
      </c>
      <c r="B59" s="236" t="s">
        <v>438</v>
      </c>
      <c r="C59" s="239">
        <v>1098</v>
      </c>
      <c r="D59" s="239">
        <v>1262</v>
      </c>
      <c r="E59" s="239">
        <f t="shared" si="6"/>
        <v>164</v>
      </c>
      <c r="F59" s="238">
        <f t="shared" si="7"/>
        <v>0.1493624772313297</v>
      </c>
    </row>
    <row r="60" spans="1:6" ht="20.25" customHeight="1" x14ac:dyDescent="0.3">
      <c r="A60" s="235">
        <v>8</v>
      </c>
      <c r="B60" s="236" t="s">
        <v>439</v>
      </c>
      <c r="C60" s="239">
        <v>234</v>
      </c>
      <c r="D60" s="239">
        <v>214</v>
      </c>
      <c r="E60" s="239">
        <f t="shared" si="6"/>
        <v>-20</v>
      </c>
      <c r="F60" s="238">
        <f t="shared" si="7"/>
        <v>-8.5470085470085472E-2</v>
      </c>
    </row>
    <row r="61" spans="1:6" ht="20.25" customHeight="1" x14ac:dyDescent="0.3">
      <c r="A61" s="235">
        <v>9</v>
      </c>
      <c r="B61" s="236" t="s">
        <v>440</v>
      </c>
      <c r="C61" s="239">
        <v>145</v>
      </c>
      <c r="D61" s="239">
        <v>174</v>
      </c>
      <c r="E61" s="239">
        <f t="shared" si="6"/>
        <v>29</v>
      </c>
      <c r="F61" s="238">
        <f t="shared" si="7"/>
        <v>0.2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10895424</v>
      </c>
      <c r="D62" s="243">
        <f>+D53+D55</f>
        <v>12218923</v>
      </c>
      <c r="E62" s="243">
        <f t="shared" si="6"/>
        <v>1323499</v>
      </c>
      <c r="F62" s="244">
        <f t="shared" si="7"/>
        <v>0.12147292294453158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3554678</v>
      </c>
      <c r="D63" s="243">
        <f>+D54+D56</f>
        <v>4060840</v>
      </c>
      <c r="E63" s="243">
        <f t="shared" si="6"/>
        <v>506162</v>
      </c>
      <c r="F63" s="244">
        <f t="shared" si="7"/>
        <v>0.14239320692338378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2620755</v>
      </c>
      <c r="D66" s="237">
        <v>2851662</v>
      </c>
      <c r="E66" s="237">
        <f t="shared" ref="E66:E76" si="8">D66-C66</f>
        <v>230907</v>
      </c>
      <c r="F66" s="238">
        <f t="shared" ref="F66:F76" si="9">IF(C66=0,0,E66/C66)</f>
        <v>8.8107053120188641E-2</v>
      </c>
    </row>
    <row r="67" spans="1:6" ht="20.25" customHeight="1" x14ac:dyDescent="0.3">
      <c r="A67" s="235">
        <v>2</v>
      </c>
      <c r="B67" s="236" t="s">
        <v>435</v>
      </c>
      <c r="C67" s="237">
        <v>970133</v>
      </c>
      <c r="D67" s="237">
        <v>932143</v>
      </c>
      <c r="E67" s="237">
        <f t="shared" si="8"/>
        <v>-37990</v>
      </c>
      <c r="F67" s="238">
        <f t="shared" si="9"/>
        <v>-3.9159579150487615E-2</v>
      </c>
    </row>
    <row r="68" spans="1:6" ht="20.25" customHeight="1" x14ac:dyDescent="0.3">
      <c r="A68" s="235">
        <v>3</v>
      </c>
      <c r="B68" s="236" t="s">
        <v>436</v>
      </c>
      <c r="C68" s="237">
        <v>1723085</v>
      </c>
      <c r="D68" s="237">
        <v>1465204</v>
      </c>
      <c r="E68" s="237">
        <f t="shared" si="8"/>
        <v>-257881</v>
      </c>
      <c r="F68" s="238">
        <f t="shared" si="9"/>
        <v>-0.14966237881474218</v>
      </c>
    </row>
    <row r="69" spans="1:6" ht="20.25" customHeight="1" x14ac:dyDescent="0.3">
      <c r="A69" s="235">
        <v>4</v>
      </c>
      <c r="B69" s="236" t="s">
        <v>437</v>
      </c>
      <c r="C69" s="237">
        <v>591695</v>
      </c>
      <c r="D69" s="237">
        <v>505335</v>
      </c>
      <c r="E69" s="237">
        <f t="shared" si="8"/>
        <v>-86360</v>
      </c>
      <c r="F69" s="238">
        <f t="shared" si="9"/>
        <v>-0.14595357405420023</v>
      </c>
    </row>
    <row r="70" spans="1:6" ht="20.25" customHeight="1" x14ac:dyDescent="0.3">
      <c r="A70" s="235">
        <v>5</v>
      </c>
      <c r="B70" s="236" t="s">
        <v>373</v>
      </c>
      <c r="C70" s="239">
        <v>94</v>
      </c>
      <c r="D70" s="239">
        <v>91</v>
      </c>
      <c r="E70" s="239">
        <f t="shared" si="8"/>
        <v>-3</v>
      </c>
      <c r="F70" s="238">
        <f t="shared" si="9"/>
        <v>-3.1914893617021274E-2</v>
      </c>
    </row>
    <row r="71" spans="1:6" ht="20.25" customHeight="1" x14ac:dyDescent="0.3">
      <c r="A71" s="235">
        <v>6</v>
      </c>
      <c r="B71" s="236" t="s">
        <v>372</v>
      </c>
      <c r="C71" s="239">
        <v>455</v>
      </c>
      <c r="D71" s="239">
        <v>597</v>
      </c>
      <c r="E71" s="239">
        <f t="shared" si="8"/>
        <v>142</v>
      </c>
      <c r="F71" s="238">
        <f t="shared" si="9"/>
        <v>0.31208791208791209</v>
      </c>
    </row>
    <row r="72" spans="1:6" ht="20.25" customHeight="1" x14ac:dyDescent="0.3">
      <c r="A72" s="235">
        <v>7</v>
      </c>
      <c r="B72" s="236" t="s">
        <v>438</v>
      </c>
      <c r="C72" s="239">
        <v>481</v>
      </c>
      <c r="D72" s="239">
        <v>400</v>
      </c>
      <c r="E72" s="239">
        <f t="shared" si="8"/>
        <v>-81</v>
      </c>
      <c r="F72" s="238">
        <f t="shared" si="9"/>
        <v>-0.16839916839916841</v>
      </c>
    </row>
    <row r="73" spans="1:6" ht="20.25" customHeight="1" x14ac:dyDescent="0.3">
      <c r="A73" s="235">
        <v>8</v>
      </c>
      <c r="B73" s="236" t="s">
        <v>439</v>
      </c>
      <c r="C73" s="239">
        <v>102</v>
      </c>
      <c r="D73" s="239">
        <v>112</v>
      </c>
      <c r="E73" s="239">
        <f t="shared" si="8"/>
        <v>10</v>
      </c>
      <c r="F73" s="238">
        <f t="shared" si="9"/>
        <v>9.8039215686274508E-2</v>
      </c>
    </row>
    <row r="74" spans="1:6" ht="20.25" customHeight="1" x14ac:dyDescent="0.3">
      <c r="A74" s="235">
        <v>9</v>
      </c>
      <c r="B74" s="236" t="s">
        <v>440</v>
      </c>
      <c r="C74" s="239">
        <v>82</v>
      </c>
      <c r="D74" s="239">
        <v>77</v>
      </c>
      <c r="E74" s="239">
        <f t="shared" si="8"/>
        <v>-5</v>
      </c>
      <c r="F74" s="238">
        <f t="shared" si="9"/>
        <v>-6.097560975609756E-2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4343840</v>
      </c>
      <c r="D75" s="243">
        <f>+D66+D68</f>
        <v>4316866</v>
      </c>
      <c r="E75" s="243">
        <f t="shared" si="8"/>
        <v>-26974</v>
      </c>
      <c r="F75" s="244">
        <f t="shared" si="9"/>
        <v>-6.2097130649379348E-3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1561828</v>
      </c>
      <c r="D76" s="243">
        <f>+D67+D69</f>
        <v>1437478</v>
      </c>
      <c r="E76" s="243">
        <f t="shared" si="8"/>
        <v>-124350</v>
      </c>
      <c r="F76" s="244">
        <f t="shared" si="9"/>
        <v>-7.9618242213611232E-2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1034999</v>
      </c>
      <c r="D118" s="237">
        <v>2177543</v>
      </c>
      <c r="E118" s="237">
        <f t="shared" ref="E118:E128" si="16">D118-C118</f>
        <v>1142544</v>
      </c>
      <c r="F118" s="238">
        <f t="shared" ref="F118:F128" si="17">IF(C118=0,0,E118/C118)</f>
        <v>1.1039083129548917</v>
      </c>
    </row>
    <row r="119" spans="1:6" ht="20.25" customHeight="1" x14ac:dyDescent="0.3">
      <c r="A119" s="235">
        <v>2</v>
      </c>
      <c r="B119" s="236" t="s">
        <v>435</v>
      </c>
      <c r="C119" s="237">
        <v>384459</v>
      </c>
      <c r="D119" s="237">
        <v>821518</v>
      </c>
      <c r="E119" s="237">
        <f t="shared" si="16"/>
        <v>437059</v>
      </c>
      <c r="F119" s="238">
        <f t="shared" si="17"/>
        <v>1.1368156292348468</v>
      </c>
    </row>
    <row r="120" spans="1:6" ht="20.25" customHeight="1" x14ac:dyDescent="0.3">
      <c r="A120" s="235">
        <v>3</v>
      </c>
      <c r="B120" s="236" t="s">
        <v>436</v>
      </c>
      <c r="C120" s="237">
        <v>1176172</v>
      </c>
      <c r="D120" s="237">
        <v>1558489</v>
      </c>
      <c r="E120" s="237">
        <f t="shared" si="16"/>
        <v>382317</v>
      </c>
      <c r="F120" s="238">
        <f t="shared" si="17"/>
        <v>0.32505194818444921</v>
      </c>
    </row>
    <row r="121" spans="1:6" ht="20.25" customHeight="1" x14ac:dyDescent="0.3">
      <c r="A121" s="235">
        <v>4</v>
      </c>
      <c r="B121" s="236" t="s">
        <v>437</v>
      </c>
      <c r="C121" s="237">
        <v>676208</v>
      </c>
      <c r="D121" s="237">
        <v>799970</v>
      </c>
      <c r="E121" s="237">
        <f t="shared" si="16"/>
        <v>123762</v>
      </c>
      <c r="F121" s="238">
        <f t="shared" si="17"/>
        <v>0.18302356671320066</v>
      </c>
    </row>
    <row r="122" spans="1:6" ht="20.25" customHeight="1" x14ac:dyDescent="0.3">
      <c r="A122" s="235">
        <v>5</v>
      </c>
      <c r="B122" s="236" t="s">
        <v>373</v>
      </c>
      <c r="C122" s="239">
        <v>38</v>
      </c>
      <c r="D122" s="239">
        <v>89</v>
      </c>
      <c r="E122" s="239">
        <f t="shared" si="16"/>
        <v>51</v>
      </c>
      <c r="F122" s="238">
        <f t="shared" si="17"/>
        <v>1.3421052631578947</v>
      </c>
    </row>
    <row r="123" spans="1:6" ht="20.25" customHeight="1" x14ac:dyDescent="0.3">
      <c r="A123" s="235">
        <v>6</v>
      </c>
      <c r="B123" s="236" t="s">
        <v>372</v>
      </c>
      <c r="C123" s="239">
        <v>177</v>
      </c>
      <c r="D123" s="239">
        <v>468</v>
      </c>
      <c r="E123" s="239">
        <f t="shared" si="16"/>
        <v>291</v>
      </c>
      <c r="F123" s="238">
        <f t="shared" si="17"/>
        <v>1.6440677966101696</v>
      </c>
    </row>
    <row r="124" spans="1:6" ht="20.25" customHeight="1" x14ac:dyDescent="0.3">
      <c r="A124" s="235">
        <v>7</v>
      </c>
      <c r="B124" s="236" t="s">
        <v>438</v>
      </c>
      <c r="C124" s="239">
        <v>328</v>
      </c>
      <c r="D124" s="239">
        <v>426</v>
      </c>
      <c r="E124" s="239">
        <f t="shared" si="16"/>
        <v>98</v>
      </c>
      <c r="F124" s="238">
        <f t="shared" si="17"/>
        <v>0.29878048780487804</v>
      </c>
    </row>
    <row r="125" spans="1:6" ht="20.25" customHeight="1" x14ac:dyDescent="0.3">
      <c r="A125" s="235">
        <v>8</v>
      </c>
      <c r="B125" s="236" t="s">
        <v>439</v>
      </c>
      <c r="C125" s="239">
        <v>70</v>
      </c>
      <c r="D125" s="239">
        <v>65</v>
      </c>
      <c r="E125" s="239">
        <f t="shared" si="16"/>
        <v>-5</v>
      </c>
      <c r="F125" s="238">
        <f t="shared" si="17"/>
        <v>-7.1428571428571425E-2</v>
      </c>
    </row>
    <row r="126" spans="1:6" ht="20.25" customHeight="1" x14ac:dyDescent="0.3">
      <c r="A126" s="235">
        <v>9</v>
      </c>
      <c r="B126" s="236" t="s">
        <v>440</v>
      </c>
      <c r="C126" s="239">
        <v>29</v>
      </c>
      <c r="D126" s="239">
        <v>71</v>
      </c>
      <c r="E126" s="239">
        <f t="shared" si="16"/>
        <v>42</v>
      </c>
      <c r="F126" s="238">
        <f t="shared" si="17"/>
        <v>1.4482758620689655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2211171</v>
      </c>
      <c r="D127" s="243">
        <f>+D118+D120</f>
        <v>3736032</v>
      </c>
      <c r="E127" s="243">
        <f t="shared" si="16"/>
        <v>1524861</v>
      </c>
      <c r="F127" s="244">
        <f t="shared" si="17"/>
        <v>0.68961694957106434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1060667</v>
      </c>
      <c r="D128" s="243">
        <f>+D119+D121</f>
        <v>1621488</v>
      </c>
      <c r="E128" s="243">
        <f t="shared" si="16"/>
        <v>560821</v>
      </c>
      <c r="F128" s="244">
        <f t="shared" si="17"/>
        <v>0.52874370561165762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55128</v>
      </c>
      <c r="D144" s="237">
        <v>1903804</v>
      </c>
      <c r="E144" s="237">
        <f t="shared" ref="E144:E154" si="20">D144-C144</f>
        <v>1848676</v>
      </c>
      <c r="F144" s="238">
        <f t="shared" ref="F144:F154" si="21">IF(C144=0,0,E144/C144)</f>
        <v>33.534247569293278</v>
      </c>
    </row>
    <row r="145" spans="1:6" ht="20.25" customHeight="1" x14ac:dyDescent="0.3">
      <c r="A145" s="235">
        <v>2</v>
      </c>
      <c r="B145" s="236" t="s">
        <v>435</v>
      </c>
      <c r="C145" s="237">
        <v>23601</v>
      </c>
      <c r="D145" s="237">
        <v>750797</v>
      </c>
      <c r="E145" s="237">
        <f t="shared" si="20"/>
        <v>727196</v>
      </c>
      <c r="F145" s="238">
        <f t="shared" si="21"/>
        <v>30.81208423371891</v>
      </c>
    </row>
    <row r="146" spans="1:6" ht="20.25" customHeight="1" x14ac:dyDescent="0.3">
      <c r="A146" s="235">
        <v>3</v>
      </c>
      <c r="B146" s="236" t="s">
        <v>436</v>
      </c>
      <c r="C146" s="237">
        <v>73015</v>
      </c>
      <c r="D146" s="237">
        <v>1421286</v>
      </c>
      <c r="E146" s="237">
        <f t="shared" si="20"/>
        <v>1348271</v>
      </c>
      <c r="F146" s="238">
        <f t="shared" si="21"/>
        <v>18.465671437375882</v>
      </c>
    </row>
    <row r="147" spans="1:6" ht="20.25" customHeight="1" x14ac:dyDescent="0.3">
      <c r="A147" s="235">
        <v>4</v>
      </c>
      <c r="B147" s="236" t="s">
        <v>437</v>
      </c>
      <c r="C147" s="237">
        <v>21568</v>
      </c>
      <c r="D147" s="237">
        <v>374867</v>
      </c>
      <c r="E147" s="237">
        <f t="shared" si="20"/>
        <v>353299</v>
      </c>
      <c r="F147" s="238">
        <f t="shared" si="21"/>
        <v>16.380702893175073</v>
      </c>
    </row>
    <row r="148" spans="1:6" ht="20.25" customHeight="1" x14ac:dyDescent="0.3">
      <c r="A148" s="235">
        <v>5</v>
      </c>
      <c r="B148" s="236" t="s">
        <v>373</v>
      </c>
      <c r="C148" s="239">
        <v>3</v>
      </c>
      <c r="D148" s="239">
        <v>64</v>
      </c>
      <c r="E148" s="239">
        <f t="shared" si="20"/>
        <v>61</v>
      </c>
      <c r="F148" s="238">
        <f t="shared" si="21"/>
        <v>20.333333333333332</v>
      </c>
    </row>
    <row r="149" spans="1:6" ht="20.25" customHeight="1" x14ac:dyDescent="0.3">
      <c r="A149" s="235">
        <v>6</v>
      </c>
      <c r="B149" s="236" t="s">
        <v>372</v>
      </c>
      <c r="C149" s="239">
        <v>11</v>
      </c>
      <c r="D149" s="239">
        <v>361</v>
      </c>
      <c r="E149" s="239">
        <f t="shared" si="20"/>
        <v>350</v>
      </c>
      <c r="F149" s="238">
        <f t="shared" si="21"/>
        <v>31.818181818181817</v>
      </c>
    </row>
    <row r="150" spans="1:6" ht="20.25" customHeight="1" x14ac:dyDescent="0.3">
      <c r="A150" s="235">
        <v>7</v>
      </c>
      <c r="B150" s="236" t="s">
        <v>438</v>
      </c>
      <c r="C150" s="239">
        <v>20</v>
      </c>
      <c r="D150" s="239">
        <v>388</v>
      </c>
      <c r="E150" s="239">
        <f t="shared" si="20"/>
        <v>368</v>
      </c>
      <c r="F150" s="238">
        <f t="shared" si="21"/>
        <v>18.399999999999999</v>
      </c>
    </row>
    <row r="151" spans="1:6" ht="20.25" customHeight="1" x14ac:dyDescent="0.3">
      <c r="A151" s="235">
        <v>8</v>
      </c>
      <c r="B151" s="236" t="s">
        <v>439</v>
      </c>
      <c r="C151" s="239">
        <v>4</v>
      </c>
      <c r="D151" s="239">
        <v>83</v>
      </c>
      <c r="E151" s="239">
        <f t="shared" si="20"/>
        <v>79</v>
      </c>
      <c r="F151" s="238">
        <f t="shared" si="21"/>
        <v>19.75</v>
      </c>
    </row>
    <row r="152" spans="1:6" ht="20.25" customHeight="1" x14ac:dyDescent="0.3">
      <c r="A152" s="235">
        <v>9</v>
      </c>
      <c r="B152" s="236" t="s">
        <v>440</v>
      </c>
      <c r="C152" s="239">
        <v>3</v>
      </c>
      <c r="D152" s="239">
        <v>48</v>
      </c>
      <c r="E152" s="239">
        <f t="shared" si="20"/>
        <v>45</v>
      </c>
      <c r="F152" s="238">
        <f t="shared" si="21"/>
        <v>15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128143</v>
      </c>
      <c r="D153" s="243">
        <f>+D144+D146</f>
        <v>3325090</v>
      </c>
      <c r="E153" s="243">
        <f t="shared" si="20"/>
        <v>3196947</v>
      </c>
      <c r="F153" s="244">
        <f t="shared" si="21"/>
        <v>24.94827653480877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45169</v>
      </c>
      <c r="D154" s="243">
        <f>+D145+D147</f>
        <v>1125664</v>
      </c>
      <c r="E154" s="243">
        <f t="shared" si="20"/>
        <v>1080495</v>
      </c>
      <c r="F154" s="244">
        <f t="shared" si="21"/>
        <v>23.921162744360071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621953</v>
      </c>
      <c r="D183" s="237">
        <v>682260</v>
      </c>
      <c r="E183" s="237">
        <f t="shared" ref="E183:E193" si="26">D183-C183</f>
        <v>60307</v>
      </c>
      <c r="F183" s="238">
        <f t="shared" ref="F183:F193" si="27">IF(C183=0,0,E183/C183)</f>
        <v>9.6963918495449011E-2</v>
      </c>
    </row>
    <row r="184" spans="1:6" ht="20.25" customHeight="1" x14ac:dyDescent="0.3">
      <c r="A184" s="235">
        <v>2</v>
      </c>
      <c r="B184" s="236" t="s">
        <v>435</v>
      </c>
      <c r="C184" s="237">
        <v>195731</v>
      </c>
      <c r="D184" s="237">
        <v>279172</v>
      </c>
      <c r="E184" s="237">
        <f t="shared" si="26"/>
        <v>83441</v>
      </c>
      <c r="F184" s="238">
        <f t="shared" si="27"/>
        <v>0.42630446888842338</v>
      </c>
    </row>
    <row r="185" spans="1:6" ht="20.25" customHeight="1" x14ac:dyDescent="0.3">
      <c r="A185" s="235">
        <v>3</v>
      </c>
      <c r="B185" s="236" t="s">
        <v>436</v>
      </c>
      <c r="C185" s="237">
        <v>790346</v>
      </c>
      <c r="D185" s="237">
        <v>673313</v>
      </c>
      <c r="E185" s="237">
        <f t="shared" si="26"/>
        <v>-117033</v>
      </c>
      <c r="F185" s="238">
        <f t="shared" si="27"/>
        <v>-0.14807818347913446</v>
      </c>
    </row>
    <row r="186" spans="1:6" ht="20.25" customHeight="1" x14ac:dyDescent="0.3">
      <c r="A186" s="235">
        <v>4</v>
      </c>
      <c r="B186" s="236" t="s">
        <v>437</v>
      </c>
      <c r="C186" s="237">
        <v>302224</v>
      </c>
      <c r="D186" s="237">
        <v>257797</v>
      </c>
      <c r="E186" s="237">
        <f t="shared" si="26"/>
        <v>-44427</v>
      </c>
      <c r="F186" s="238">
        <f t="shared" si="27"/>
        <v>-0.14700023823389274</v>
      </c>
    </row>
    <row r="187" spans="1:6" ht="20.25" customHeight="1" x14ac:dyDescent="0.3">
      <c r="A187" s="235">
        <v>5</v>
      </c>
      <c r="B187" s="236" t="s">
        <v>373</v>
      </c>
      <c r="C187" s="239">
        <v>22</v>
      </c>
      <c r="D187" s="239">
        <v>32</v>
      </c>
      <c r="E187" s="239">
        <f t="shared" si="26"/>
        <v>10</v>
      </c>
      <c r="F187" s="238">
        <f t="shared" si="27"/>
        <v>0.45454545454545453</v>
      </c>
    </row>
    <row r="188" spans="1:6" ht="20.25" customHeight="1" x14ac:dyDescent="0.3">
      <c r="A188" s="235">
        <v>6</v>
      </c>
      <c r="B188" s="236" t="s">
        <v>372</v>
      </c>
      <c r="C188" s="239">
        <v>112</v>
      </c>
      <c r="D188" s="239">
        <v>151</v>
      </c>
      <c r="E188" s="239">
        <f t="shared" si="26"/>
        <v>39</v>
      </c>
      <c r="F188" s="238">
        <f t="shared" si="27"/>
        <v>0.3482142857142857</v>
      </c>
    </row>
    <row r="189" spans="1:6" ht="20.25" customHeight="1" x14ac:dyDescent="0.3">
      <c r="A189" s="235">
        <v>7</v>
      </c>
      <c r="B189" s="236" t="s">
        <v>438</v>
      </c>
      <c r="C189" s="239">
        <v>220</v>
      </c>
      <c r="D189" s="239">
        <v>184</v>
      </c>
      <c r="E189" s="239">
        <f t="shared" si="26"/>
        <v>-36</v>
      </c>
      <c r="F189" s="238">
        <f t="shared" si="27"/>
        <v>-0.16363636363636364</v>
      </c>
    </row>
    <row r="190" spans="1:6" ht="20.25" customHeight="1" x14ac:dyDescent="0.3">
      <c r="A190" s="235">
        <v>8</v>
      </c>
      <c r="B190" s="236" t="s">
        <v>439</v>
      </c>
      <c r="C190" s="239">
        <v>47</v>
      </c>
      <c r="D190" s="239">
        <v>49</v>
      </c>
      <c r="E190" s="239">
        <f t="shared" si="26"/>
        <v>2</v>
      </c>
      <c r="F190" s="238">
        <f t="shared" si="27"/>
        <v>4.2553191489361701E-2</v>
      </c>
    </row>
    <row r="191" spans="1:6" ht="20.25" customHeight="1" x14ac:dyDescent="0.3">
      <c r="A191" s="235">
        <v>9</v>
      </c>
      <c r="B191" s="236" t="s">
        <v>440</v>
      </c>
      <c r="C191" s="239">
        <v>15</v>
      </c>
      <c r="D191" s="239">
        <v>24</v>
      </c>
      <c r="E191" s="239">
        <f t="shared" si="26"/>
        <v>9</v>
      </c>
      <c r="F191" s="238">
        <f t="shared" si="27"/>
        <v>0.6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1412299</v>
      </c>
      <c r="D192" s="243">
        <f>+D183+D185</f>
        <v>1355573</v>
      </c>
      <c r="E192" s="243">
        <f t="shared" si="26"/>
        <v>-56726</v>
      </c>
      <c r="F192" s="244">
        <f t="shared" si="27"/>
        <v>-4.0165715616877165E-2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497955</v>
      </c>
      <c r="D193" s="243">
        <f>+D184+D186</f>
        <v>536969</v>
      </c>
      <c r="E193" s="243">
        <f t="shared" si="26"/>
        <v>39014</v>
      </c>
      <c r="F193" s="244">
        <f t="shared" si="27"/>
        <v>7.8348445140625153E-2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13851610</v>
      </c>
      <c r="D198" s="243">
        <f t="shared" si="28"/>
        <v>18140524</v>
      </c>
      <c r="E198" s="243">
        <f t="shared" ref="E198:E208" si="29">D198-C198</f>
        <v>4288914</v>
      </c>
      <c r="F198" s="251">
        <f t="shared" ref="F198:F208" si="30">IF(C198=0,0,E198/C198)</f>
        <v>0.30963288744052136</v>
      </c>
    </row>
    <row r="199" spans="1:9" ht="20.25" customHeight="1" x14ac:dyDescent="0.3">
      <c r="A199" s="249"/>
      <c r="B199" s="250" t="s">
        <v>461</v>
      </c>
      <c r="C199" s="243">
        <f t="shared" si="28"/>
        <v>4899403</v>
      </c>
      <c r="D199" s="243">
        <f t="shared" si="28"/>
        <v>6377528</v>
      </c>
      <c r="E199" s="243">
        <f t="shared" si="29"/>
        <v>1478125</v>
      </c>
      <c r="F199" s="251">
        <f t="shared" si="30"/>
        <v>0.3016949207893288</v>
      </c>
    </row>
    <row r="200" spans="1:9" ht="20.25" customHeight="1" x14ac:dyDescent="0.3">
      <c r="A200" s="249"/>
      <c r="B200" s="250" t="s">
        <v>462</v>
      </c>
      <c r="C200" s="243">
        <f t="shared" si="28"/>
        <v>9238802</v>
      </c>
      <c r="D200" s="243">
        <f t="shared" si="28"/>
        <v>11869966</v>
      </c>
      <c r="E200" s="243">
        <f t="shared" si="29"/>
        <v>2631164</v>
      </c>
      <c r="F200" s="251">
        <f t="shared" si="30"/>
        <v>0.28479493336906669</v>
      </c>
    </row>
    <row r="201" spans="1:9" ht="20.25" customHeight="1" x14ac:dyDescent="0.3">
      <c r="A201" s="249"/>
      <c r="B201" s="250" t="s">
        <v>463</v>
      </c>
      <c r="C201" s="243">
        <f t="shared" si="28"/>
        <v>3267824</v>
      </c>
      <c r="D201" s="243">
        <f t="shared" si="28"/>
        <v>4173035</v>
      </c>
      <c r="E201" s="243">
        <f t="shared" si="29"/>
        <v>905211</v>
      </c>
      <c r="F201" s="251">
        <f t="shared" si="30"/>
        <v>0.27700726844530182</v>
      </c>
    </row>
    <row r="202" spans="1:9" ht="20.25" customHeight="1" x14ac:dyDescent="0.3">
      <c r="A202" s="249"/>
      <c r="B202" s="250" t="s">
        <v>464</v>
      </c>
      <c r="C202" s="252">
        <f t="shared" si="28"/>
        <v>448</v>
      </c>
      <c r="D202" s="252">
        <f t="shared" si="28"/>
        <v>615</v>
      </c>
      <c r="E202" s="252">
        <f t="shared" si="29"/>
        <v>167</v>
      </c>
      <c r="F202" s="251">
        <f t="shared" si="30"/>
        <v>0.37276785714285715</v>
      </c>
    </row>
    <row r="203" spans="1:9" ht="20.25" customHeight="1" x14ac:dyDescent="0.3">
      <c r="A203" s="249"/>
      <c r="B203" s="250" t="s">
        <v>465</v>
      </c>
      <c r="C203" s="252">
        <f t="shared" si="28"/>
        <v>2296</v>
      </c>
      <c r="D203" s="252">
        <f t="shared" si="28"/>
        <v>3496</v>
      </c>
      <c r="E203" s="252">
        <f t="shared" si="29"/>
        <v>1200</v>
      </c>
      <c r="F203" s="251">
        <f t="shared" si="30"/>
        <v>0.52264808362369342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2577</v>
      </c>
      <c r="D204" s="252">
        <f t="shared" si="28"/>
        <v>3245</v>
      </c>
      <c r="E204" s="252">
        <f t="shared" si="29"/>
        <v>668</v>
      </c>
      <c r="F204" s="251">
        <f t="shared" si="30"/>
        <v>0.25921614280170741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548</v>
      </c>
      <c r="D205" s="252">
        <f t="shared" si="28"/>
        <v>605</v>
      </c>
      <c r="E205" s="252">
        <f t="shared" si="29"/>
        <v>57</v>
      </c>
      <c r="F205" s="251">
        <f t="shared" si="30"/>
        <v>0.10401459854014598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331</v>
      </c>
      <c r="D206" s="252">
        <f t="shared" si="28"/>
        <v>444</v>
      </c>
      <c r="E206" s="252">
        <f t="shared" si="29"/>
        <v>113</v>
      </c>
      <c r="F206" s="251">
        <f t="shared" si="30"/>
        <v>0.34138972809667673</v>
      </c>
    </row>
    <row r="207" spans="1:9" ht="20.25" customHeight="1" x14ac:dyDescent="0.3">
      <c r="A207" s="249"/>
      <c r="B207" s="242" t="s">
        <v>469</v>
      </c>
      <c r="C207" s="243">
        <f>+C198+C200</f>
        <v>23090412</v>
      </c>
      <c r="D207" s="243">
        <f>+D198+D200</f>
        <v>30010490</v>
      </c>
      <c r="E207" s="243">
        <f t="shared" si="29"/>
        <v>6920078</v>
      </c>
      <c r="F207" s="251">
        <f t="shared" si="30"/>
        <v>0.29969486902182602</v>
      </c>
    </row>
    <row r="208" spans="1:9" ht="20.25" customHeight="1" x14ac:dyDescent="0.3">
      <c r="A208" s="249"/>
      <c r="B208" s="242" t="s">
        <v>470</v>
      </c>
      <c r="C208" s="243">
        <f>+C199+C201</f>
        <v>8167227</v>
      </c>
      <c r="D208" s="243">
        <f>+D199+D201</f>
        <v>10550563</v>
      </c>
      <c r="E208" s="243">
        <f t="shared" si="29"/>
        <v>2383336</v>
      </c>
      <c r="F208" s="251">
        <f t="shared" si="30"/>
        <v>0.29181703900234435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FILING&amp;RDANBURY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1939426</v>
      </c>
      <c r="D14" s="237">
        <v>0</v>
      </c>
      <c r="E14" s="237">
        <f t="shared" ref="E14:E24" si="0">D14-C14</f>
        <v>-1939426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490986</v>
      </c>
      <c r="D15" s="237">
        <v>0</v>
      </c>
      <c r="E15" s="237">
        <f t="shared" si="0"/>
        <v>-490986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3775471</v>
      </c>
      <c r="D16" s="237">
        <v>0</v>
      </c>
      <c r="E16" s="237">
        <f t="shared" si="0"/>
        <v>-3775471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1012314</v>
      </c>
      <c r="D17" s="237">
        <v>0</v>
      </c>
      <c r="E17" s="237">
        <f t="shared" si="0"/>
        <v>-1012314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150</v>
      </c>
      <c r="D18" s="239">
        <v>0</v>
      </c>
      <c r="E18" s="239">
        <f t="shared" si="0"/>
        <v>-150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415</v>
      </c>
      <c r="D19" s="239">
        <v>0</v>
      </c>
      <c r="E19" s="239">
        <f t="shared" si="0"/>
        <v>-415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1602</v>
      </c>
      <c r="D20" s="239">
        <v>0</v>
      </c>
      <c r="E20" s="239">
        <f t="shared" si="0"/>
        <v>-1602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1474</v>
      </c>
      <c r="D21" s="239">
        <v>0</v>
      </c>
      <c r="E21" s="239">
        <f t="shared" si="0"/>
        <v>-1474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39</v>
      </c>
      <c r="D22" s="239">
        <v>0</v>
      </c>
      <c r="E22" s="239">
        <f t="shared" si="0"/>
        <v>-39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5714897</v>
      </c>
      <c r="D23" s="243">
        <f>+D14+D16</f>
        <v>0</v>
      </c>
      <c r="E23" s="243">
        <f t="shared" si="0"/>
        <v>-5714897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1503300</v>
      </c>
      <c r="D24" s="243">
        <f>+D15+D17</f>
        <v>0</v>
      </c>
      <c r="E24" s="243">
        <f t="shared" si="0"/>
        <v>-1503300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5421018</v>
      </c>
      <c r="D26" s="237">
        <v>6776055</v>
      </c>
      <c r="E26" s="237">
        <f t="shared" ref="E26:E36" si="2">D26-C26</f>
        <v>1355037</v>
      </c>
      <c r="F26" s="238">
        <f t="shared" ref="F26:F36" si="3">IF(C26=0,0,E26/C26)</f>
        <v>0.24995987838446579</v>
      </c>
    </row>
    <row r="27" spans="1:6" ht="20.25" customHeight="1" x14ac:dyDescent="0.3">
      <c r="A27" s="235">
        <v>2</v>
      </c>
      <c r="B27" s="236" t="s">
        <v>435</v>
      </c>
      <c r="C27" s="237">
        <v>1502416</v>
      </c>
      <c r="D27" s="237">
        <v>1783294</v>
      </c>
      <c r="E27" s="237">
        <f t="shared" si="2"/>
        <v>280878</v>
      </c>
      <c r="F27" s="238">
        <f t="shared" si="3"/>
        <v>0.18695088444212521</v>
      </c>
    </row>
    <row r="28" spans="1:6" ht="20.25" customHeight="1" x14ac:dyDescent="0.3">
      <c r="A28" s="235">
        <v>3</v>
      </c>
      <c r="B28" s="236" t="s">
        <v>436</v>
      </c>
      <c r="C28" s="237">
        <v>10403657</v>
      </c>
      <c r="D28" s="237">
        <v>14571290</v>
      </c>
      <c r="E28" s="237">
        <f t="shared" si="2"/>
        <v>4167633</v>
      </c>
      <c r="F28" s="238">
        <f t="shared" si="3"/>
        <v>0.40059307991411097</v>
      </c>
    </row>
    <row r="29" spans="1:6" ht="20.25" customHeight="1" x14ac:dyDescent="0.3">
      <c r="A29" s="235">
        <v>4</v>
      </c>
      <c r="B29" s="236" t="s">
        <v>437</v>
      </c>
      <c r="C29" s="237">
        <v>2774930</v>
      </c>
      <c r="D29" s="237">
        <v>3934120</v>
      </c>
      <c r="E29" s="237">
        <f t="shared" si="2"/>
        <v>1159190</v>
      </c>
      <c r="F29" s="238">
        <f t="shared" si="3"/>
        <v>0.41773666362755096</v>
      </c>
    </row>
    <row r="30" spans="1:6" ht="20.25" customHeight="1" x14ac:dyDescent="0.3">
      <c r="A30" s="235">
        <v>5</v>
      </c>
      <c r="B30" s="236" t="s">
        <v>373</v>
      </c>
      <c r="C30" s="239">
        <v>391</v>
      </c>
      <c r="D30" s="239">
        <v>442</v>
      </c>
      <c r="E30" s="239">
        <f t="shared" si="2"/>
        <v>51</v>
      </c>
      <c r="F30" s="238">
        <f t="shared" si="3"/>
        <v>0.13043478260869565</v>
      </c>
    </row>
    <row r="31" spans="1:6" ht="20.25" customHeight="1" x14ac:dyDescent="0.3">
      <c r="A31" s="235">
        <v>6</v>
      </c>
      <c r="B31" s="236" t="s">
        <v>372</v>
      </c>
      <c r="C31" s="239">
        <v>1275</v>
      </c>
      <c r="D31" s="239">
        <v>1528</v>
      </c>
      <c r="E31" s="239">
        <f t="shared" si="2"/>
        <v>253</v>
      </c>
      <c r="F31" s="238">
        <f t="shared" si="3"/>
        <v>0.1984313725490196</v>
      </c>
    </row>
    <row r="32" spans="1:6" ht="20.25" customHeight="1" x14ac:dyDescent="0.3">
      <c r="A32" s="235">
        <v>7</v>
      </c>
      <c r="B32" s="236" t="s">
        <v>438</v>
      </c>
      <c r="C32" s="239">
        <v>4415</v>
      </c>
      <c r="D32" s="239">
        <v>5106</v>
      </c>
      <c r="E32" s="239">
        <f t="shared" si="2"/>
        <v>691</v>
      </c>
      <c r="F32" s="238">
        <f t="shared" si="3"/>
        <v>0.1565118912797282</v>
      </c>
    </row>
    <row r="33" spans="1:6" ht="20.25" customHeight="1" x14ac:dyDescent="0.3">
      <c r="A33" s="235">
        <v>8</v>
      </c>
      <c r="B33" s="236" t="s">
        <v>439</v>
      </c>
      <c r="C33" s="239">
        <v>4061</v>
      </c>
      <c r="D33" s="239">
        <v>5191</v>
      </c>
      <c r="E33" s="239">
        <f t="shared" si="2"/>
        <v>1130</v>
      </c>
      <c r="F33" s="238">
        <f t="shared" si="3"/>
        <v>0.27825658704752526</v>
      </c>
    </row>
    <row r="34" spans="1:6" ht="20.25" customHeight="1" x14ac:dyDescent="0.3">
      <c r="A34" s="235">
        <v>9</v>
      </c>
      <c r="B34" s="236" t="s">
        <v>440</v>
      </c>
      <c r="C34" s="239">
        <v>77</v>
      </c>
      <c r="D34" s="239">
        <v>117</v>
      </c>
      <c r="E34" s="239">
        <f t="shared" si="2"/>
        <v>40</v>
      </c>
      <c r="F34" s="238">
        <f t="shared" si="3"/>
        <v>0.51948051948051943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15824675</v>
      </c>
      <c r="D35" s="243">
        <f>+D26+D28</f>
        <v>21347345</v>
      </c>
      <c r="E35" s="243">
        <f t="shared" si="2"/>
        <v>5522670</v>
      </c>
      <c r="F35" s="244">
        <f t="shared" si="3"/>
        <v>0.34899105352874543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4277346</v>
      </c>
      <c r="D36" s="243">
        <f>+D27+D29</f>
        <v>5717414</v>
      </c>
      <c r="E36" s="243">
        <f t="shared" si="2"/>
        <v>1440068</v>
      </c>
      <c r="F36" s="244">
        <f t="shared" si="3"/>
        <v>0.33667325486411431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491958</v>
      </c>
      <c r="D50" s="237">
        <v>261642</v>
      </c>
      <c r="E50" s="237">
        <f t="shared" ref="E50:E60" si="6">D50-C50</f>
        <v>-230316</v>
      </c>
      <c r="F50" s="238">
        <f t="shared" ref="F50:F60" si="7">IF(C50=0,0,E50/C50)</f>
        <v>-0.46816191626114423</v>
      </c>
    </row>
    <row r="51" spans="1:6" ht="20.25" customHeight="1" x14ac:dyDescent="0.3">
      <c r="A51" s="235">
        <v>2</v>
      </c>
      <c r="B51" s="236" t="s">
        <v>435</v>
      </c>
      <c r="C51" s="237">
        <v>131694</v>
      </c>
      <c r="D51" s="237">
        <v>77803</v>
      </c>
      <c r="E51" s="237">
        <f t="shared" si="6"/>
        <v>-53891</v>
      </c>
      <c r="F51" s="238">
        <f t="shared" si="7"/>
        <v>-0.40921378346773579</v>
      </c>
    </row>
    <row r="52" spans="1:6" ht="20.25" customHeight="1" x14ac:dyDescent="0.3">
      <c r="A52" s="235">
        <v>3</v>
      </c>
      <c r="B52" s="236" t="s">
        <v>436</v>
      </c>
      <c r="C52" s="237">
        <v>118274</v>
      </c>
      <c r="D52" s="237">
        <v>169592</v>
      </c>
      <c r="E52" s="237">
        <f t="shared" si="6"/>
        <v>51318</v>
      </c>
      <c r="F52" s="238">
        <f t="shared" si="7"/>
        <v>0.43389079594839103</v>
      </c>
    </row>
    <row r="53" spans="1:6" ht="20.25" customHeight="1" x14ac:dyDescent="0.3">
      <c r="A53" s="235">
        <v>4</v>
      </c>
      <c r="B53" s="236" t="s">
        <v>437</v>
      </c>
      <c r="C53" s="237">
        <v>27489</v>
      </c>
      <c r="D53" s="237">
        <v>35619</v>
      </c>
      <c r="E53" s="237">
        <f t="shared" si="6"/>
        <v>8130</v>
      </c>
      <c r="F53" s="238">
        <f t="shared" si="7"/>
        <v>0.29575466550256468</v>
      </c>
    </row>
    <row r="54" spans="1:6" ht="20.25" customHeight="1" x14ac:dyDescent="0.3">
      <c r="A54" s="235">
        <v>5</v>
      </c>
      <c r="B54" s="236" t="s">
        <v>373</v>
      </c>
      <c r="C54" s="239">
        <v>22</v>
      </c>
      <c r="D54" s="239">
        <v>15</v>
      </c>
      <c r="E54" s="239">
        <f t="shared" si="6"/>
        <v>-7</v>
      </c>
      <c r="F54" s="238">
        <f t="shared" si="7"/>
        <v>-0.31818181818181818</v>
      </c>
    </row>
    <row r="55" spans="1:6" ht="20.25" customHeight="1" x14ac:dyDescent="0.3">
      <c r="A55" s="235">
        <v>6</v>
      </c>
      <c r="B55" s="236" t="s">
        <v>372</v>
      </c>
      <c r="C55" s="239">
        <v>118</v>
      </c>
      <c r="D55" s="239">
        <v>68</v>
      </c>
      <c r="E55" s="239">
        <f t="shared" si="6"/>
        <v>-50</v>
      </c>
      <c r="F55" s="238">
        <f t="shared" si="7"/>
        <v>-0.42372881355932202</v>
      </c>
    </row>
    <row r="56" spans="1:6" ht="20.25" customHeight="1" x14ac:dyDescent="0.3">
      <c r="A56" s="235">
        <v>7</v>
      </c>
      <c r="B56" s="236" t="s">
        <v>438</v>
      </c>
      <c r="C56" s="239">
        <v>50</v>
      </c>
      <c r="D56" s="239">
        <v>65</v>
      </c>
      <c r="E56" s="239">
        <f t="shared" si="6"/>
        <v>15</v>
      </c>
      <c r="F56" s="238">
        <f t="shared" si="7"/>
        <v>0.3</v>
      </c>
    </row>
    <row r="57" spans="1:6" ht="20.25" customHeight="1" x14ac:dyDescent="0.3">
      <c r="A57" s="235">
        <v>8</v>
      </c>
      <c r="B57" s="236" t="s">
        <v>439</v>
      </c>
      <c r="C57" s="239">
        <v>46</v>
      </c>
      <c r="D57" s="239">
        <v>66</v>
      </c>
      <c r="E57" s="239">
        <f t="shared" si="6"/>
        <v>20</v>
      </c>
      <c r="F57" s="238">
        <f t="shared" si="7"/>
        <v>0.43478260869565216</v>
      </c>
    </row>
    <row r="58" spans="1:6" ht="20.25" customHeight="1" x14ac:dyDescent="0.3">
      <c r="A58" s="235">
        <v>9</v>
      </c>
      <c r="B58" s="236" t="s">
        <v>440</v>
      </c>
      <c r="C58" s="239">
        <v>15</v>
      </c>
      <c r="D58" s="239">
        <v>14</v>
      </c>
      <c r="E58" s="239">
        <f t="shared" si="6"/>
        <v>-1</v>
      </c>
      <c r="F58" s="238">
        <f t="shared" si="7"/>
        <v>-6.6666666666666666E-2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610232</v>
      </c>
      <c r="D59" s="243">
        <f>+D50+D52</f>
        <v>431234</v>
      </c>
      <c r="E59" s="243">
        <f t="shared" si="6"/>
        <v>-178998</v>
      </c>
      <c r="F59" s="244">
        <f t="shared" si="7"/>
        <v>-0.29332778353150935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159183</v>
      </c>
      <c r="D60" s="243">
        <f>+D51+D53</f>
        <v>113422</v>
      </c>
      <c r="E60" s="243">
        <f t="shared" si="6"/>
        <v>-45761</v>
      </c>
      <c r="F60" s="244">
        <f t="shared" si="7"/>
        <v>-0.28747416495480044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1446945</v>
      </c>
      <c r="D86" s="237">
        <v>2831502</v>
      </c>
      <c r="E86" s="237">
        <f t="shared" ref="E86:E96" si="12">D86-C86</f>
        <v>1384557</v>
      </c>
      <c r="F86" s="238">
        <f t="shared" ref="F86:F96" si="13">IF(C86=0,0,E86/C86)</f>
        <v>0.95688294993935497</v>
      </c>
    </row>
    <row r="87" spans="1:6" ht="20.25" customHeight="1" x14ac:dyDescent="0.3">
      <c r="A87" s="235">
        <v>2</v>
      </c>
      <c r="B87" s="236" t="s">
        <v>435</v>
      </c>
      <c r="C87" s="237">
        <v>353494</v>
      </c>
      <c r="D87" s="237">
        <v>731337</v>
      </c>
      <c r="E87" s="237">
        <f t="shared" si="12"/>
        <v>377843</v>
      </c>
      <c r="F87" s="238">
        <f t="shared" si="13"/>
        <v>1.0688809428165684</v>
      </c>
    </row>
    <row r="88" spans="1:6" ht="20.25" customHeight="1" x14ac:dyDescent="0.3">
      <c r="A88" s="235">
        <v>3</v>
      </c>
      <c r="B88" s="236" t="s">
        <v>436</v>
      </c>
      <c r="C88" s="237">
        <v>2300020</v>
      </c>
      <c r="D88" s="237">
        <v>4309934</v>
      </c>
      <c r="E88" s="237">
        <f t="shared" si="12"/>
        <v>2009914</v>
      </c>
      <c r="F88" s="238">
        <f t="shared" si="13"/>
        <v>0.87386805332127548</v>
      </c>
    </row>
    <row r="89" spans="1:6" ht="20.25" customHeight="1" x14ac:dyDescent="0.3">
      <c r="A89" s="235">
        <v>4</v>
      </c>
      <c r="B89" s="236" t="s">
        <v>437</v>
      </c>
      <c r="C89" s="237">
        <v>594679</v>
      </c>
      <c r="D89" s="237">
        <v>887999</v>
      </c>
      <c r="E89" s="237">
        <f t="shared" si="12"/>
        <v>293320</v>
      </c>
      <c r="F89" s="238">
        <f t="shared" si="13"/>
        <v>0.49324089130438437</v>
      </c>
    </row>
    <row r="90" spans="1:6" ht="20.25" customHeight="1" x14ac:dyDescent="0.3">
      <c r="A90" s="235">
        <v>5</v>
      </c>
      <c r="B90" s="236" t="s">
        <v>373</v>
      </c>
      <c r="C90" s="239">
        <v>75</v>
      </c>
      <c r="D90" s="239">
        <v>172</v>
      </c>
      <c r="E90" s="239">
        <f t="shared" si="12"/>
        <v>97</v>
      </c>
      <c r="F90" s="238">
        <f t="shared" si="13"/>
        <v>1.2933333333333332</v>
      </c>
    </row>
    <row r="91" spans="1:6" ht="20.25" customHeight="1" x14ac:dyDescent="0.3">
      <c r="A91" s="235">
        <v>6</v>
      </c>
      <c r="B91" s="236" t="s">
        <v>372</v>
      </c>
      <c r="C91" s="239">
        <v>316</v>
      </c>
      <c r="D91" s="239">
        <v>627</v>
      </c>
      <c r="E91" s="239">
        <f t="shared" si="12"/>
        <v>311</v>
      </c>
      <c r="F91" s="238">
        <f t="shared" si="13"/>
        <v>0.98417721518987344</v>
      </c>
    </row>
    <row r="92" spans="1:6" ht="20.25" customHeight="1" x14ac:dyDescent="0.3">
      <c r="A92" s="235">
        <v>7</v>
      </c>
      <c r="B92" s="236" t="s">
        <v>438</v>
      </c>
      <c r="C92" s="239">
        <v>976</v>
      </c>
      <c r="D92" s="239">
        <v>1508</v>
      </c>
      <c r="E92" s="239">
        <f t="shared" si="12"/>
        <v>532</v>
      </c>
      <c r="F92" s="238">
        <f t="shared" si="13"/>
        <v>0.54508196721311475</v>
      </c>
    </row>
    <row r="93" spans="1:6" ht="20.25" customHeight="1" x14ac:dyDescent="0.3">
      <c r="A93" s="235">
        <v>8</v>
      </c>
      <c r="B93" s="236" t="s">
        <v>439</v>
      </c>
      <c r="C93" s="239">
        <v>898</v>
      </c>
      <c r="D93" s="239">
        <v>1662</v>
      </c>
      <c r="E93" s="239">
        <f t="shared" si="12"/>
        <v>764</v>
      </c>
      <c r="F93" s="238">
        <f t="shared" si="13"/>
        <v>0.8507795100222717</v>
      </c>
    </row>
    <row r="94" spans="1:6" ht="20.25" customHeight="1" x14ac:dyDescent="0.3">
      <c r="A94" s="235">
        <v>9</v>
      </c>
      <c r="B94" s="236" t="s">
        <v>440</v>
      </c>
      <c r="C94" s="239">
        <v>24</v>
      </c>
      <c r="D94" s="239">
        <v>51</v>
      </c>
      <c r="E94" s="239">
        <f t="shared" si="12"/>
        <v>27</v>
      </c>
      <c r="F94" s="238">
        <f t="shared" si="13"/>
        <v>1.125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3746965</v>
      </c>
      <c r="D95" s="243">
        <f>+D86+D88</f>
        <v>7141436</v>
      </c>
      <c r="E95" s="243">
        <f t="shared" si="12"/>
        <v>3394471</v>
      </c>
      <c r="F95" s="244">
        <f t="shared" si="13"/>
        <v>0.90592546234085458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948173</v>
      </c>
      <c r="D96" s="243">
        <f>+D87+D89</f>
        <v>1619336</v>
      </c>
      <c r="E96" s="243">
        <f t="shared" si="12"/>
        <v>671163</v>
      </c>
      <c r="F96" s="244">
        <f t="shared" si="13"/>
        <v>0.70784867318516764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3486112</v>
      </c>
      <c r="D98" s="237">
        <v>6727840</v>
      </c>
      <c r="E98" s="237">
        <f t="shared" ref="E98:E108" si="14">D98-C98</f>
        <v>3241728</v>
      </c>
      <c r="F98" s="238">
        <f t="shared" ref="F98:F108" si="15">IF(C98=0,0,E98/C98)</f>
        <v>0.92989783460772346</v>
      </c>
    </row>
    <row r="99" spans="1:7" ht="20.25" customHeight="1" x14ac:dyDescent="0.3">
      <c r="A99" s="235">
        <v>2</v>
      </c>
      <c r="B99" s="236" t="s">
        <v>435</v>
      </c>
      <c r="C99" s="237">
        <v>889134</v>
      </c>
      <c r="D99" s="237">
        <v>1857871</v>
      </c>
      <c r="E99" s="237">
        <f t="shared" si="14"/>
        <v>968737</v>
      </c>
      <c r="F99" s="238">
        <f t="shared" si="15"/>
        <v>1.0895286874644317</v>
      </c>
    </row>
    <row r="100" spans="1:7" ht="20.25" customHeight="1" x14ac:dyDescent="0.3">
      <c r="A100" s="235">
        <v>3</v>
      </c>
      <c r="B100" s="236" t="s">
        <v>436</v>
      </c>
      <c r="C100" s="237">
        <v>7537428</v>
      </c>
      <c r="D100" s="237">
        <v>12873647</v>
      </c>
      <c r="E100" s="237">
        <f t="shared" si="14"/>
        <v>5336219</v>
      </c>
      <c r="F100" s="238">
        <f t="shared" si="15"/>
        <v>0.70796284886568739</v>
      </c>
    </row>
    <row r="101" spans="1:7" ht="20.25" customHeight="1" x14ac:dyDescent="0.3">
      <c r="A101" s="235">
        <v>4</v>
      </c>
      <c r="B101" s="236" t="s">
        <v>437</v>
      </c>
      <c r="C101" s="237">
        <v>1947772</v>
      </c>
      <c r="D101" s="237">
        <v>3702440</v>
      </c>
      <c r="E101" s="237">
        <f t="shared" si="14"/>
        <v>1754668</v>
      </c>
      <c r="F101" s="238">
        <f t="shared" si="15"/>
        <v>0.90085903278207102</v>
      </c>
    </row>
    <row r="102" spans="1:7" ht="20.25" customHeight="1" x14ac:dyDescent="0.3">
      <c r="A102" s="235">
        <v>5</v>
      </c>
      <c r="B102" s="236" t="s">
        <v>373</v>
      </c>
      <c r="C102" s="239">
        <v>288</v>
      </c>
      <c r="D102" s="239">
        <v>492</v>
      </c>
      <c r="E102" s="239">
        <f t="shared" si="14"/>
        <v>204</v>
      </c>
      <c r="F102" s="238">
        <f t="shared" si="15"/>
        <v>0.70833333333333337</v>
      </c>
    </row>
    <row r="103" spans="1:7" ht="20.25" customHeight="1" x14ac:dyDescent="0.3">
      <c r="A103" s="235">
        <v>6</v>
      </c>
      <c r="B103" s="236" t="s">
        <v>372</v>
      </c>
      <c r="C103" s="239">
        <v>797</v>
      </c>
      <c r="D103" s="239">
        <v>1667</v>
      </c>
      <c r="E103" s="239">
        <f t="shared" si="14"/>
        <v>870</v>
      </c>
      <c r="F103" s="238">
        <f t="shared" si="15"/>
        <v>1.0915934755332497</v>
      </c>
    </row>
    <row r="104" spans="1:7" ht="20.25" customHeight="1" x14ac:dyDescent="0.3">
      <c r="A104" s="235">
        <v>7</v>
      </c>
      <c r="B104" s="236" t="s">
        <v>438</v>
      </c>
      <c r="C104" s="239">
        <v>3200</v>
      </c>
      <c r="D104" s="239">
        <v>4504</v>
      </c>
      <c r="E104" s="239">
        <f t="shared" si="14"/>
        <v>1304</v>
      </c>
      <c r="F104" s="238">
        <f t="shared" si="15"/>
        <v>0.40749999999999997</v>
      </c>
    </row>
    <row r="105" spans="1:7" ht="20.25" customHeight="1" x14ac:dyDescent="0.3">
      <c r="A105" s="235">
        <v>8</v>
      </c>
      <c r="B105" s="236" t="s">
        <v>439</v>
      </c>
      <c r="C105" s="239">
        <v>2942</v>
      </c>
      <c r="D105" s="239">
        <v>4467</v>
      </c>
      <c r="E105" s="239">
        <f t="shared" si="14"/>
        <v>1525</v>
      </c>
      <c r="F105" s="238">
        <f t="shared" si="15"/>
        <v>0.51835486063902103</v>
      </c>
    </row>
    <row r="106" spans="1:7" ht="20.25" customHeight="1" x14ac:dyDescent="0.3">
      <c r="A106" s="235">
        <v>9</v>
      </c>
      <c r="B106" s="236" t="s">
        <v>440</v>
      </c>
      <c r="C106" s="239">
        <v>66</v>
      </c>
      <c r="D106" s="239">
        <v>117</v>
      </c>
      <c r="E106" s="239">
        <f t="shared" si="14"/>
        <v>51</v>
      </c>
      <c r="F106" s="238">
        <f t="shared" si="15"/>
        <v>0.77272727272727271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11023540</v>
      </c>
      <c r="D107" s="243">
        <f>+D98+D100</f>
        <v>19601487</v>
      </c>
      <c r="E107" s="243">
        <f t="shared" si="14"/>
        <v>8577947</v>
      </c>
      <c r="F107" s="244">
        <f t="shared" si="15"/>
        <v>0.77814812664534261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2836906</v>
      </c>
      <c r="D108" s="243">
        <f>+D99+D101</f>
        <v>5560311</v>
      </c>
      <c r="E108" s="243">
        <f t="shared" si="14"/>
        <v>2723405</v>
      </c>
      <c r="F108" s="244">
        <f t="shared" si="15"/>
        <v>0.95999127218173597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12785459</v>
      </c>
      <c r="D112" s="243">
        <f t="shared" si="16"/>
        <v>16597039</v>
      </c>
      <c r="E112" s="243">
        <f t="shared" ref="E112:E122" si="17">D112-C112</f>
        <v>3811580</v>
      </c>
      <c r="F112" s="244">
        <f t="shared" ref="F112:F122" si="18">IF(C112=0,0,E112/C112)</f>
        <v>0.29811835460893504</v>
      </c>
    </row>
    <row r="113" spans="1:6" ht="20.25" customHeight="1" x14ac:dyDescent="0.3">
      <c r="A113" s="249"/>
      <c r="B113" s="250" t="s">
        <v>461</v>
      </c>
      <c r="C113" s="243">
        <f t="shared" si="16"/>
        <v>3367724</v>
      </c>
      <c r="D113" s="243">
        <f t="shared" si="16"/>
        <v>4450305</v>
      </c>
      <c r="E113" s="243">
        <f t="shared" si="17"/>
        <v>1082581</v>
      </c>
      <c r="F113" s="244">
        <f t="shared" si="18"/>
        <v>0.32145775603939042</v>
      </c>
    </row>
    <row r="114" spans="1:6" ht="20.25" customHeight="1" x14ac:dyDescent="0.3">
      <c r="A114" s="249"/>
      <c r="B114" s="250" t="s">
        <v>462</v>
      </c>
      <c r="C114" s="243">
        <f t="shared" si="16"/>
        <v>24134850</v>
      </c>
      <c r="D114" s="243">
        <f t="shared" si="16"/>
        <v>31924463</v>
      </c>
      <c r="E114" s="243">
        <f t="shared" si="17"/>
        <v>7789613</v>
      </c>
      <c r="F114" s="244">
        <f t="shared" si="18"/>
        <v>0.32275373578041711</v>
      </c>
    </row>
    <row r="115" spans="1:6" ht="20.25" customHeight="1" x14ac:dyDescent="0.3">
      <c r="A115" s="249"/>
      <c r="B115" s="250" t="s">
        <v>463</v>
      </c>
      <c r="C115" s="243">
        <f t="shared" si="16"/>
        <v>6357184</v>
      </c>
      <c r="D115" s="243">
        <f t="shared" si="16"/>
        <v>8560178</v>
      </c>
      <c r="E115" s="243">
        <f t="shared" si="17"/>
        <v>2202994</v>
      </c>
      <c r="F115" s="244">
        <f t="shared" si="18"/>
        <v>0.34653613927172788</v>
      </c>
    </row>
    <row r="116" spans="1:6" ht="20.25" customHeight="1" x14ac:dyDescent="0.3">
      <c r="A116" s="249"/>
      <c r="B116" s="250" t="s">
        <v>464</v>
      </c>
      <c r="C116" s="252">
        <f t="shared" si="16"/>
        <v>926</v>
      </c>
      <c r="D116" s="252">
        <f t="shared" si="16"/>
        <v>1121</v>
      </c>
      <c r="E116" s="252">
        <f t="shared" si="17"/>
        <v>195</v>
      </c>
      <c r="F116" s="244">
        <f t="shared" si="18"/>
        <v>0.21058315334773217</v>
      </c>
    </row>
    <row r="117" spans="1:6" ht="20.25" customHeight="1" x14ac:dyDescent="0.3">
      <c r="A117" s="249"/>
      <c r="B117" s="250" t="s">
        <v>465</v>
      </c>
      <c r="C117" s="252">
        <f t="shared" si="16"/>
        <v>2921</v>
      </c>
      <c r="D117" s="252">
        <f t="shared" si="16"/>
        <v>3890</v>
      </c>
      <c r="E117" s="252">
        <f t="shared" si="17"/>
        <v>969</v>
      </c>
      <c r="F117" s="244">
        <f t="shared" si="18"/>
        <v>0.33173570694967475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10243</v>
      </c>
      <c r="D118" s="252">
        <f t="shared" si="16"/>
        <v>11183</v>
      </c>
      <c r="E118" s="252">
        <f t="shared" si="17"/>
        <v>940</v>
      </c>
      <c r="F118" s="244">
        <f t="shared" si="18"/>
        <v>9.1769989260958709E-2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9421</v>
      </c>
      <c r="D119" s="252">
        <f t="shared" si="16"/>
        <v>11386</v>
      </c>
      <c r="E119" s="252">
        <f t="shared" si="17"/>
        <v>1965</v>
      </c>
      <c r="F119" s="244">
        <f t="shared" si="18"/>
        <v>0.20857658422672753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221</v>
      </c>
      <c r="D120" s="252">
        <f t="shared" si="16"/>
        <v>299</v>
      </c>
      <c r="E120" s="252">
        <f t="shared" si="17"/>
        <v>78</v>
      </c>
      <c r="F120" s="244">
        <f t="shared" si="18"/>
        <v>0.35294117647058826</v>
      </c>
    </row>
    <row r="121" spans="1:6" ht="39.950000000000003" customHeight="1" x14ac:dyDescent="0.3">
      <c r="A121" s="249"/>
      <c r="B121" s="242" t="s">
        <v>441</v>
      </c>
      <c r="C121" s="243">
        <f>+C112+C114</f>
        <v>36920309</v>
      </c>
      <c r="D121" s="243">
        <f>+D112+D114</f>
        <v>48521502</v>
      </c>
      <c r="E121" s="243">
        <f t="shared" si="17"/>
        <v>11601193</v>
      </c>
      <c r="F121" s="244">
        <f t="shared" si="18"/>
        <v>0.31422253264456695</v>
      </c>
    </row>
    <row r="122" spans="1:6" ht="39.950000000000003" customHeight="1" x14ac:dyDescent="0.3">
      <c r="A122" s="249"/>
      <c r="B122" s="242" t="s">
        <v>470</v>
      </c>
      <c r="C122" s="243">
        <f>+C113+C115</f>
        <v>9724908</v>
      </c>
      <c r="D122" s="243">
        <f>+D113+D115</f>
        <v>13010483</v>
      </c>
      <c r="E122" s="243">
        <f t="shared" si="17"/>
        <v>3285575</v>
      </c>
      <c r="F122" s="244">
        <f t="shared" si="18"/>
        <v>0.33785152517638212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FILING&amp;RDANBURY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41061454</v>
      </c>
      <c r="E13" s="23">
        <f t="shared" ref="E13:E22" si="0">D13-C13</f>
        <v>41061454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0</v>
      </c>
      <c r="D15" s="23">
        <v>66087968</v>
      </c>
      <c r="E15" s="23">
        <f t="shared" si="0"/>
        <v>66087968</v>
      </c>
      <c r="F15" s="24">
        <f t="shared" si="1"/>
        <v>0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3802296</v>
      </c>
      <c r="E16" s="23">
        <f t="shared" si="0"/>
        <v>3802296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15058487</v>
      </c>
      <c r="E17" s="23">
        <f t="shared" si="0"/>
        <v>15058487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0</v>
      </c>
      <c r="D19" s="23">
        <v>10647373</v>
      </c>
      <c r="E19" s="23">
        <f t="shared" si="0"/>
        <v>10647373</v>
      </c>
      <c r="F19" s="24">
        <f t="shared" si="1"/>
        <v>0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11701548</v>
      </c>
      <c r="E20" s="23">
        <f t="shared" si="0"/>
        <v>11701548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1143377</v>
      </c>
      <c r="E21" s="23">
        <f t="shared" si="0"/>
        <v>1143377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0</v>
      </c>
      <c r="D22" s="27">
        <f>SUM(D13:D21)</f>
        <v>149502503</v>
      </c>
      <c r="E22" s="27">
        <f t="shared" si="0"/>
        <v>149502503</v>
      </c>
      <c r="F22" s="28">
        <f t="shared" si="1"/>
        <v>0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6901020</v>
      </c>
      <c r="E25" s="23">
        <f>D25-C25</f>
        <v>6901020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68042366</v>
      </c>
      <c r="E28" s="23">
        <f>D28-C28</f>
        <v>68042366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0</v>
      </c>
      <c r="D29" s="27">
        <f>SUM(D25:D28)</f>
        <v>74943386</v>
      </c>
      <c r="E29" s="27">
        <f>D29-C29</f>
        <v>74943386</v>
      </c>
      <c r="F29" s="28">
        <f>IF(C29=0,0,E29/C29)</f>
        <v>0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234672059</v>
      </c>
      <c r="E32" s="23">
        <f>D32-C32</f>
        <v>234672059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0</v>
      </c>
      <c r="D33" s="23">
        <v>15258295</v>
      </c>
      <c r="E33" s="23">
        <f>D33-C33</f>
        <v>15258295</v>
      </c>
      <c r="F33" s="24">
        <f>IF(C33=0,0,E33/C33)</f>
        <v>0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0</v>
      </c>
      <c r="D36" s="23">
        <v>555435509</v>
      </c>
      <c r="E36" s="23">
        <f>D36-C36</f>
        <v>555435509</v>
      </c>
      <c r="F36" s="24">
        <f>IF(C36=0,0,E36/C36)</f>
        <v>0</v>
      </c>
    </row>
    <row r="37" spans="1:8" ht="24" customHeight="1" x14ac:dyDescent="0.2">
      <c r="A37" s="21">
        <v>2</v>
      </c>
      <c r="B37" s="22" t="s">
        <v>39</v>
      </c>
      <c r="C37" s="23">
        <v>0</v>
      </c>
      <c r="D37" s="23">
        <v>352143546</v>
      </c>
      <c r="E37" s="23">
        <f>D37-C37</f>
        <v>352143546</v>
      </c>
      <c r="F37" s="23">
        <f>IF(C37=0,0,E37/C37)</f>
        <v>0</v>
      </c>
    </row>
    <row r="38" spans="1:8" ht="24" customHeight="1" x14ac:dyDescent="0.25">
      <c r="A38" s="25"/>
      <c r="B38" s="26" t="s">
        <v>40</v>
      </c>
      <c r="C38" s="27">
        <f>C36-C37</f>
        <v>0</v>
      </c>
      <c r="D38" s="27">
        <f>D36-D37</f>
        <v>203291963</v>
      </c>
      <c r="E38" s="27">
        <f>D38-C38</f>
        <v>203291963</v>
      </c>
      <c r="F38" s="28">
        <f>IF(C38=0,0,E38/C38)</f>
        <v>0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21879446</v>
      </c>
      <c r="E40" s="23">
        <f>D40-C40</f>
        <v>21879446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0</v>
      </c>
      <c r="D41" s="27">
        <f>+D38+D40</f>
        <v>225171409</v>
      </c>
      <c r="E41" s="27">
        <f>D41-C41</f>
        <v>225171409</v>
      </c>
      <c r="F41" s="28">
        <f>IF(C41=0,0,E41/C41)</f>
        <v>0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0</v>
      </c>
      <c r="D43" s="27">
        <f>D22+D29+D31+D32+D33+D41</f>
        <v>699547652</v>
      </c>
      <c r="E43" s="27">
        <f>D43-C43</f>
        <v>699547652</v>
      </c>
      <c r="F43" s="28">
        <f>IF(C43=0,0,E43/C43)</f>
        <v>0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0</v>
      </c>
      <c r="D49" s="23">
        <v>37457932</v>
      </c>
      <c r="E49" s="23">
        <f t="shared" ref="E49:E56" si="2">D49-C49</f>
        <v>37457932</v>
      </c>
      <c r="F49" s="24">
        <f t="shared" ref="F49:F56" si="3">IF(C49=0,0,E49/C49)</f>
        <v>0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16877046</v>
      </c>
      <c r="E50" s="23">
        <f t="shared" si="2"/>
        <v>16877046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14882325</v>
      </c>
      <c r="E51" s="23">
        <f t="shared" si="2"/>
        <v>14882325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6455637</v>
      </c>
      <c r="E53" s="23">
        <f t="shared" si="2"/>
        <v>6455637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31870000</v>
      </c>
      <c r="E55" s="23">
        <f t="shared" si="2"/>
        <v>31870000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0</v>
      </c>
      <c r="D56" s="27">
        <f>SUM(D49:D55)</f>
        <v>107542940</v>
      </c>
      <c r="E56" s="27">
        <f t="shared" si="2"/>
        <v>107542940</v>
      </c>
      <c r="F56" s="28">
        <f t="shared" si="3"/>
        <v>0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92471763</v>
      </c>
      <c r="E60" s="23">
        <f>D60-C60</f>
        <v>92471763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0</v>
      </c>
      <c r="D61" s="27">
        <f>SUM(D59:D60)</f>
        <v>92471763</v>
      </c>
      <c r="E61" s="27">
        <f>D61-C61</f>
        <v>92471763</v>
      </c>
      <c r="F61" s="28">
        <f>IF(C61=0,0,E61/C61)</f>
        <v>0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187819681</v>
      </c>
      <c r="E64" s="23">
        <f>D64-C64</f>
        <v>187819681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0</v>
      </c>
      <c r="D65" s="27">
        <f>SUM(D61:D64)</f>
        <v>280291444</v>
      </c>
      <c r="E65" s="27">
        <f>D65-C65</f>
        <v>280291444</v>
      </c>
      <c r="F65" s="28">
        <f>IF(C65=0,0,E65/C65)</f>
        <v>0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0</v>
      </c>
      <c r="D70" s="23">
        <v>246220345</v>
      </c>
      <c r="E70" s="23">
        <f>D70-C70</f>
        <v>246220345</v>
      </c>
      <c r="F70" s="24">
        <f>IF(C70=0,0,E70/C70)</f>
        <v>0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33595748</v>
      </c>
      <c r="E71" s="23">
        <f>D71-C71</f>
        <v>33595748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31897175</v>
      </c>
      <c r="E72" s="23">
        <f>D72-C72</f>
        <v>31897175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0</v>
      </c>
      <c r="D73" s="27">
        <f>SUM(D70:D72)</f>
        <v>311713268</v>
      </c>
      <c r="E73" s="27">
        <f>D73-C73</f>
        <v>311713268</v>
      </c>
      <c r="F73" s="28">
        <f>IF(C73=0,0,E73/C73)</f>
        <v>0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0</v>
      </c>
      <c r="D75" s="27">
        <f>D56+D65+D67+D73</f>
        <v>699547652</v>
      </c>
      <c r="E75" s="27">
        <f>D75-C75</f>
        <v>699547652</v>
      </c>
      <c r="F75" s="28">
        <f>IF(C75=0,0,E75/C75)</f>
        <v>0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FILING&amp;RWESTERN CONNECTICUT HEALTHCARE,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0</v>
      </c>
      <c r="D12" s="51">
        <v>1350505746</v>
      </c>
      <c r="E12" s="51">
        <f t="shared" ref="E12:E19" si="0">D12-C12</f>
        <v>1350505746</v>
      </c>
      <c r="F12" s="70">
        <f t="shared" ref="F12:F19" si="1">IF(C12=0,0,E12/C12)</f>
        <v>0</v>
      </c>
    </row>
    <row r="13" spans="1:8" ht="23.1" customHeight="1" x14ac:dyDescent="0.2">
      <c r="A13" s="25">
        <v>2</v>
      </c>
      <c r="B13" s="48" t="s">
        <v>72</v>
      </c>
      <c r="C13" s="51">
        <v>0</v>
      </c>
      <c r="D13" s="51">
        <v>728277143</v>
      </c>
      <c r="E13" s="51">
        <f t="shared" si="0"/>
        <v>728277143</v>
      </c>
      <c r="F13" s="70">
        <f t="shared" si="1"/>
        <v>0</v>
      </c>
    </row>
    <row r="14" spans="1:8" ht="23.1" customHeight="1" x14ac:dyDescent="0.2">
      <c r="A14" s="25">
        <v>3</v>
      </c>
      <c r="B14" s="48" t="s">
        <v>73</v>
      </c>
      <c r="C14" s="51">
        <v>0</v>
      </c>
      <c r="D14" s="51">
        <v>15362625</v>
      </c>
      <c r="E14" s="51">
        <f t="shared" si="0"/>
        <v>15362625</v>
      </c>
      <c r="F14" s="70">
        <f t="shared" si="1"/>
        <v>0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0</v>
      </c>
      <c r="D16" s="27">
        <f>D12-D13-D14-D15</f>
        <v>606865978</v>
      </c>
      <c r="E16" s="27">
        <f t="shared" si="0"/>
        <v>606865978</v>
      </c>
      <c r="F16" s="28">
        <f t="shared" si="1"/>
        <v>0</v>
      </c>
    </row>
    <row r="17" spans="1:7" ht="23.1" customHeight="1" x14ac:dyDescent="0.2">
      <c r="A17" s="25">
        <v>5</v>
      </c>
      <c r="B17" s="48" t="s">
        <v>76</v>
      </c>
      <c r="C17" s="51">
        <v>0</v>
      </c>
      <c r="D17" s="51">
        <v>15295373</v>
      </c>
      <c r="E17" s="51">
        <f t="shared" si="0"/>
        <v>15295373</v>
      </c>
      <c r="F17" s="70">
        <f t="shared" si="1"/>
        <v>0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2790050</v>
      </c>
      <c r="E18" s="51">
        <f t="shared" si="0"/>
        <v>2790050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0</v>
      </c>
      <c r="D19" s="27">
        <f>SUM(D16:D18)</f>
        <v>624951401</v>
      </c>
      <c r="E19" s="27">
        <f t="shared" si="0"/>
        <v>624951401</v>
      </c>
      <c r="F19" s="28">
        <f t="shared" si="1"/>
        <v>0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0</v>
      </c>
      <c r="D22" s="51">
        <v>361252292</v>
      </c>
      <c r="E22" s="51">
        <f t="shared" ref="E22:E31" si="2">D22-C22</f>
        <v>361252292</v>
      </c>
      <c r="F22" s="70">
        <f t="shared" ref="F22:F31" si="3">IF(C22=0,0,E22/C22)</f>
        <v>0</v>
      </c>
    </row>
    <row r="23" spans="1:7" ht="23.1" customHeight="1" x14ac:dyDescent="0.2">
      <c r="A23" s="25">
        <v>2</v>
      </c>
      <c r="B23" s="48" t="s">
        <v>81</v>
      </c>
      <c r="C23" s="51">
        <v>0</v>
      </c>
      <c r="D23" s="51">
        <v>0</v>
      </c>
      <c r="E23" s="51">
        <f t="shared" si="2"/>
        <v>0</v>
      </c>
      <c r="F23" s="70">
        <f t="shared" si="3"/>
        <v>0</v>
      </c>
    </row>
    <row r="24" spans="1:7" ht="23.1" customHeight="1" x14ac:dyDescent="0.2">
      <c r="A24" s="25">
        <v>3</v>
      </c>
      <c r="B24" s="48" t="s">
        <v>82</v>
      </c>
      <c r="C24" s="51">
        <v>0</v>
      </c>
      <c r="D24" s="51">
        <v>0</v>
      </c>
      <c r="E24" s="51">
        <f t="shared" si="2"/>
        <v>0</v>
      </c>
      <c r="F24" s="70">
        <f t="shared" si="3"/>
        <v>0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0</v>
      </c>
      <c r="D25" s="51">
        <v>0</v>
      </c>
      <c r="E25" s="51">
        <f t="shared" si="2"/>
        <v>0</v>
      </c>
      <c r="F25" s="70">
        <f t="shared" si="3"/>
        <v>0</v>
      </c>
    </row>
    <row r="26" spans="1:7" ht="23.1" customHeight="1" x14ac:dyDescent="0.2">
      <c r="A26" s="25">
        <v>5</v>
      </c>
      <c r="B26" s="48" t="s">
        <v>84</v>
      </c>
      <c r="C26" s="51">
        <v>0</v>
      </c>
      <c r="D26" s="51">
        <v>33299043</v>
      </c>
      <c r="E26" s="51">
        <f t="shared" si="2"/>
        <v>33299043</v>
      </c>
      <c r="F26" s="70">
        <f t="shared" si="3"/>
        <v>0</v>
      </c>
    </row>
    <row r="27" spans="1:7" ht="23.1" customHeight="1" x14ac:dyDescent="0.2">
      <c r="A27" s="25">
        <v>6</v>
      </c>
      <c r="B27" s="48" t="s">
        <v>85</v>
      </c>
      <c r="C27" s="51">
        <v>0</v>
      </c>
      <c r="D27" s="51">
        <v>14229424</v>
      </c>
      <c r="E27" s="51">
        <f t="shared" si="2"/>
        <v>14229424</v>
      </c>
      <c r="F27" s="70">
        <f t="shared" si="3"/>
        <v>0</v>
      </c>
    </row>
    <row r="28" spans="1:7" ht="23.1" customHeight="1" x14ac:dyDescent="0.2">
      <c r="A28" s="25">
        <v>7</v>
      </c>
      <c r="B28" s="48" t="s">
        <v>86</v>
      </c>
      <c r="C28" s="51">
        <v>0</v>
      </c>
      <c r="D28" s="51">
        <v>5539104</v>
      </c>
      <c r="E28" s="51">
        <f t="shared" si="2"/>
        <v>5539104</v>
      </c>
      <c r="F28" s="70">
        <f t="shared" si="3"/>
        <v>0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0</v>
      </c>
      <c r="E29" s="51">
        <f t="shared" si="2"/>
        <v>0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0</v>
      </c>
      <c r="D30" s="51">
        <v>188884825</v>
      </c>
      <c r="E30" s="51">
        <f t="shared" si="2"/>
        <v>188884825</v>
      </c>
      <c r="F30" s="70">
        <f t="shared" si="3"/>
        <v>0</v>
      </c>
    </row>
    <row r="31" spans="1:7" ht="23.1" customHeight="1" x14ac:dyDescent="0.25">
      <c r="A31" s="29"/>
      <c r="B31" s="71" t="s">
        <v>89</v>
      </c>
      <c r="C31" s="27">
        <f>SUM(C22:C30)</f>
        <v>0</v>
      </c>
      <c r="D31" s="27">
        <f>SUM(D22:D30)</f>
        <v>603204688</v>
      </c>
      <c r="E31" s="27">
        <f t="shared" si="2"/>
        <v>603204688</v>
      </c>
      <c r="F31" s="28">
        <f t="shared" si="3"/>
        <v>0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0</v>
      </c>
      <c r="D33" s="27">
        <f>+D19-D31</f>
        <v>21746713</v>
      </c>
      <c r="E33" s="27">
        <f>D33-C33</f>
        <v>21746713</v>
      </c>
      <c r="F33" s="28">
        <f>IF(C33=0,0,E33/C33)</f>
        <v>0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7688148</v>
      </c>
      <c r="E36" s="51">
        <f>D36-C36</f>
        <v>7688148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3404377</v>
      </c>
      <c r="E37" s="51">
        <f>D37-C37</f>
        <v>3404377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10722195</v>
      </c>
      <c r="E38" s="51">
        <f>D38-C38</f>
        <v>10722195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0</v>
      </c>
      <c r="D39" s="27">
        <f>SUM(D36:D38)</f>
        <v>21814720</v>
      </c>
      <c r="E39" s="27">
        <f>D39-C39</f>
        <v>21814720</v>
      </c>
      <c r="F39" s="28">
        <f>IF(C39=0,0,E39/C39)</f>
        <v>0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0</v>
      </c>
      <c r="D41" s="27">
        <f>D33+D39</f>
        <v>43561433</v>
      </c>
      <c r="E41" s="27">
        <f>D41-C41</f>
        <v>43561433</v>
      </c>
      <c r="F41" s="28">
        <f>IF(C41=0,0,E41/C41)</f>
        <v>0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0</v>
      </c>
      <c r="D48" s="27">
        <f>D41+D46</f>
        <v>43561433</v>
      </c>
      <c r="E48" s="27">
        <f>D48-C48</f>
        <v>43561433</v>
      </c>
      <c r="F48" s="28">
        <f>IF(C48=0,0,E48/C48)</f>
        <v>0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FILING&amp;R&amp;8WESTERN CONNECTICUT HEALTHCARE,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2011-08-05T18:17:47Z</cp:lastPrinted>
  <dcterms:created xsi:type="dcterms:W3CDTF">2006-08-03T13:49:12Z</dcterms:created>
  <dcterms:modified xsi:type="dcterms:W3CDTF">2011-08-05T18:17:51Z</dcterms:modified>
</cp:coreProperties>
</file>