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 s="1"/>
  <c r="D223" i="14"/>
  <c r="D204" i="14"/>
  <c r="D203" i="14"/>
  <c r="D283" i="14" s="1"/>
  <c r="D198" i="14"/>
  <c r="D290" i="14" s="1"/>
  <c r="D191" i="14"/>
  <c r="D264" i="14" s="1"/>
  <c r="D189" i="14"/>
  <c r="D278" i="14" s="1"/>
  <c r="D188" i="14"/>
  <c r="D180" i="14"/>
  <c r="D179" i="14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36" i="14"/>
  <c r="D137" i="14" s="1"/>
  <c r="D135" i="14"/>
  <c r="D130" i="14"/>
  <c r="D129" i="14"/>
  <c r="D123" i="14"/>
  <c r="D124" i="14" s="1"/>
  <c r="D120" i="14"/>
  <c r="D110" i="14"/>
  <c r="D109" i="14"/>
  <c r="D101" i="14"/>
  <c r="D102" i="14" s="1"/>
  <c r="D103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 s="1"/>
  <c r="D61" i="14" s="1"/>
  <c r="D58" i="14"/>
  <c r="D53" i="14"/>
  <c r="D52" i="14"/>
  <c r="D47" i="14"/>
  <c r="D48" i="14" s="1"/>
  <c r="D44" i="14"/>
  <c r="D36" i="14"/>
  <c r="D35" i="14"/>
  <c r="D30" i="14"/>
  <c r="D31" i="14" s="1"/>
  <c r="D32" i="14" s="1"/>
  <c r="D29" i="14"/>
  <c r="D24" i="14"/>
  <c r="D23" i="14"/>
  <c r="D20" i="14"/>
  <c r="D17" i="14"/>
  <c r="E97" i="19"/>
  <c r="E98" i="19"/>
  <c r="D97" i="19"/>
  <c r="C97" i="19"/>
  <c r="E96" i="19"/>
  <c r="D96" i="19"/>
  <c r="D98" i="19" s="1"/>
  <c r="C96" i="19"/>
  <c r="E92" i="19"/>
  <c r="D92" i="19"/>
  <c r="C92" i="19"/>
  <c r="E91" i="19"/>
  <c r="D91" i="19"/>
  <c r="D93" i="19" s="1"/>
  <c r="C91" i="19"/>
  <c r="E87" i="19"/>
  <c r="D87" i="19"/>
  <c r="C87" i="19"/>
  <c r="E86" i="19"/>
  <c r="E88" i="19"/>
  <c r="D86" i="19"/>
  <c r="D88" i="19" s="1"/>
  <c r="C86" i="19"/>
  <c r="C88" i="19" s="1"/>
  <c r="E83" i="19"/>
  <c r="D83" i="19"/>
  <c r="C83" i="19"/>
  <c r="E76" i="19"/>
  <c r="D76" i="19"/>
  <c r="C76" i="19"/>
  <c r="C102" i="19" s="1"/>
  <c r="E75" i="19"/>
  <c r="D75" i="19"/>
  <c r="D77" i="19" s="1"/>
  <c r="D109" i="19" s="1"/>
  <c r="C75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E33" i="19"/>
  <c r="D12" i="19"/>
  <c r="D34" i="19" s="1"/>
  <c r="D33" i="19"/>
  <c r="C12" i="19"/>
  <c r="C23" i="19"/>
  <c r="D21" i="18"/>
  <c r="C21" i="18"/>
  <c r="E21" i="18" s="1"/>
  <c r="F21" i="18" s="1"/>
  <c r="D19" i="18"/>
  <c r="C19" i="18"/>
  <c r="E19" i="18" s="1"/>
  <c r="F19" i="18" s="1"/>
  <c r="E17" i="18"/>
  <c r="F17" i="18" s="1"/>
  <c r="E15" i="18"/>
  <c r="F15" i="18" s="1"/>
  <c r="D45" i="17"/>
  <c r="E45" i="17"/>
  <c r="C45" i="17"/>
  <c r="D44" i="17"/>
  <c r="E44" i="17" s="1"/>
  <c r="C44" i="17"/>
  <c r="D43" i="17"/>
  <c r="D46" i="17" s="1"/>
  <c r="C43" i="17"/>
  <c r="D36" i="17"/>
  <c r="D40" i="17" s="1"/>
  <c r="C36" i="17"/>
  <c r="E35" i="17"/>
  <c r="F35" i="17" s="1"/>
  <c r="E34" i="17"/>
  <c r="F34" i="17" s="1"/>
  <c r="E33" i="17"/>
  <c r="F33" i="17" s="1"/>
  <c r="F30" i="17"/>
  <c r="E30" i="17"/>
  <c r="F29" i="17"/>
  <c r="E29" i="17"/>
  <c r="F28" i="17"/>
  <c r="E28" i="17"/>
  <c r="F27" i="17"/>
  <c r="E27" i="17"/>
  <c r="D25" i="17"/>
  <c r="D39" i="17" s="1"/>
  <c r="C25" i="17"/>
  <c r="C39" i="17" s="1"/>
  <c r="F24" i="17"/>
  <c r="E24" i="17"/>
  <c r="F23" i="17"/>
  <c r="E23" i="17"/>
  <c r="F22" i="17"/>
  <c r="E22" i="17"/>
  <c r="E25" i="17"/>
  <c r="F25" i="17" s="1"/>
  <c r="D19" i="17"/>
  <c r="D20" i="17" s="1"/>
  <c r="C19" i="17"/>
  <c r="E18" i="17"/>
  <c r="F18" i="17" s="1"/>
  <c r="D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49" i="16" s="1"/>
  <c r="C36" i="16"/>
  <c r="C32" i="16"/>
  <c r="C33" i="16" s="1"/>
  <c r="C21" i="16"/>
  <c r="E328" i="15"/>
  <c r="E325" i="15"/>
  <c r="D324" i="15"/>
  <c r="D326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E301" i="15" s="1"/>
  <c r="C301" i="15"/>
  <c r="D293" i="15"/>
  <c r="E293" i="15" s="1"/>
  <c r="C293" i="15"/>
  <c r="D292" i="15"/>
  <c r="E292" i="15" s="1"/>
  <c r="C292" i="15"/>
  <c r="D291" i="15"/>
  <c r="C291" i="15"/>
  <c r="D290" i="15"/>
  <c r="E290" i="15" s="1"/>
  <c r="C290" i="15"/>
  <c r="D288" i="15"/>
  <c r="E288" i="15" s="1"/>
  <c r="C288" i="15"/>
  <c r="D287" i="15"/>
  <c r="C287" i="15"/>
  <c r="D282" i="15"/>
  <c r="E282" i="15" s="1"/>
  <c r="C282" i="15"/>
  <c r="D281" i="15"/>
  <c r="C281" i="15"/>
  <c r="D280" i="15"/>
  <c r="E280" i="15" s="1"/>
  <c r="C280" i="15"/>
  <c r="D279" i="15"/>
  <c r="E279" i="15" s="1"/>
  <c r="C279" i="15"/>
  <c r="D278" i="15"/>
  <c r="E278" i="15" s="1"/>
  <c r="C278" i="15"/>
  <c r="D277" i="15"/>
  <c r="C277" i="15"/>
  <c r="D276" i="15"/>
  <c r="E276" i="15" s="1"/>
  <c r="C276" i="15"/>
  <c r="E270" i="15"/>
  <c r="D265" i="15"/>
  <c r="C265" i="15"/>
  <c r="C302" i="15" s="1"/>
  <c r="D262" i="15"/>
  <c r="E262" i="15" s="1"/>
  <c r="C262" i="15"/>
  <c r="D251" i="15"/>
  <c r="C251" i="15"/>
  <c r="D233" i="15"/>
  <c r="C233" i="15"/>
  <c r="D232" i="15"/>
  <c r="C232" i="15"/>
  <c r="E232" i="15" s="1"/>
  <c r="D231" i="15"/>
  <c r="C231" i="15"/>
  <c r="D230" i="15"/>
  <c r="C230" i="15"/>
  <c r="D228" i="15"/>
  <c r="C228" i="15"/>
  <c r="E228" i="15" s="1"/>
  <c r="D227" i="15"/>
  <c r="E227" i="15" s="1"/>
  <c r="C227" i="15"/>
  <c r="D221" i="15"/>
  <c r="D245" i="15" s="1"/>
  <c r="C221" i="15"/>
  <c r="C245" i="15" s="1"/>
  <c r="D220" i="15"/>
  <c r="C220" i="15"/>
  <c r="C244" i="15" s="1"/>
  <c r="D219" i="15"/>
  <c r="D243" i="15" s="1"/>
  <c r="C219" i="15"/>
  <c r="C243" i="15" s="1"/>
  <c r="D218" i="15"/>
  <c r="D242" i="15" s="1"/>
  <c r="E242" i="15" s="1"/>
  <c r="C218" i="15"/>
  <c r="C242" i="15" s="1"/>
  <c r="D216" i="15"/>
  <c r="E216" i="15"/>
  <c r="C216" i="15"/>
  <c r="C240" i="15"/>
  <c r="D215" i="15"/>
  <c r="D239" i="15" s="1"/>
  <c r="C215" i="15"/>
  <c r="E209" i="15"/>
  <c r="E208" i="15"/>
  <c r="E207" i="15"/>
  <c r="E206" i="15"/>
  <c r="D205" i="15"/>
  <c r="C205" i="15"/>
  <c r="C210" i="15" s="1"/>
  <c r="C234" i="15" s="1"/>
  <c r="E204" i="15"/>
  <c r="E203" i="15"/>
  <c r="E197" i="15"/>
  <c r="E196" i="15"/>
  <c r="D195" i="15"/>
  <c r="D260" i="15" s="1"/>
  <c r="C195" i="15"/>
  <c r="C260" i="15" s="1"/>
  <c r="E194" i="15"/>
  <c r="E193" i="15"/>
  <c r="E192" i="15"/>
  <c r="E191" i="15"/>
  <c r="E190" i="15"/>
  <c r="D188" i="15"/>
  <c r="C188" i="15"/>
  <c r="C261" i="15" s="1"/>
  <c r="E186" i="15"/>
  <c r="E185" i="15"/>
  <c r="D179" i="15"/>
  <c r="C179" i="15"/>
  <c r="E179" i="15" s="1"/>
  <c r="D178" i="15"/>
  <c r="C178" i="15"/>
  <c r="D177" i="15"/>
  <c r="C177" i="15"/>
  <c r="D176" i="15"/>
  <c r="C176" i="15"/>
  <c r="D174" i="15"/>
  <c r="C174" i="15"/>
  <c r="D173" i="15"/>
  <c r="C173" i="15"/>
  <c r="E173" i="15" s="1"/>
  <c r="D167" i="15"/>
  <c r="C167" i="15"/>
  <c r="D166" i="15"/>
  <c r="C166" i="15"/>
  <c r="E166" i="15" s="1"/>
  <c r="D165" i="15"/>
  <c r="C165" i="15"/>
  <c r="D164" i="15"/>
  <c r="C164" i="15"/>
  <c r="E164" i="15" s="1"/>
  <c r="D162" i="15"/>
  <c r="C162" i="15"/>
  <c r="E162" i="15" s="1"/>
  <c r="D161" i="15"/>
  <c r="C161" i="15"/>
  <c r="E155" i="15"/>
  <c r="E154" i="15"/>
  <c r="E153" i="15"/>
  <c r="E152" i="15"/>
  <c r="D151" i="15"/>
  <c r="D156" i="15" s="1"/>
  <c r="C151" i="15"/>
  <c r="E150" i="15"/>
  <c r="E149" i="15"/>
  <c r="E143" i="15"/>
  <c r="E142" i="15"/>
  <c r="E141" i="15"/>
  <c r="E140" i="15"/>
  <c r="D139" i="15"/>
  <c r="D163" i="15" s="1"/>
  <c r="C139" i="15"/>
  <c r="C175" i="15" s="1"/>
  <c r="E138" i="15"/>
  <c r="E137" i="15"/>
  <c r="D75" i="15"/>
  <c r="C75" i="15"/>
  <c r="E75" i="15" s="1"/>
  <c r="D74" i="15"/>
  <c r="C74" i="15"/>
  <c r="D73" i="15"/>
  <c r="C73" i="15"/>
  <c r="E73" i="15" s="1"/>
  <c r="D72" i="15"/>
  <c r="C72" i="15"/>
  <c r="D70" i="15"/>
  <c r="C70" i="15"/>
  <c r="D69" i="15"/>
  <c r="C69" i="15"/>
  <c r="E64" i="15"/>
  <c r="E63" i="15"/>
  <c r="E62" i="15"/>
  <c r="E61" i="15"/>
  <c r="D60" i="15"/>
  <c r="C60" i="15"/>
  <c r="C289" i="15" s="1"/>
  <c r="E59" i="15"/>
  <c r="E58" i="15"/>
  <c r="D54" i="15"/>
  <c r="C54" i="15"/>
  <c r="C55" i="15" s="1"/>
  <c r="E53" i="15"/>
  <c r="E52" i="15"/>
  <c r="E51" i="15"/>
  <c r="E50" i="15"/>
  <c r="E49" i="15"/>
  <c r="E48" i="15"/>
  <c r="E47" i="15"/>
  <c r="D42" i="15"/>
  <c r="E42" i="15" s="1"/>
  <c r="C42" i="15"/>
  <c r="D41" i="15"/>
  <c r="C41" i="15"/>
  <c r="E41" i="15" s="1"/>
  <c r="D40" i="15"/>
  <c r="E40" i="15" s="1"/>
  <c r="C40" i="15"/>
  <c r="D39" i="15"/>
  <c r="C39" i="15"/>
  <c r="E39" i="15" s="1"/>
  <c r="D38" i="15"/>
  <c r="E38" i="15" s="1"/>
  <c r="C38" i="15"/>
  <c r="D37" i="15"/>
  <c r="C37" i="15"/>
  <c r="C43" i="15" s="1"/>
  <c r="D36" i="15"/>
  <c r="C36" i="15"/>
  <c r="D32" i="15"/>
  <c r="C32" i="15"/>
  <c r="C33" i="15" s="1"/>
  <c r="E31" i="15"/>
  <c r="E30" i="15"/>
  <c r="E29" i="15"/>
  <c r="E28" i="15"/>
  <c r="E27" i="15"/>
  <c r="E26" i="15"/>
  <c r="E25" i="15"/>
  <c r="D21" i="15"/>
  <c r="C21" i="15"/>
  <c r="C283" i="15" s="1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F330" i="14"/>
  <c r="E330" i="14"/>
  <c r="E329" i="14"/>
  <c r="F329" i="14" s="1"/>
  <c r="F316" i="14"/>
  <c r="E316" i="14"/>
  <c r="C311" i="14"/>
  <c r="E308" i="14"/>
  <c r="F308" i="14" s="1"/>
  <c r="C307" i="14"/>
  <c r="E307" i="14" s="1"/>
  <c r="C299" i="14"/>
  <c r="E299" i="14" s="1"/>
  <c r="F299" i="14" s="1"/>
  <c r="C298" i="14"/>
  <c r="E298" i="14" s="1"/>
  <c r="C297" i="14"/>
  <c r="E297" i="14" s="1"/>
  <c r="C296" i="14"/>
  <c r="C295" i="14"/>
  <c r="C294" i="14"/>
  <c r="E294" i="14" s="1"/>
  <c r="C250" i="14"/>
  <c r="E250" i="14" s="1"/>
  <c r="E249" i="14"/>
  <c r="F249" i="14" s="1"/>
  <c r="E248" i="14"/>
  <c r="F248" i="14" s="1"/>
  <c r="E245" i="14"/>
  <c r="F245" i="14" s="1"/>
  <c r="F244" i="14"/>
  <c r="E244" i="14"/>
  <c r="E243" i="14"/>
  <c r="F243" i="14" s="1"/>
  <c r="C238" i="14"/>
  <c r="C237" i="14"/>
  <c r="C239" i="14" s="1"/>
  <c r="E234" i="14"/>
  <c r="F234" i="14" s="1"/>
  <c r="E233" i="14"/>
  <c r="F233" i="14" s="1"/>
  <c r="C230" i="14"/>
  <c r="C229" i="14"/>
  <c r="E229" i="14" s="1"/>
  <c r="F229" i="14" s="1"/>
  <c r="E228" i="14"/>
  <c r="F228" i="14" s="1"/>
  <c r="C226" i="14"/>
  <c r="C227" i="14" s="1"/>
  <c r="E225" i="14"/>
  <c r="F225" i="14" s="1"/>
  <c r="E224" i="14"/>
  <c r="F224" i="14" s="1"/>
  <c r="C223" i="14"/>
  <c r="E222" i="14"/>
  <c r="F222" i="14" s="1"/>
  <c r="E221" i="14"/>
  <c r="F221" i="14" s="1"/>
  <c r="C204" i="14"/>
  <c r="C203" i="14"/>
  <c r="E203" i="14" s="1"/>
  <c r="C198" i="14"/>
  <c r="C191" i="14"/>
  <c r="C264" i="14" s="1"/>
  <c r="C189" i="14"/>
  <c r="C278" i="14" s="1"/>
  <c r="C188" i="14"/>
  <c r="C277" i="14" s="1"/>
  <c r="C180" i="14"/>
  <c r="E180" i="14" s="1"/>
  <c r="F180" i="14" s="1"/>
  <c r="C179" i="14"/>
  <c r="C172" i="14"/>
  <c r="C171" i="14"/>
  <c r="C170" i="14"/>
  <c r="E170" i="14" s="1"/>
  <c r="E169" i="14"/>
  <c r="F169" i="14"/>
  <c r="E168" i="14"/>
  <c r="F168" i="14"/>
  <c r="C165" i="14"/>
  <c r="E165" i="14" s="1"/>
  <c r="E164" i="14"/>
  <c r="C164" i="14"/>
  <c r="E163" i="14"/>
  <c r="F163" i="14" s="1"/>
  <c r="C158" i="14"/>
  <c r="E157" i="14"/>
  <c r="F157" i="14" s="1"/>
  <c r="E156" i="14"/>
  <c r="F156" i="14" s="1"/>
  <c r="C155" i="14"/>
  <c r="E154" i="14"/>
  <c r="F154" i="14" s="1"/>
  <c r="E153" i="14"/>
  <c r="F153" i="14" s="1"/>
  <c r="C145" i="14"/>
  <c r="E145" i="14" s="1"/>
  <c r="C144" i="14"/>
  <c r="C136" i="14"/>
  <c r="E136" i="14" s="1"/>
  <c r="C135" i="14"/>
  <c r="E135" i="14"/>
  <c r="F135" i="14" s="1"/>
  <c r="E134" i="14"/>
  <c r="F134" i="14" s="1"/>
  <c r="E133" i="14"/>
  <c r="F133" i="14" s="1"/>
  <c r="C130" i="14"/>
  <c r="E130" i="14" s="1"/>
  <c r="C129" i="14"/>
  <c r="E128" i="14"/>
  <c r="F128" i="14" s="1"/>
  <c r="C123" i="14"/>
  <c r="C193" i="14" s="1"/>
  <c r="E122" i="14"/>
  <c r="F122" i="14" s="1"/>
  <c r="E121" i="14"/>
  <c r="F121" i="14" s="1"/>
  <c r="C120" i="14"/>
  <c r="E120" i="14" s="1"/>
  <c r="E119" i="14"/>
  <c r="F119" i="14" s="1"/>
  <c r="E118" i="14"/>
  <c r="F118" i="14" s="1"/>
  <c r="C110" i="14"/>
  <c r="E110" i="14"/>
  <c r="C109" i="14"/>
  <c r="E109" i="14" s="1"/>
  <c r="F109" i="14" s="1"/>
  <c r="C101" i="14"/>
  <c r="C102" i="14" s="1"/>
  <c r="C100" i="14"/>
  <c r="E100" i="14"/>
  <c r="E99" i="14"/>
  <c r="F99" i="14"/>
  <c r="E98" i="14"/>
  <c r="F98" i="14"/>
  <c r="C95" i="14"/>
  <c r="E95" i="14" s="1"/>
  <c r="F95" i="14" s="1"/>
  <c r="C94" i="14"/>
  <c r="E93" i="14"/>
  <c r="F93" i="14"/>
  <c r="C88" i="14"/>
  <c r="E88" i="14" s="1"/>
  <c r="E87" i="14"/>
  <c r="F87" i="14" s="1"/>
  <c r="E86" i="14"/>
  <c r="F86" i="14" s="1"/>
  <c r="C85" i="14"/>
  <c r="E84" i="14"/>
  <c r="F84" i="14" s="1"/>
  <c r="E83" i="14"/>
  <c r="F83" i="14" s="1"/>
  <c r="C76" i="14"/>
  <c r="C77" i="14" s="1"/>
  <c r="E77" i="14" s="1"/>
  <c r="E74" i="14"/>
  <c r="F74" i="14" s="1"/>
  <c r="E73" i="14"/>
  <c r="F73" i="14" s="1"/>
  <c r="C67" i="14"/>
  <c r="E67" i="14" s="1"/>
  <c r="C66" i="14"/>
  <c r="E66" i="14" s="1"/>
  <c r="C59" i="14"/>
  <c r="E58" i="14"/>
  <c r="C58" i="14"/>
  <c r="F57" i="14"/>
  <c r="E57" i="14"/>
  <c r="F56" i="14"/>
  <c r="E56" i="14"/>
  <c r="C53" i="14"/>
  <c r="E53" i="14" s="1"/>
  <c r="C52" i="14"/>
  <c r="E52" i="14" s="1"/>
  <c r="E51" i="14"/>
  <c r="F51" i="14" s="1"/>
  <c r="C47" i="14"/>
  <c r="E46" i="14"/>
  <c r="F46" i="14" s="1"/>
  <c r="E45" i="14"/>
  <c r="F45" i="14" s="1"/>
  <c r="C44" i="14"/>
  <c r="E44" i="14"/>
  <c r="E43" i="14"/>
  <c r="F43" i="14"/>
  <c r="E42" i="14"/>
  <c r="F42" i="14"/>
  <c r="C36" i="14"/>
  <c r="E35" i="14"/>
  <c r="C35" i="14"/>
  <c r="C30" i="14"/>
  <c r="C29" i="14"/>
  <c r="E28" i="14"/>
  <c r="F28" i="14" s="1"/>
  <c r="E27" i="14"/>
  <c r="F27" i="14" s="1"/>
  <c r="C24" i="14"/>
  <c r="E24" i="14" s="1"/>
  <c r="C23" i="14"/>
  <c r="E23" i="14" s="1"/>
  <c r="E22" i="14"/>
  <c r="F22" i="14" s="1"/>
  <c r="C20" i="14"/>
  <c r="E19" i="14"/>
  <c r="F19" i="14" s="1"/>
  <c r="E18" i="14"/>
  <c r="F18" i="14" s="1"/>
  <c r="C17" i="14"/>
  <c r="E17" i="14" s="1"/>
  <c r="F17" i="14" s="1"/>
  <c r="E16" i="14"/>
  <c r="F16" i="14" s="1"/>
  <c r="E15" i="14"/>
  <c r="F15" i="14" s="1"/>
  <c r="D21" i="13"/>
  <c r="C21" i="13"/>
  <c r="E21" i="13"/>
  <c r="E20" i="13"/>
  <c r="F20" i="13"/>
  <c r="D17" i="13"/>
  <c r="C17" i="13"/>
  <c r="E17" i="13" s="1"/>
  <c r="E16" i="13"/>
  <c r="F16" i="13" s="1"/>
  <c r="D13" i="13"/>
  <c r="C13" i="13"/>
  <c r="E13" i="13"/>
  <c r="E12" i="13"/>
  <c r="F12" i="13"/>
  <c r="D99" i="12"/>
  <c r="C99" i="12"/>
  <c r="E99" i="12" s="1"/>
  <c r="E98" i="12"/>
  <c r="F98" i="12" s="1"/>
  <c r="E97" i="12"/>
  <c r="F97" i="12" s="1"/>
  <c r="E96" i="12"/>
  <c r="F96" i="12" s="1"/>
  <c r="D92" i="12"/>
  <c r="C92" i="12"/>
  <c r="E92" i="12"/>
  <c r="E91" i="12"/>
  <c r="F91" i="12"/>
  <c r="F90" i="12"/>
  <c r="E90" i="12"/>
  <c r="E89" i="12"/>
  <c r="F89" i="12"/>
  <c r="E88" i="12"/>
  <c r="F88" i="12"/>
  <c r="E87" i="12"/>
  <c r="F87" i="12"/>
  <c r="D84" i="12"/>
  <c r="C84" i="12"/>
  <c r="E84" i="12" s="1"/>
  <c r="F83" i="12"/>
  <c r="E83" i="12"/>
  <c r="F82" i="12"/>
  <c r="E82" i="12"/>
  <c r="E81" i="12"/>
  <c r="F81" i="12" s="1"/>
  <c r="F80" i="12"/>
  <c r="E80" i="12"/>
  <c r="F79" i="12"/>
  <c r="E79" i="12"/>
  <c r="D75" i="12"/>
  <c r="C75" i="12"/>
  <c r="E74" i="12"/>
  <c r="F74" i="12" s="1"/>
  <c r="E73" i="12"/>
  <c r="E75" i="12" s="1"/>
  <c r="F75" i="12" s="1"/>
  <c r="D70" i="12"/>
  <c r="C70" i="12"/>
  <c r="E69" i="12"/>
  <c r="F69" i="12" s="1"/>
  <c r="E68" i="12"/>
  <c r="F68" i="12" s="1"/>
  <c r="D65" i="12"/>
  <c r="C65" i="12"/>
  <c r="E65" i="12"/>
  <c r="E64" i="12"/>
  <c r="F64" i="12"/>
  <c r="E63" i="12"/>
  <c r="F63" i="12"/>
  <c r="D60" i="12"/>
  <c r="C60" i="12"/>
  <c r="F60" i="12" s="1"/>
  <c r="F59" i="12"/>
  <c r="E59" i="12"/>
  <c r="F58" i="12"/>
  <c r="E58" i="12"/>
  <c r="E60" i="12" s="1"/>
  <c r="D55" i="12"/>
  <c r="C55" i="12"/>
  <c r="E55" i="12" s="1"/>
  <c r="F54" i="12"/>
  <c r="E54" i="12"/>
  <c r="F53" i="12"/>
  <c r="E53" i="12"/>
  <c r="D50" i="12"/>
  <c r="C50" i="12"/>
  <c r="E50" i="12"/>
  <c r="F49" i="12"/>
  <c r="E49" i="12"/>
  <c r="F48" i="12"/>
  <c r="E48" i="12"/>
  <c r="D45" i="12"/>
  <c r="C45" i="12"/>
  <c r="E45" i="12" s="1"/>
  <c r="F44" i="12"/>
  <c r="E44" i="12"/>
  <c r="F43" i="12"/>
  <c r="E43" i="12"/>
  <c r="D37" i="12"/>
  <c r="C37" i="12"/>
  <c r="E37" i="12"/>
  <c r="F36" i="12"/>
  <c r="E36" i="12"/>
  <c r="F35" i="12"/>
  <c r="E35" i="12"/>
  <c r="F34" i="12"/>
  <c r="E34" i="12"/>
  <c r="F33" i="12"/>
  <c r="E33" i="12"/>
  <c r="D30" i="12"/>
  <c r="E30" i="12" s="1"/>
  <c r="C30" i="12"/>
  <c r="F29" i="12"/>
  <c r="E29" i="12"/>
  <c r="F28" i="12"/>
  <c r="E28" i="12"/>
  <c r="E27" i="12"/>
  <c r="F27" i="12" s="1"/>
  <c r="F26" i="12"/>
  <c r="E26" i="12"/>
  <c r="D23" i="12"/>
  <c r="C23" i="12"/>
  <c r="F22" i="12"/>
  <c r="E22" i="12"/>
  <c r="E21" i="12"/>
  <c r="F21" i="12" s="1"/>
  <c r="E20" i="12"/>
  <c r="F20" i="12" s="1"/>
  <c r="E19" i="12"/>
  <c r="F19" i="12" s="1"/>
  <c r="D16" i="12"/>
  <c r="C16" i="12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 s="1"/>
  <c r="F17" i="11"/>
  <c r="F31" i="11" s="1"/>
  <c r="E17" i="11"/>
  <c r="E31" i="11" s="1"/>
  <c r="D17" i="11"/>
  <c r="D31" i="11" s="1"/>
  <c r="D33" i="11"/>
  <c r="D36" i="11" s="1"/>
  <c r="D38" i="11" s="1"/>
  <c r="C17" i="11"/>
  <c r="C33" i="1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D78" i="10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D66" i="10"/>
  <c r="D65" i="10" s="1"/>
  <c r="C66" i="10"/>
  <c r="E65" i="10"/>
  <c r="C65" i="10"/>
  <c r="E60" i="10"/>
  <c r="D60" i="10"/>
  <c r="C60" i="10"/>
  <c r="E58" i="10"/>
  <c r="D58" i="10"/>
  <c r="C58" i="10"/>
  <c r="E55" i="10"/>
  <c r="E50" i="10" s="1"/>
  <c r="D55" i="10"/>
  <c r="C55" i="10"/>
  <c r="E54" i="10"/>
  <c r="D54" i="10"/>
  <c r="D50" i="10" s="1"/>
  <c r="C54" i="10"/>
  <c r="C50" i="10" s="1"/>
  <c r="E46" i="10"/>
  <c r="D46" i="10"/>
  <c r="D59" i="10" s="1"/>
  <c r="D61" i="10" s="1"/>
  <c r="D57" i="10" s="1"/>
  <c r="C46" i="10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D13" i="10"/>
  <c r="D25" i="10" s="1"/>
  <c r="D27" i="10" s="1"/>
  <c r="C13" i="10"/>
  <c r="D46" i="9"/>
  <c r="C46" i="9"/>
  <c r="E46" i="9" s="1"/>
  <c r="F45" i="9"/>
  <c r="E45" i="9"/>
  <c r="F44" i="9"/>
  <c r="E44" i="9"/>
  <c r="D39" i="9"/>
  <c r="C39" i="9"/>
  <c r="E39" i="9"/>
  <c r="E38" i="9"/>
  <c r="F38" i="9"/>
  <c r="F37" i="9"/>
  <c r="E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F18" i="9"/>
  <c r="E18" i="9"/>
  <c r="E17" i="9"/>
  <c r="F17" i="9"/>
  <c r="D16" i="9"/>
  <c r="D19" i="9" s="1"/>
  <c r="D33" i="9" s="1"/>
  <c r="D41" i="9" s="1"/>
  <c r="D48" i="9" s="1"/>
  <c r="C16" i="9"/>
  <c r="F15" i="9"/>
  <c r="E15" i="9"/>
  <c r="E14" i="9"/>
  <c r="F14" i="9"/>
  <c r="E13" i="9"/>
  <c r="F13" i="9"/>
  <c r="E12" i="9"/>
  <c r="F12" i="9"/>
  <c r="D73" i="8"/>
  <c r="C73" i="8"/>
  <c r="E73" i="8" s="1"/>
  <c r="E72" i="8"/>
  <c r="F72" i="8" s="1"/>
  <c r="E71" i="8"/>
  <c r="F71" i="8" s="1"/>
  <c r="E70" i="8"/>
  <c r="F70" i="8" s="1"/>
  <c r="F67" i="8"/>
  <c r="E67" i="8"/>
  <c r="E64" i="8"/>
  <c r="F64" i="8" s="1"/>
  <c r="E63" i="8"/>
  <c r="F63" i="8" s="1"/>
  <c r="D61" i="8"/>
  <c r="D65" i="8" s="1"/>
  <c r="C61" i="8"/>
  <c r="C65" i="8" s="1"/>
  <c r="E60" i="8"/>
  <c r="F60" i="8" s="1"/>
  <c r="E59" i="8"/>
  <c r="F59" i="8" s="1"/>
  <c r="D56" i="8"/>
  <c r="D75" i="8" s="1"/>
  <c r="C56" i="8"/>
  <c r="E55" i="8"/>
  <c r="F55" i="8" s="1"/>
  <c r="E54" i="8"/>
  <c r="F54" i="8" s="1"/>
  <c r="E53" i="8"/>
  <c r="F53" i="8"/>
  <c r="F52" i="8"/>
  <c r="E52" i="8"/>
  <c r="E51" i="8"/>
  <c r="F51" i="8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D41" i="8" s="1"/>
  <c r="C38" i="8"/>
  <c r="E38" i="8" s="1"/>
  <c r="E37" i="8"/>
  <c r="F37" i="8"/>
  <c r="E36" i="8"/>
  <c r="F36" i="8"/>
  <c r="E33" i="8"/>
  <c r="F33" i="8"/>
  <c r="E32" i="8"/>
  <c r="F32" i="8"/>
  <c r="E31" i="8"/>
  <c r="F31" i="8"/>
  <c r="D29" i="8"/>
  <c r="C29" i="8"/>
  <c r="E28" i="8"/>
  <c r="F28" i="8" s="1"/>
  <c r="F27" i="8"/>
  <c r="E27" i="8"/>
  <c r="E26" i="8"/>
  <c r="F26" i="8" s="1"/>
  <c r="F25" i="8"/>
  <c r="E25" i="8"/>
  <c r="D22" i="8"/>
  <c r="D43" i="8" s="1"/>
  <c r="C22" i="8"/>
  <c r="E21" i="8"/>
  <c r="F21" i="8" s="1"/>
  <c r="E20" i="8"/>
  <c r="F20" i="8" s="1"/>
  <c r="E19" i="8"/>
  <c r="F19" i="8" s="1"/>
  <c r="F18" i="8"/>
  <c r="E18" i="8"/>
  <c r="F17" i="8"/>
  <c r="E17" i="8"/>
  <c r="E16" i="8"/>
  <c r="F16" i="8" s="1"/>
  <c r="E15" i="8"/>
  <c r="F15" i="8" s="1"/>
  <c r="E14" i="8"/>
  <c r="F14" i="8" s="1"/>
  <c r="E13" i="8"/>
  <c r="F13" i="8" s="1"/>
  <c r="D120" i="7"/>
  <c r="C120" i="7"/>
  <c r="D119" i="7"/>
  <c r="C119" i="7"/>
  <c r="D118" i="7"/>
  <c r="E118" i="7" s="1"/>
  <c r="C118" i="7"/>
  <c r="D117" i="7"/>
  <c r="E117" i="7" s="1"/>
  <c r="C117" i="7"/>
  <c r="D116" i="7"/>
  <c r="C116" i="7"/>
  <c r="D115" i="7"/>
  <c r="C115" i="7"/>
  <c r="D114" i="7"/>
  <c r="E114" i="7" s="1"/>
  <c r="C114" i="7"/>
  <c r="D113" i="7"/>
  <c r="E113" i="7" s="1"/>
  <c r="C113" i="7"/>
  <c r="D112" i="7"/>
  <c r="D121" i="7" s="1"/>
  <c r="C112" i="7"/>
  <c r="D108" i="7"/>
  <c r="C108" i="7"/>
  <c r="D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C96" i="7"/>
  <c r="D95" i="7"/>
  <c r="C95" i="7"/>
  <c r="E95" i="7" s="1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C59" i="7"/>
  <c r="E58" i="7"/>
  <c r="F58" i="7" s="1"/>
  <c r="F57" i="7"/>
  <c r="E57" i="7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C48" i="7"/>
  <c r="E48" i="7" s="1"/>
  <c r="D47" i="7"/>
  <c r="C47" i="7"/>
  <c r="F46" i="7"/>
  <c r="E46" i="7"/>
  <c r="F45" i="7"/>
  <c r="E45" i="7"/>
  <c r="E44" i="7"/>
  <c r="F44" i="7"/>
  <c r="F43" i="7"/>
  <c r="E43" i="7"/>
  <c r="F42" i="7"/>
  <c r="E42" i="7"/>
  <c r="E41" i="7"/>
  <c r="F41" i="7"/>
  <c r="E40" i="7"/>
  <c r="F40" i="7"/>
  <c r="F39" i="7"/>
  <c r="E39" i="7"/>
  <c r="F38" i="7"/>
  <c r="E38" i="7"/>
  <c r="D36" i="7"/>
  <c r="C36" i="7"/>
  <c r="E36" i="7" s="1"/>
  <c r="D35" i="7"/>
  <c r="C35" i="7"/>
  <c r="E35" i="7" s="1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D23" i="7"/>
  <c r="C23" i="7"/>
  <c r="E23" i="7" s="1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F15" i="7"/>
  <c r="E15" i="7"/>
  <c r="E14" i="7"/>
  <c r="F14" i="7"/>
  <c r="D206" i="6"/>
  <c r="E206" i="6" s="1"/>
  <c r="C206" i="6"/>
  <c r="D205" i="6"/>
  <c r="C205" i="6"/>
  <c r="D204" i="6"/>
  <c r="C204" i="6"/>
  <c r="D203" i="6"/>
  <c r="C203" i="6"/>
  <c r="E203" i="6"/>
  <c r="D202" i="6"/>
  <c r="E202" i="6" s="1"/>
  <c r="C202" i="6"/>
  <c r="D201" i="6"/>
  <c r="E201" i="6" s="1"/>
  <c r="C201" i="6"/>
  <c r="F201" i="6" s="1"/>
  <c r="D200" i="6"/>
  <c r="E200" i="6" s="1"/>
  <c r="C200" i="6"/>
  <c r="F200" i="6" s="1"/>
  <c r="D199" i="6"/>
  <c r="E199" i="6" s="1"/>
  <c r="C199" i="6"/>
  <c r="F199" i="6" s="1"/>
  <c r="D198" i="6"/>
  <c r="E198" i="6" s="1"/>
  <c r="C198" i="6"/>
  <c r="C207" i="6" s="1"/>
  <c r="D193" i="6"/>
  <c r="E193" i="6" s="1"/>
  <c r="C193" i="6"/>
  <c r="D192" i="6"/>
  <c r="C192" i="6"/>
  <c r="E191" i="6"/>
  <c r="F191" i="6" s="1"/>
  <c r="E190" i="6"/>
  <c r="F190" i="6" s="1"/>
  <c r="E189" i="6"/>
  <c r="F189" i="6" s="1"/>
  <c r="E188" i="6"/>
  <c r="F188" i="6" s="1"/>
  <c r="E187" i="6"/>
  <c r="F187" i="6" s="1"/>
  <c r="E186" i="6"/>
  <c r="F186" i="6" s="1"/>
  <c r="E185" i="6"/>
  <c r="F185" i="6" s="1"/>
  <c r="E184" i="6"/>
  <c r="F184" i="6" s="1"/>
  <c r="E183" i="6"/>
  <c r="F183" i="6" s="1"/>
  <c r="D180" i="6"/>
  <c r="C180" i="6"/>
  <c r="F180" i="6" s="1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 s="1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F141" i="6" s="1"/>
  <c r="C141" i="6"/>
  <c r="D140" i="6"/>
  <c r="E140" i="6" s="1"/>
  <c r="F140" i="6" s="1"/>
  <c r="C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E128" i="6" s="1"/>
  <c r="F128" i="6" s="1"/>
  <c r="C128" i="6"/>
  <c r="D127" i="6"/>
  <c r="E127" i="6" s="1"/>
  <c r="F127" i="6" s="1"/>
  <c r="C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E115" i="6" s="1"/>
  <c r="F115" i="6" s="1"/>
  <c r="C115" i="6"/>
  <c r="D114" i="6"/>
  <c r="E114" i="6" s="1"/>
  <c r="F114" i="6" s="1"/>
  <c r="C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 s="1"/>
  <c r="F102" i="6" s="1"/>
  <c r="C102" i="6"/>
  <c r="D101" i="6"/>
  <c r="E101" i="6" s="1"/>
  <c r="F101" i="6" s="1"/>
  <c r="C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89" i="6"/>
  <c r="D89" i="6"/>
  <c r="E89" i="6"/>
  <c r="C89" i="6"/>
  <c r="F88" i="6"/>
  <c r="D88" i="6"/>
  <c r="E88" i="6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 s="1"/>
  <c r="F76" i="6" s="1"/>
  <c r="C76" i="6"/>
  <c r="D75" i="6"/>
  <c r="E75" i="6" s="1"/>
  <c r="F75" i="6" s="1"/>
  <c r="C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 s="1"/>
  <c r="F63" i="6" s="1"/>
  <c r="C63" i="6"/>
  <c r="D62" i="6"/>
  <c r="E62" i="6" s="1"/>
  <c r="F62" i="6" s="1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 s="1"/>
  <c r="F50" i="6" s="1"/>
  <c r="C50" i="6"/>
  <c r="D49" i="6"/>
  <c r="E49" i="6" s="1"/>
  <c r="F49" i="6" s="1"/>
  <c r="C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7" i="6"/>
  <c r="D37" i="6"/>
  <c r="E37" i="6"/>
  <c r="C37" i="6"/>
  <c r="F36" i="6"/>
  <c r="D36" i="6"/>
  <c r="E36" i="6"/>
  <c r="C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 s="1"/>
  <c r="F24" i="6" s="1"/>
  <c r="C24" i="6"/>
  <c r="D23" i="6"/>
  <c r="E23" i="6" s="1"/>
  <c r="F23" i="6" s="1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E160" i="5" s="1"/>
  <c r="D164" i="5"/>
  <c r="D160" i="5"/>
  <c r="C164" i="5"/>
  <c r="C160" i="5" s="1"/>
  <c r="E162" i="5"/>
  <c r="D162" i="5"/>
  <c r="C162" i="5"/>
  <c r="E161" i="5"/>
  <c r="D161" i="5"/>
  <c r="C161" i="5"/>
  <c r="E147" i="5"/>
  <c r="E143" i="5" s="1"/>
  <c r="E149" i="5" s="1"/>
  <c r="D147" i="5"/>
  <c r="D143" i="5" s="1"/>
  <c r="C147" i="5"/>
  <c r="E145" i="5"/>
  <c r="D145" i="5"/>
  <c r="C145" i="5"/>
  <c r="E144" i="5"/>
  <c r="D144" i="5"/>
  <c r="C144" i="5"/>
  <c r="C143" i="5"/>
  <c r="C149" i="5" s="1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 s="1"/>
  <c r="D106" i="5" s="1"/>
  <c r="C107" i="5"/>
  <c r="C109" i="5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C95" i="5"/>
  <c r="C94" i="5" s="1"/>
  <c r="D94" i="5"/>
  <c r="E89" i="5"/>
  <c r="D89" i="5"/>
  <c r="C89" i="5"/>
  <c r="E87" i="5"/>
  <c r="D87" i="5"/>
  <c r="C87" i="5"/>
  <c r="E84" i="5"/>
  <c r="D84" i="5"/>
  <c r="C84" i="5"/>
  <c r="E83" i="5"/>
  <c r="E79" i="5" s="1"/>
  <c r="D83" i="5"/>
  <c r="C83" i="5"/>
  <c r="C79" i="5" s="1"/>
  <c r="E75" i="5"/>
  <c r="E88" i="5" s="1"/>
  <c r="E90" i="5" s="1"/>
  <c r="D75" i="5"/>
  <c r="D88" i="5" s="1"/>
  <c r="D90" i="5" s="1"/>
  <c r="D86" i="5" s="1"/>
  <c r="C75" i="5"/>
  <c r="C88" i="5" s="1"/>
  <c r="C90" i="5" s="1"/>
  <c r="C86" i="5" s="1"/>
  <c r="E74" i="5"/>
  <c r="D74" i="5"/>
  <c r="C74" i="5"/>
  <c r="E67" i="5"/>
  <c r="D67" i="5"/>
  <c r="C67" i="5"/>
  <c r="D43" i="5"/>
  <c r="E38" i="5"/>
  <c r="E49" i="5"/>
  <c r="D38" i="5"/>
  <c r="D49" i="5" s="1"/>
  <c r="D57" i="5"/>
  <c r="D62" i="5" s="1"/>
  <c r="C38" i="5"/>
  <c r="C57" i="5" s="1"/>
  <c r="C62" i="5" s="1"/>
  <c r="E33" i="5"/>
  <c r="E34" i="5" s="1"/>
  <c r="D33" i="5"/>
  <c r="D34" i="5"/>
  <c r="E26" i="5"/>
  <c r="D26" i="5"/>
  <c r="C26" i="5"/>
  <c r="E13" i="5"/>
  <c r="E25" i="5" s="1"/>
  <c r="E27" i="5" s="1"/>
  <c r="D13" i="5"/>
  <c r="D25" i="5"/>
  <c r="D27" i="5" s="1"/>
  <c r="C13" i="5"/>
  <c r="C25" i="5" s="1"/>
  <c r="C27" i="5" s="1"/>
  <c r="E174" i="4"/>
  <c r="F174" i="4" s="1"/>
  <c r="D171" i="4"/>
  <c r="C171" i="4"/>
  <c r="E170" i="4"/>
  <c r="F170" i="4" s="1"/>
  <c r="E169" i="4"/>
  <c r="F169" i="4" s="1"/>
  <c r="E168" i="4"/>
  <c r="F168" i="4" s="1"/>
  <c r="E167" i="4"/>
  <c r="F167" i="4" s="1"/>
  <c r="F166" i="4"/>
  <c r="E166" i="4"/>
  <c r="F165" i="4"/>
  <c r="E165" i="4"/>
  <c r="F164" i="4"/>
  <c r="E164" i="4"/>
  <c r="E163" i="4"/>
  <c r="F163" i="4" s="1"/>
  <c r="E162" i="4"/>
  <c r="F162" i="4" s="1"/>
  <c r="E161" i="4"/>
  <c r="F161" i="4" s="1"/>
  <c r="F160" i="4"/>
  <c r="E160" i="4"/>
  <c r="E159" i="4"/>
  <c r="F159" i="4" s="1"/>
  <c r="E158" i="4"/>
  <c r="F158" i="4" s="1"/>
  <c r="D155" i="4"/>
  <c r="C155" i="4"/>
  <c r="E154" i="4"/>
  <c r="F154" i="4" s="1"/>
  <c r="F153" i="4"/>
  <c r="E153" i="4"/>
  <c r="E152" i="4"/>
  <c r="F152" i="4" s="1"/>
  <c r="F151" i="4"/>
  <c r="E151" i="4"/>
  <c r="F150" i="4"/>
  <c r="E150" i="4"/>
  <c r="F149" i="4"/>
  <c r="E149" i="4"/>
  <c r="E148" i="4"/>
  <c r="F148" i="4" s="1"/>
  <c r="F147" i="4"/>
  <c r="E147" i="4"/>
  <c r="E146" i="4"/>
  <c r="F146" i="4" s="1"/>
  <c r="E145" i="4"/>
  <c r="F145" i="4" s="1"/>
  <c r="E144" i="4"/>
  <c r="F144" i="4" s="1"/>
  <c r="F143" i="4"/>
  <c r="E143" i="4"/>
  <c r="F142" i="4"/>
  <c r="E142" i="4"/>
  <c r="F141" i="4"/>
  <c r="E141" i="4"/>
  <c r="E140" i="4"/>
  <c r="F140" i="4" s="1"/>
  <c r="F139" i="4"/>
  <c r="E139" i="4"/>
  <c r="E138" i="4"/>
  <c r="F138" i="4" s="1"/>
  <c r="F137" i="4"/>
  <c r="E137" i="4"/>
  <c r="F136" i="4"/>
  <c r="E136" i="4"/>
  <c r="E135" i="4"/>
  <c r="F135" i="4" s="1"/>
  <c r="E134" i="4"/>
  <c r="F134" i="4" s="1"/>
  <c r="F133" i="4"/>
  <c r="E133" i="4"/>
  <c r="E132" i="4"/>
  <c r="F132" i="4" s="1"/>
  <c r="F131" i="4"/>
  <c r="E131" i="4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F124" i="4"/>
  <c r="E124" i="4"/>
  <c r="E123" i="4"/>
  <c r="F123" i="4" s="1"/>
  <c r="E122" i="4"/>
  <c r="F122" i="4" s="1"/>
  <c r="E121" i="4"/>
  <c r="F121" i="4" s="1"/>
  <c r="D118" i="4"/>
  <c r="C118" i="4"/>
  <c r="E117" i="4"/>
  <c r="F117" i="4" s="1"/>
  <c r="E116" i="4"/>
  <c r="F116" i="4" s="1"/>
  <c r="E115" i="4"/>
  <c r="F115" i="4" s="1"/>
  <c r="E114" i="4"/>
  <c r="F114" i="4" s="1"/>
  <c r="F113" i="4"/>
  <c r="E113" i="4"/>
  <c r="E112" i="4"/>
  <c r="F112" i="4" s="1"/>
  <c r="D109" i="4"/>
  <c r="C109" i="4"/>
  <c r="E108" i="4"/>
  <c r="F108" i="4" s="1"/>
  <c r="E107" i="4"/>
  <c r="F107" i="4" s="1"/>
  <c r="E106" i="4"/>
  <c r="F106" i="4" s="1"/>
  <c r="E105" i="4"/>
  <c r="F105" i="4" s="1"/>
  <c r="E104" i="4"/>
  <c r="F104" i="4" s="1"/>
  <c r="E103" i="4"/>
  <c r="F103" i="4" s="1"/>
  <c r="E102" i="4"/>
  <c r="F102" i="4" s="1"/>
  <c r="E101" i="4"/>
  <c r="F101" i="4" s="1"/>
  <c r="E100" i="4"/>
  <c r="F100" i="4" s="1"/>
  <c r="E99" i="4"/>
  <c r="F99" i="4" s="1"/>
  <c r="E98" i="4"/>
  <c r="F98" i="4" s="1"/>
  <c r="E97" i="4"/>
  <c r="F97" i="4" s="1"/>
  <c r="E96" i="4"/>
  <c r="F96" i="4" s="1"/>
  <c r="E95" i="4"/>
  <c r="F95" i="4" s="1"/>
  <c r="E94" i="4"/>
  <c r="F94" i="4" s="1"/>
  <c r="E93" i="4"/>
  <c r="F93" i="4" s="1"/>
  <c r="E92" i="4"/>
  <c r="F92" i="4" s="1"/>
  <c r="E91" i="4"/>
  <c r="F91" i="4" s="1"/>
  <c r="F81" i="4"/>
  <c r="E81" i="4"/>
  <c r="D78" i="4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E41" i="4" s="1"/>
  <c r="F41" i="4" s="1"/>
  <c r="C41" i="4"/>
  <c r="E40" i="4"/>
  <c r="F40" i="4" s="1"/>
  <c r="E39" i="4"/>
  <c r="F39" i="4" s="1"/>
  <c r="E38" i="4"/>
  <c r="F38" i="4" s="1"/>
  <c r="D35" i="4"/>
  <c r="C35" i="4"/>
  <c r="E34" i="4"/>
  <c r="F34" i="4" s="1"/>
  <c r="E33" i="4"/>
  <c r="F33" i="4" s="1"/>
  <c r="D30" i="4"/>
  <c r="C30" i="4"/>
  <c r="E30" i="4" s="1"/>
  <c r="E29" i="4"/>
  <c r="F29" i="4" s="1"/>
  <c r="E28" i="4"/>
  <c r="F28" i="4" s="1"/>
  <c r="E27" i="4"/>
  <c r="F27" i="4" s="1"/>
  <c r="D24" i="4"/>
  <c r="C24" i="4"/>
  <c r="E23" i="4"/>
  <c r="F23" i="4" s="1"/>
  <c r="E22" i="4"/>
  <c r="F22" i="4" s="1"/>
  <c r="E21" i="4"/>
  <c r="F21" i="4" s="1"/>
  <c r="D18" i="4"/>
  <c r="C18" i="4"/>
  <c r="E18" i="4" s="1"/>
  <c r="E17" i="4"/>
  <c r="F17" i="4" s="1"/>
  <c r="E16" i="4"/>
  <c r="F16" i="4" s="1"/>
  <c r="E15" i="4"/>
  <c r="F15" i="4" s="1"/>
  <c r="D179" i="3"/>
  <c r="C179" i="3"/>
  <c r="F178" i="3"/>
  <c r="E178" i="3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F165" i="3"/>
  <c r="E165" i="3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F152" i="3"/>
  <c r="E152" i="3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F136" i="3"/>
  <c r="E136" i="3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F123" i="3"/>
  <c r="E123" i="3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C111" i="3"/>
  <c r="F110" i="3"/>
  <c r="E110" i="3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D94" i="3"/>
  <c r="E94" i="3" s="1"/>
  <c r="C94" i="3"/>
  <c r="F94" i="3" s="1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D84" i="3"/>
  <c r="C84" i="3"/>
  <c r="C95" i="3" s="1"/>
  <c r="D81" i="3"/>
  <c r="C81" i="3"/>
  <c r="F80" i="3"/>
  <c r="E80" i="3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F67" i="3"/>
  <c r="E67" i="3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D51" i="3"/>
  <c r="E51" i="3" s="1"/>
  <c r="C51" i="3"/>
  <c r="F51" i="3" s="1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D41" i="3"/>
  <c r="C41" i="3"/>
  <c r="D38" i="3"/>
  <c r="E38" i="3" s="1"/>
  <c r="F38" i="3" s="1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 s="1"/>
  <c r="F25" i="3" s="1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F46" i="2"/>
  <c r="D46" i="2"/>
  <c r="E46" i="2"/>
  <c r="C46" i="2"/>
  <c r="F45" i="2"/>
  <c r="E45" i="2"/>
  <c r="F44" i="2"/>
  <c r="E44" i="2"/>
  <c r="D39" i="2"/>
  <c r="E39" i="2" s="1"/>
  <c r="F39" i="2" s="1"/>
  <c r="C39" i="2"/>
  <c r="F38" i="2"/>
  <c r="E38" i="2"/>
  <c r="F37" i="2"/>
  <c r="E37" i="2"/>
  <c r="F36" i="2"/>
  <c r="E36" i="2"/>
  <c r="D31" i="2"/>
  <c r="E31" i="2" s="1"/>
  <c r="F31" i="2" s="1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D19" i="2" s="1"/>
  <c r="C16" i="2"/>
  <c r="C19" i="2" s="1"/>
  <c r="F15" i="2"/>
  <c r="E15" i="2"/>
  <c r="F14" i="2"/>
  <c r="E14" i="2"/>
  <c r="F13" i="2"/>
  <c r="E13" i="2"/>
  <c r="F12" i="2"/>
  <c r="E12" i="2"/>
  <c r="D73" i="1"/>
  <c r="E73" i="1" s="1"/>
  <c r="F73" i="1" s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D65" i="1" s="1"/>
  <c r="C61" i="1"/>
  <c r="C65" i="1"/>
  <c r="E60" i="1"/>
  <c r="F60" i="1" s="1"/>
  <c r="E59" i="1"/>
  <c r="F59" i="1" s="1"/>
  <c r="D56" i="1"/>
  <c r="C56" i="1"/>
  <c r="E55" i="1"/>
  <c r="F55" i="1" s="1"/>
  <c r="E54" i="1"/>
  <c r="F54" i="1" s="1"/>
  <c r="E53" i="1"/>
  <c r="F53" i="1" s="1"/>
  <c r="F52" i="1"/>
  <c r="E52" i="1"/>
  <c r="E51" i="1"/>
  <c r="F51" i="1" s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C38" i="1"/>
  <c r="F37" i="1"/>
  <c r="E37" i="1"/>
  <c r="F36" i="1"/>
  <c r="E36" i="1"/>
  <c r="F33" i="1"/>
  <c r="E33" i="1"/>
  <c r="F32" i="1"/>
  <c r="E32" i="1"/>
  <c r="F31" i="1"/>
  <c r="E31" i="1"/>
  <c r="D29" i="1"/>
  <c r="E29" i="1" s="1"/>
  <c r="F29" i="1" s="1"/>
  <c r="C29" i="1"/>
  <c r="F28" i="1"/>
  <c r="E28" i="1"/>
  <c r="F27" i="1"/>
  <c r="E27" i="1"/>
  <c r="F26" i="1"/>
  <c r="E26" i="1"/>
  <c r="F25" i="1"/>
  <c r="E25" i="1"/>
  <c r="D22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207" i="14"/>
  <c r="D208" i="14" s="1"/>
  <c r="D138" i="14"/>
  <c r="F58" i="14"/>
  <c r="F145" i="14"/>
  <c r="E189" i="14"/>
  <c r="F189" i="14"/>
  <c r="D214" i="14"/>
  <c r="E76" i="14"/>
  <c r="F76" i="14" s="1"/>
  <c r="E171" i="14"/>
  <c r="F171" i="14" s="1"/>
  <c r="D192" i="14"/>
  <c r="D193" i="14" s="1"/>
  <c r="D194" i="14" s="1"/>
  <c r="E172" i="14"/>
  <c r="E198" i="14"/>
  <c r="D37" i="14"/>
  <c r="D146" i="14"/>
  <c r="D181" i="14"/>
  <c r="D200" i="14"/>
  <c r="E65" i="8"/>
  <c r="F65" i="8" s="1"/>
  <c r="E21" i="5"/>
  <c r="D21" i="5"/>
  <c r="C21" i="5"/>
  <c r="C140" i="5"/>
  <c r="C136" i="5"/>
  <c r="C139" i="5"/>
  <c r="C135" i="5"/>
  <c r="C138" i="5"/>
  <c r="C137" i="5"/>
  <c r="D21" i="10"/>
  <c r="C75" i="1"/>
  <c r="D52" i="3"/>
  <c r="D95" i="3"/>
  <c r="E22" i="1"/>
  <c r="F22" i="1" s="1"/>
  <c r="E56" i="1"/>
  <c r="F56" i="1" s="1"/>
  <c r="E61" i="1"/>
  <c r="F61" i="1" s="1"/>
  <c r="E16" i="2"/>
  <c r="F16" i="2" s="1"/>
  <c r="E59" i="4"/>
  <c r="F59" i="4" s="1"/>
  <c r="E171" i="4"/>
  <c r="F171" i="4" s="1"/>
  <c r="D15" i="5"/>
  <c r="C43" i="5"/>
  <c r="E53" i="5"/>
  <c r="D77" i="5"/>
  <c r="D71" i="5"/>
  <c r="C122" i="7"/>
  <c r="C75" i="8"/>
  <c r="I17" i="11"/>
  <c r="C15" i="10"/>
  <c r="C25" i="10"/>
  <c r="C27" i="10" s="1"/>
  <c r="E48" i="10"/>
  <c r="E42" i="10" s="1"/>
  <c r="E59" i="10"/>
  <c r="E61" i="10" s="1"/>
  <c r="E57" i="10" s="1"/>
  <c r="C31" i="11"/>
  <c r="H31" i="11" s="1"/>
  <c r="H17" i="11"/>
  <c r="C49" i="5"/>
  <c r="E57" i="5"/>
  <c r="E62" i="5"/>
  <c r="E180" i="6"/>
  <c r="F23" i="7"/>
  <c r="E61" i="8"/>
  <c r="F61" i="8" s="1"/>
  <c r="I31" i="11"/>
  <c r="G33" i="11"/>
  <c r="D41" i="1"/>
  <c r="E43" i="5"/>
  <c r="C53" i="5"/>
  <c r="F202" i="6"/>
  <c r="E204" i="6"/>
  <c r="F204" i="6" s="1"/>
  <c r="F206" i="6"/>
  <c r="F35" i="7"/>
  <c r="F48" i="7"/>
  <c r="F95" i="7"/>
  <c r="E108" i="7"/>
  <c r="F108" i="7" s="1"/>
  <c r="F113" i="7"/>
  <c r="E115" i="7"/>
  <c r="F115" i="7" s="1"/>
  <c r="F117" i="7"/>
  <c r="E119" i="7"/>
  <c r="F119" i="7" s="1"/>
  <c r="C121" i="7"/>
  <c r="F38" i="8"/>
  <c r="C41" i="8"/>
  <c r="E56" i="8"/>
  <c r="F56" i="8" s="1"/>
  <c r="E31" i="9"/>
  <c r="F31" i="9" s="1"/>
  <c r="E80" i="10"/>
  <c r="E77" i="10" s="1"/>
  <c r="E25" i="10"/>
  <c r="E27" i="10" s="1"/>
  <c r="E15" i="10"/>
  <c r="C59" i="10"/>
  <c r="C61" i="10"/>
  <c r="C57" i="10" s="1"/>
  <c r="C48" i="10"/>
  <c r="C42" i="10" s="1"/>
  <c r="F203" i="6"/>
  <c r="E205" i="6"/>
  <c r="F205" i="6" s="1"/>
  <c r="F36" i="7"/>
  <c r="E47" i="7"/>
  <c r="F47" i="7" s="1"/>
  <c r="E59" i="7"/>
  <c r="F59" i="7" s="1"/>
  <c r="E71" i="7"/>
  <c r="E83" i="7"/>
  <c r="E112" i="7"/>
  <c r="F112" i="7"/>
  <c r="F114" i="7"/>
  <c r="E116" i="7"/>
  <c r="F116" i="7" s="1"/>
  <c r="F118" i="7"/>
  <c r="E120" i="7"/>
  <c r="F120" i="7" s="1"/>
  <c r="C43" i="8"/>
  <c r="F73" i="8"/>
  <c r="E16" i="9"/>
  <c r="F16" i="9" s="1"/>
  <c r="C19" i="9"/>
  <c r="F39" i="9"/>
  <c r="E33" i="11"/>
  <c r="E36" i="11" s="1"/>
  <c r="E38" i="11" s="1"/>
  <c r="E16" i="12"/>
  <c r="F16" i="12" s="1"/>
  <c r="E23" i="12"/>
  <c r="F23" i="12" s="1"/>
  <c r="F30" i="12"/>
  <c r="D55" i="15"/>
  <c r="E55" i="15" s="1"/>
  <c r="E54" i="15"/>
  <c r="C163" i="15"/>
  <c r="C156" i="15"/>
  <c r="C157" i="15" s="1"/>
  <c r="D189" i="15"/>
  <c r="D261" i="15"/>
  <c r="E261" i="15" s="1"/>
  <c r="E188" i="15"/>
  <c r="E205" i="15"/>
  <c r="D229" i="15"/>
  <c r="D210" i="15"/>
  <c r="C46" i="19"/>
  <c r="C40" i="19"/>
  <c r="C36" i="19"/>
  <c r="C30" i="19"/>
  <c r="C54" i="19"/>
  <c r="D175" i="14"/>
  <c r="D140" i="14"/>
  <c r="D62" i="14"/>
  <c r="D105" i="14"/>
  <c r="D90" i="14"/>
  <c r="D160" i="14"/>
  <c r="D125" i="14"/>
  <c r="E278" i="14"/>
  <c r="F278" i="14"/>
  <c r="F73" i="12"/>
  <c r="F84" i="12"/>
  <c r="F99" i="12"/>
  <c r="F17" i="13"/>
  <c r="E30" i="14"/>
  <c r="F30" i="14" s="1"/>
  <c r="E36" i="14"/>
  <c r="F36" i="14" s="1"/>
  <c r="E59" i="14"/>
  <c r="F59" i="14" s="1"/>
  <c r="C68" i="14"/>
  <c r="E85" i="14"/>
  <c r="F85" i="14" s="1"/>
  <c r="E94" i="14"/>
  <c r="F94" i="14" s="1"/>
  <c r="E102" i="14"/>
  <c r="F102" i="14" s="1"/>
  <c r="C111" i="14"/>
  <c r="C124" i="14"/>
  <c r="F130" i="14"/>
  <c r="F172" i="14"/>
  <c r="E179" i="14"/>
  <c r="F179" i="14" s="1"/>
  <c r="C194" i="14"/>
  <c r="E237" i="14"/>
  <c r="C274" i="14"/>
  <c r="C290" i="14"/>
  <c r="F297" i="14"/>
  <c r="F307" i="14"/>
  <c r="C44" i="15"/>
  <c r="F44" i="17"/>
  <c r="E290" i="14"/>
  <c r="C285" i="14"/>
  <c r="E204" i="14"/>
  <c r="F204" i="14" s="1"/>
  <c r="E156" i="15"/>
  <c r="D157" i="15"/>
  <c r="D320" i="15"/>
  <c r="E320" i="15" s="1"/>
  <c r="E316" i="15"/>
  <c r="D330" i="15"/>
  <c r="E330" i="15" s="1"/>
  <c r="E326" i="15"/>
  <c r="D254" i="14"/>
  <c r="F24" i="14"/>
  <c r="F44" i="14"/>
  <c r="F53" i="14"/>
  <c r="F67" i="14"/>
  <c r="F100" i="14"/>
  <c r="F110" i="14"/>
  <c r="C190" i="14"/>
  <c r="C192" i="14"/>
  <c r="C199" i="14"/>
  <c r="C206" i="14"/>
  <c r="C215" i="14"/>
  <c r="C261" i="14"/>
  <c r="C279" i="14"/>
  <c r="C288" i="14"/>
  <c r="E163" i="15"/>
  <c r="C146" i="14"/>
  <c r="D71" i="15"/>
  <c r="D65" i="15"/>
  <c r="D289" i="15"/>
  <c r="E289" i="15"/>
  <c r="E60" i="15"/>
  <c r="D144" i="15"/>
  <c r="D175" i="15"/>
  <c r="E175" i="15"/>
  <c r="E139" i="15"/>
  <c r="F37" i="12"/>
  <c r="F45" i="12"/>
  <c r="F50" i="12"/>
  <c r="F55" i="12"/>
  <c r="F65" i="12"/>
  <c r="F92" i="12"/>
  <c r="F13" i="13"/>
  <c r="F21" i="13"/>
  <c r="C31" i="14"/>
  <c r="F35" i="14"/>
  <c r="C37" i="14"/>
  <c r="C60" i="14"/>
  <c r="C103" i="14"/>
  <c r="E123" i="14"/>
  <c r="F123" i="14" s="1"/>
  <c r="F164" i="14"/>
  <c r="C173" i="14"/>
  <c r="E188" i="14"/>
  <c r="F188" i="14" s="1"/>
  <c r="E191" i="14"/>
  <c r="F198" i="14"/>
  <c r="C254" i="14"/>
  <c r="C266" i="14"/>
  <c r="E21" i="15"/>
  <c r="E151" i="15"/>
  <c r="E195" i="15"/>
  <c r="E245" i="15"/>
  <c r="C303" i="15"/>
  <c r="C306" i="15" s="1"/>
  <c r="C310" i="15" s="1"/>
  <c r="F45" i="17"/>
  <c r="D33" i="15"/>
  <c r="E32" i="15"/>
  <c r="C252" i="15"/>
  <c r="E243" i="15"/>
  <c r="D139" i="14"/>
  <c r="D104" i="14"/>
  <c r="D174" i="14"/>
  <c r="E264" i="14"/>
  <c r="F264" i="14" s="1"/>
  <c r="F191" i="14"/>
  <c r="C200" i="14"/>
  <c r="C205" i="14"/>
  <c r="C214" i="14"/>
  <c r="E214" i="14" s="1"/>
  <c r="F214" i="14" s="1"/>
  <c r="F237" i="14"/>
  <c r="C269" i="14"/>
  <c r="C280" i="14"/>
  <c r="D41" i="17"/>
  <c r="D217" i="15"/>
  <c r="E218" i="15"/>
  <c r="E233" i="15"/>
  <c r="E251" i="15"/>
  <c r="C253" i="15"/>
  <c r="C254" i="15" s="1"/>
  <c r="C22" i="16"/>
  <c r="C20" i="17"/>
  <c r="C40" i="17"/>
  <c r="C46" i="17"/>
  <c r="C33" i="19"/>
  <c r="C101" i="19"/>
  <c r="C103" i="19" s="1"/>
  <c r="D102" i="19"/>
  <c r="D267" i="14"/>
  <c r="D277" i="14"/>
  <c r="D306" i="14"/>
  <c r="E215" i="15"/>
  <c r="E219" i="15"/>
  <c r="D222" i="15"/>
  <c r="C239" i="15"/>
  <c r="E239" i="15" s="1"/>
  <c r="D240" i="15"/>
  <c r="E240" i="15" s="1"/>
  <c r="D244" i="15"/>
  <c r="E244" i="15" s="1"/>
  <c r="E314" i="15"/>
  <c r="D22" i="19"/>
  <c r="C34" i="19"/>
  <c r="D206" i="14"/>
  <c r="E206" i="14" s="1"/>
  <c r="F206" i="14" s="1"/>
  <c r="D262" i="14"/>
  <c r="D266" i="14"/>
  <c r="E266" i="14" s="1"/>
  <c r="F266" i="14" s="1"/>
  <c r="D274" i="14"/>
  <c r="E274" i="14" s="1"/>
  <c r="F274" i="14" s="1"/>
  <c r="D280" i="14"/>
  <c r="C211" i="15"/>
  <c r="C235" i="15" s="1"/>
  <c r="C222" i="15"/>
  <c r="E231" i="15"/>
  <c r="E260" i="15"/>
  <c r="E324" i="15"/>
  <c r="E19" i="17"/>
  <c r="F19" i="17" s="1"/>
  <c r="E39" i="17"/>
  <c r="E43" i="17"/>
  <c r="E46" i="17" s="1"/>
  <c r="F46" i="17" s="1"/>
  <c r="C22" i="19"/>
  <c r="D23" i="19"/>
  <c r="E101" i="19"/>
  <c r="D108" i="19"/>
  <c r="D199" i="14"/>
  <c r="E199" i="14" s="1"/>
  <c r="F199" i="14" s="1"/>
  <c r="D205" i="14"/>
  <c r="D215" i="14"/>
  <c r="D261" i="14"/>
  <c r="E221" i="15"/>
  <c r="D21" i="14"/>
  <c r="D126" i="14" s="1"/>
  <c r="D190" i="14"/>
  <c r="E190" i="14"/>
  <c r="E193" i="14"/>
  <c r="F193" i="14"/>
  <c r="D282" i="14"/>
  <c r="D300" i="14"/>
  <c r="D246" i="15"/>
  <c r="D91" i="14"/>
  <c r="E200" i="14"/>
  <c r="F200" i="14" s="1"/>
  <c r="C61" i="14"/>
  <c r="E60" i="14"/>
  <c r="F60" i="14" s="1"/>
  <c r="C32" i="14"/>
  <c r="E31" i="14"/>
  <c r="F31" i="14" s="1"/>
  <c r="D168" i="15"/>
  <c r="D145" i="15"/>
  <c r="D180" i="15"/>
  <c r="D76" i="15"/>
  <c r="E254" i="14"/>
  <c r="E121" i="7"/>
  <c r="F121" i="7" s="1"/>
  <c r="D24" i="5"/>
  <c r="D20" i="5" s="1"/>
  <c r="D17" i="5"/>
  <c r="E205" i="14"/>
  <c r="C223" i="15"/>
  <c r="D253" i="15"/>
  <c r="D43" i="1"/>
  <c r="E173" i="14"/>
  <c r="F173" i="14" s="1"/>
  <c r="E103" i="14"/>
  <c r="F103" i="14" s="1"/>
  <c r="D66" i="15"/>
  <c r="D106" i="14"/>
  <c r="D176" i="14"/>
  <c r="C24" i="10"/>
  <c r="C17" i="10"/>
  <c r="C28" i="10" s="1"/>
  <c r="C70" i="10" s="1"/>
  <c r="C72" i="10" s="1"/>
  <c r="C69" i="10" s="1"/>
  <c r="E20" i="17"/>
  <c r="F20" i="17" s="1"/>
  <c r="F190" i="14"/>
  <c r="D255" i="14"/>
  <c r="E215" i="14"/>
  <c r="F215" i="14" s="1"/>
  <c r="C45" i="19"/>
  <c r="C39" i="19"/>
  <c r="C35" i="19"/>
  <c r="C29" i="19"/>
  <c r="C53" i="19"/>
  <c r="D241" i="15"/>
  <c r="C216" i="14"/>
  <c r="D295" i="15"/>
  <c r="E33" i="15"/>
  <c r="E37" i="14"/>
  <c r="F37" i="14" s="1"/>
  <c r="E146" i="14"/>
  <c r="F146" i="14" s="1"/>
  <c r="E192" i="14"/>
  <c r="F192" i="14" s="1"/>
  <c r="E124" i="14"/>
  <c r="F124" i="14" s="1"/>
  <c r="D141" i="14"/>
  <c r="C56" i="19"/>
  <c r="C48" i="19"/>
  <c r="C38" i="19"/>
  <c r="E210" i="15"/>
  <c r="D234" i="15"/>
  <c r="E234" i="15" s="1"/>
  <c r="D211" i="15"/>
  <c r="C33" i="9"/>
  <c r="E24" i="10"/>
  <c r="E17" i="10"/>
  <c r="E28" i="10" s="1"/>
  <c r="E70" i="10" s="1"/>
  <c r="E72" i="10" s="1"/>
  <c r="E69" i="10" s="1"/>
  <c r="C41" i="17"/>
  <c r="F43" i="17"/>
  <c r="E40" i="17"/>
  <c r="E41" i="17" s="1"/>
  <c r="F41" i="17" s="1"/>
  <c r="D223" i="15"/>
  <c r="D216" i="14"/>
  <c r="F39" i="17"/>
  <c r="C304" i="14"/>
  <c r="F43" i="8"/>
  <c r="C300" i="14"/>
  <c r="E300" i="14"/>
  <c r="E43" i="8"/>
  <c r="C141" i="5"/>
  <c r="D281" i="14"/>
  <c r="E280" i="14"/>
  <c r="F280" i="14" s="1"/>
  <c r="D287" i="14"/>
  <c r="D279" i="14"/>
  <c r="E279" i="14" s="1"/>
  <c r="F279" i="14" s="1"/>
  <c r="D284" i="14"/>
  <c r="E277" i="14"/>
  <c r="F277" i="14"/>
  <c r="D268" i="14"/>
  <c r="D271" i="14"/>
  <c r="D263" i="14"/>
  <c r="E261" i="14"/>
  <c r="D46" i="19"/>
  <c r="D40" i="19"/>
  <c r="D36" i="19"/>
  <c r="D30" i="19"/>
  <c r="D111" i="19"/>
  <c r="D54" i="19"/>
  <c r="D53" i="19"/>
  <c r="D45" i="19"/>
  <c r="D39" i="19"/>
  <c r="D35" i="19"/>
  <c r="D29" i="19"/>
  <c r="D110" i="19"/>
  <c r="F254" i="14"/>
  <c r="F261" i="14"/>
  <c r="C258" i="15"/>
  <c r="C98" i="15"/>
  <c r="C87" i="15"/>
  <c r="C83" i="15"/>
  <c r="C100" i="15"/>
  <c r="C96" i="15"/>
  <c r="C102" i="15" s="1"/>
  <c r="C89" i="15"/>
  <c r="C85" i="15"/>
  <c r="C99" i="15"/>
  <c r="C88" i="15"/>
  <c r="C97" i="15"/>
  <c r="C86" i="15"/>
  <c r="C95" i="15"/>
  <c r="C84" i="15"/>
  <c r="C90" i="15" s="1"/>
  <c r="C91" i="15" s="1"/>
  <c r="C105" i="15" s="1"/>
  <c r="C101" i="15"/>
  <c r="D63" i="14"/>
  <c r="E41" i="8"/>
  <c r="F41" i="8" s="1"/>
  <c r="G36" i="11"/>
  <c r="G38" i="11"/>
  <c r="G40" i="11" s="1"/>
  <c r="I33" i="11"/>
  <c r="I36" i="11" s="1"/>
  <c r="I38" i="11" s="1"/>
  <c r="I40" i="11" s="1"/>
  <c r="F205" i="14"/>
  <c r="D294" i="15"/>
  <c r="F290" i="14"/>
  <c r="C265" i="14"/>
  <c r="E75" i="8"/>
  <c r="F75" i="8" s="1"/>
  <c r="D47" i="19"/>
  <c r="D37" i="19"/>
  <c r="D112" i="19"/>
  <c r="D55" i="19"/>
  <c r="E223" i="15"/>
  <c r="D247" i="15"/>
  <c r="C41" i="9"/>
  <c r="E33" i="9"/>
  <c r="F33" i="9" s="1"/>
  <c r="D181" i="15"/>
  <c r="D169" i="15"/>
  <c r="E32" i="14"/>
  <c r="F32" i="14" s="1"/>
  <c r="C175" i="14"/>
  <c r="C105" i="14"/>
  <c r="C62" i="14"/>
  <c r="F40" i="17"/>
  <c r="C174" i="14"/>
  <c r="C104" i="14"/>
  <c r="E61" i="14"/>
  <c r="F61" i="14" s="1"/>
  <c r="D92" i="14"/>
  <c r="D113" i="19"/>
  <c r="D56" i="19"/>
  <c r="D48" i="19"/>
  <c r="D38" i="19"/>
  <c r="D235" i="15"/>
  <c r="E235" i="15" s="1"/>
  <c r="E211" i="15"/>
  <c r="D322" i="14"/>
  <c r="F300" i="14"/>
  <c r="C103" i="15"/>
  <c r="E216" i="14"/>
  <c r="F216" i="14" s="1"/>
  <c r="D304" i="14"/>
  <c r="C55" i="19"/>
  <c r="C47" i="19"/>
  <c r="C37" i="19"/>
  <c r="E253" i="15"/>
  <c r="D112" i="5"/>
  <c r="D111" i="5" s="1"/>
  <c r="D28" i="5"/>
  <c r="D99" i="5" s="1"/>
  <c r="D101" i="5" s="1"/>
  <c r="D98" i="5" s="1"/>
  <c r="D77" i="15"/>
  <c r="D126" i="15" s="1"/>
  <c r="E174" i="14"/>
  <c r="F174" i="14"/>
  <c r="C106" i="14"/>
  <c r="E105" i="14"/>
  <c r="F105" i="14" s="1"/>
  <c r="D122" i="15"/>
  <c r="D111" i="15"/>
  <c r="D113" i="15"/>
  <c r="D127" i="15"/>
  <c r="D114" i="15"/>
  <c r="D112" i="15"/>
  <c r="D110" i="15"/>
  <c r="D116" i="15" s="1"/>
  <c r="E104" i="14"/>
  <c r="F104" i="14" s="1"/>
  <c r="C63" i="14"/>
  <c r="E62" i="14"/>
  <c r="F62" i="14" s="1"/>
  <c r="C176" i="14"/>
  <c r="E176" i="14" s="1"/>
  <c r="F176" i="14" s="1"/>
  <c r="E175" i="14"/>
  <c r="F175" i="14" s="1"/>
  <c r="D22" i="5"/>
  <c r="E304" i="14"/>
  <c r="F304" i="14" s="1"/>
  <c r="D324" i="14"/>
  <c r="D113" i="14"/>
  <c r="C48" i="9"/>
  <c r="E48" i="9" s="1"/>
  <c r="F48" i="9" s="1"/>
  <c r="E41" i="9"/>
  <c r="F41" i="9"/>
  <c r="E63" i="14"/>
  <c r="F63" i="14"/>
  <c r="E106" i="14"/>
  <c r="F106" i="14"/>
  <c r="E157" i="15" l="1"/>
  <c r="E138" i="5"/>
  <c r="E140" i="5"/>
  <c r="E139" i="5"/>
  <c r="E137" i="5"/>
  <c r="E136" i="5"/>
  <c r="E135" i="5"/>
  <c r="D121" i="15"/>
  <c r="D129" i="15" s="1"/>
  <c r="D123" i="15"/>
  <c r="D128" i="15" s="1"/>
  <c r="D125" i="15"/>
  <c r="D109" i="15"/>
  <c r="D117" i="15" s="1"/>
  <c r="D124" i="15"/>
  <c r="D115" i="15"/>
  <c r="E222" i="15"/>
  <c r="D265" i="14"/>
  <c r="E265" i="14" s="1"/>
  <c r="F265" i="14" s="1"/>
  <c r="C77" i="5"/>
  <c r="C71" i="5" s="1"/>
  <c r="D79" i="5"/>
  <c r="D166" i="5"/>
  <c r="E166" i="5"/>
  <c r="E192" i="6"/>
  <c r="E37" i="15"/>
  <c r="D43" i="15"/>
  <c r="E265" i="15"/>
  <c r="D302" i="15"/>
  <c r="D101" i="19"/>
  <c r="D103" i="19" s="1"/>
  <c r="D285" i="14"/>
  <c r="D269" i="14"/>
  <c r="E19" i="9"/>
  <c r="F19" i="9" s="1"/>
  <c r="E95" i="3"/>
  <c r="F95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111" i="3"/>
  <c r="F111" i="3" s="1"/>
  <c r="E124" i="3"/>
  <c r="F124" i="3" s="1"/>
  <c r="E137" i="3"/>
  <c r="F137" i="3" s="1"/>
  <c r="E153" i="3"/>
  <c r="F153" i="3" s="1"/>
  <c r="E166" i="3"/>
  <c r="F166" i="3" s="1"/>
  <c r="E179" i="3"/>
  <c r="F179" i="3" s="1"/>
  <c r="E24" i="4"/>
  <c r="E155" i="4"/>
  <c r="F155" i="4" s="1"/>
  <c r="D53" i="5"/>
  <c r="E86" i="5"/>
  <c r="D149" i="5"/>
  <c r="C166" i="5"/>
  <c r="E179" i="6"/>
  <c r="F192" i="6"/>
  <c r="F193" i="6"/>
  <c r="E24" i="7"/>
  <c r="F24" i="7" s="1"/>
  <c r="E60" i="7"/>
  <c r="F60" i="7" s="1"/>
  <c r="E72" i="7"/>
  <c r="E84" i="7"/>
  <c r="E96" i="7"/>
  <c r="F96" i="7" s="1"/>
  <c r="E107" i="7"/>
  <c r="F107" i="7" s="1"/>
  <c r="E29" i="8"/>
  <c r="F29" i="8" s="1"/>
  <c r="D80" i="10"/>
  <c r="D77" i="10" s="1"/>
  <c r="E70" i="12"/>
  <c r="F70" i="12" s="1"/>
  <c r="E158" i="14"/>
  <c r="F158" i="14" s="1"/>
  <c r="C159" i="14"/>
  <c r="E159" i="14" s="1"/>
  <c r="F159" i="14" s="1"/>
  <c r="C22" i="15"/>
  <c r="E77" i="19"/>
  <c r="E129" i="14"/>
  <c r="F129" i="14" s="1"/>
  <c r="E155" i="14"/>
  <c r="F155" i="14" s="1"/>
  <c r="E144" i="14"/>
  <c r="F144" i="14" s="1"/>
  <c r="C181" i="14"/>
  <c r="E181" i="14" s="1"/>
  <c r="F181" i="14" s="1"/>
  <c r="E227" i="14"/>
  <c r="F227" i="14" s="1"/>
  <c r="E230" i="14"/>
  <c r="F230" i="14" s="1"/>
  <c r="E238" i="14"/>
  <c r="E36" i="15"/>
  <c r="C65" i="15"/>
  <c r="E69" i="15"/>
  <c r="E70" i="15"/>
  <c r="E72" i="15"/>
  <c r="E74" i="15"/>
  <c r="E161" i="15"/>
  <c r="E165" i="15"/>
  <c r="E167" i="15"/>
  <c r="E174" i="15"/>
  <c r="E176" i="15"/>
  <c r="E177" i="15"/>
  <c r="E178" i="15"/>
  <c r="E220" i="15"/>
  <c r="E230" i="15"/>
  <c r="E277" i="15"/>
  <c r="E281" i="15"/>
  <c r="E287" i="15"/>
  <c r="E291" i="15"/>
  <c r="C37" i="16"/>
  <c r="C38" i="16" s="1"/>
  <c r="C127" i="16" s="1"/>
  <c r="C129" i="16" s="1"/>
  <c r="C133" i="16" s="1"/>
  <c r="E16" i="17"/>
  <c r="F16" i="17" s="1"/>
  <c r="C77" i="19"/>
  <c r="E102" i="19"/>
  <c r="E103" i="19" s="1"/>
  <c r="C93" i="19"/>
  <c r="E93" i="19"/>
  <c r="C98" i="19"/>
  <c r="D68" i="14"/>
  <c r="E68" i="14" s="1"/>
  <c r="F68" i="14" s="1"/>
  <c r="D111" i="14"/>
  <c r="E111" i="14" s="1"/>
  <c r="F111" i="14" s="1"/>
  <c r="D239" i="14"/>
  <c r="E239" i="14" s="1"/>
  <c r="F239" i="14" s="1"/>
  <c r="D210" i="14"/>
  <c r="D209" i="14"/>
  <c r="D75" i="1"/>
  <c r="E75" i="1" s="1"/>
  <c r="F75" i="1" s="1"/>
  <c r="E65" i="1"/>
  <c r="F65" i="1" s="1"/>
  <c r="D33" i="2"/>
  <c r="E19" i="2"/>
  <c r="D127" i="14"/>
  <c r="E21" i="10"/>
  <c r="E22" i="10"/>
  <c r="E20" i="10"/>
  <c r="C20" i="10"/>
  <c r="C22" i="10"/>
  <c r="C21" i="10"/>
  <c r="D195" i="14"/>
  <c r="E194" i="14"/>
  <c r="F194" i="14" s="1"/>
  <c r="D196" i="14"/>
  <c r="F19" i="2"/>
  <c r="C33" i="2"/>
  <c r="E38" i="1"/>
  <c r="F38" i="1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68" i="3"/>
  <c r="F68" i="3" s="1"/>
  <c r="E81" i="3"/>
  <c r="F81" i="3" s="1"/>
  <c r="C83" i="4"/>
  <c r="E35" i="4"/>
  <c r="F35" i="4" s="1"/>
  <c r="D161" i="14"/>
  <c r="D49" i="14"/>
  <c r="C41" i="1"/>
  <c r="C52" i="3"/>
  <c r="F18" i="4"/>
  <c r="F24" i="4"/>
  <c r="F30" i="4"/>
  <c r="D83" i="4"/>
  <c r="E83" i="4" s="1"/>
  <c r="E78" i="4"/>
  <c r="F78" i="4" s="1"/>
  <c r="E109" i="4"/>
  <c r="F109" i="4" s="1"/>
  <c r="E118" i="4"/>
  <c r="F118" i="4" s="1"/>
  <c r="C176" i="4"/>
  <c r="D176" i="4"/>
  <c r="C15" i="5"/>
  <c r="E15" i="5"/>
  <c r="E77" i="5"/>
  <c r="E71" i="5" s="1"/>
  <c r="D207" i="6"/>
  <c r="E207" i="6" s="1"/>
  <c r="F207" i="6" s="1"/>
  <c r="D208" i="6"/>
  <c r="E208" i="6" s="1"/>
  <c r="C208" i="6"/>
  <c r="F72" i="7"/>
  <c r="D122" i="7"/>
  <c r="E122" i="7" s="1"/>
  <c r="F122" i="7" s="1"/>
  <c r="E22" i="8"/>
  <c r="F22" i="8" s="1"/>
  <c r="F46" i="9"/>
  <c r="D48" i="10"/>
  <c r="D42" i="10" s="1"/>
  <c r="F33" i="11"/>
  <c r="E29" i="14"/>
  <c r="F29" i="14" s="1"/>
  <c r="F198" i="6"/>
  <c r="D15" i="10"/>
  <c r="E20" i="14"/>
  <c r="F20" i="14"/>
  <c r="C21" i="14"/>
  <c r="C282" i="14"/>
  <c r="F23" i="14"/>
  <c r="C48" i="14"/>
  <c r="E47" i="14"/>
  <c r="F47" i="14" s="1"/>
  <c r="F52" i="14"/>
  <c r="F66" i="14"/>
  <c r="F88" i="14"/>
  <c r="C89" i="14"/>
  <c r="E101" i="14"/>
  <c r="F101" i="14" s="1"/>
  <c r="F120" i="14"/>
  <c r="F136" i="14"/>
  <c r="C137" i="14"/>
  <c r="F165" i="14"/>
  <c r="F170" i="14"/>
  <c r="C267" i="14"/>
  <c r="F203" i="14"/>
  <c r="C255" i="14"/>
  <c r="E226" i="14"/>
  <c r="F226" i="14" s="1"/>
  <c r="F238" i="14"/>
  <c r="C306" i="14"/>
  <c r="F250" i="14"/>
  <c r="C262" i="14"/>
  <c r="C283" i="14"/>
  <c r="F294" i="14"/>
  <c r="E295" i="14"/>
  <c r="F295" i="14" s="1"/>
  <c r="E296" i="14"/>
  <c r="F296" i="14" s="1"/>
  <c r="F298" i="14"/>
  <c r="C284" i="15"/>
  <c r="D22" i="15"/>
  <c r="D283" i="15"/>
  <c r="E283" i="15" s="1"/>
  <c r="D252" i="15"/>
  <c r="E223" i="14"/>
  <c r="F223" i="14" s="1"/>
  <c r="E311" i="14"/>
  <c r="F311" i="14" s="1"/>
  <c r="C144" i="15"/>
  <c r="C189" i="15"/>
  <c r="E189" i="15" s="1"/>
  <c r="C64" i="16"/>
  <c r="C65" i="16" s="1"/>
  <c r="C114" i="16" s="1"/>
  <c r="C116" i="16" s="1"/>
  <c r="C119" i="16" s="1"/>
  <c r="C123" i="16" s="1"/>
  <c r="E36" i="17"/>
  <c r="F36" i="17" s="1"/>
  <c r="E22" i="19"/>
  <c r="E23" i="19"/>
  <c r="C71" i="15"/>
  <c r="E71" i="15" s="1"/>
  <c r="C229" i="15"/>
  <c r="E229" i="15" s="1"/>
  <c r="C217" i="15"/>
  <c r="E109" i="19" l="1"/>
  <c r="E108" i="19"/>
  <c r="C153" i="5"/>
  <c r="C152" i="5"/>
  <c r="C154" i="5"/>
  <c r="C157" i="5"/>
  <c r="C156" i="5"/>
  <c r="C155" i="5"/>
  <c r="D270" i="14"/>
  <c r="D272" i="14"/>
  <c r="D273" i="14" s="1"/>
  <c r="E269" i="14"/>
  <c r="F269" i="14" s="1"/>
  <c r="E154" i="5"/>
  <c r="E153" i="5"/>
  <c r="E152" i="5"/>
  <c r="E155" i="5"/>
  <c r="E157" i="5"/>
  <c r="E156" i="5"/>
  <c r="C111" i="19"/>
  <c r="C108" i="19"/>
  <c r="C110" i="19"/>
  <c r="C112" i="19"/>
  <c r="C109" i="19"/>
  <c r="C113" i="19"/>
  <c r="C66" i="15"/>
  <c r="C294" i="15"/>
  <c r="E294" i="15" s="1"/>
  <c r="E65" i="15"/>
  <c r="D140" i="5"/>
  <c r="D139" i="5"/>
  <c r="D138" i="5"/>
  <c r="D137" i="5"/>
  <c r="D136" i="5"/>
  <c r="D135" i="5"/>
  <c r="D286" i="14"/>
  <c r="D288" i="14"/>
  <c r="E285" i="14"/>
  <c r="F285" i="14" s="1"/>
  <c r="E302" i="15"/>
  <c r="D303" i="15"/>
  <c r="D44" i="15"/>
  <c r="E43" i="15"/>
  <c r="D259" i="15"/>
  <c r="D263" i="15" s="1"/>
  <c r="D157" i="5"/>
  <c r="D156" i="5"/>
  <c r="D155" i="5"/>
  <c r="D154" i="5"/>
  <c r="D153" i="5"/>
  <c r="D152" i="5"/>
  <c r="D131" i="15"/>
  <c r="E141" i="5"/>
  <c r="C246" i="15"/>
  <c r="E246" i="15" s="1"/>
  <c r="E29" i="19"/>
  <c r="E35" i="19"/>
  <c r="E45" i="19"/>
  <c r="E110" i="19"/>
  <c r="E39" i="19"/>
  <c r="E53" i="19"/>
  <c r="E54" i="19"/>
  <c r="E30" i="19"/>
  <c r="E36" i="19"/>
  <c r="E46" i="19"/>
  <c r="E111" i="19"/>
  <c r="E40" i="19"/>
  <c r="C145" i="15"/>
  <c r="C168" i="15"/>
  <c r="E168" i="15" s="1"/>
  <c r="E144" i="15"/>
  <c r="C180" i="15"/>
  <c r="E180" i="15" s="1"/>
  <c r="D254" i="15"/>
  <c r="E254" i="15" s="1"/>
  <c r="E252" i="15"/>
  <c r="E283" i="14"/>
  <c r="C286" i="14"/>
  <c r="F283" i="14"/>
  <c r="C284" i="14"/>
  <c r="E137" i="14"/>
  <c r="C207" i="14"/>
  <c r="F137" i="14"/>
  <c r="C138" i="14"/>
  <c r="E89" i="14"/>
  <c r="F89" i="14" s="1"/>
  <c r="C126" i="14"/>
  <c r="C161" i="14"/>
  <c r="C196" i="14"/>
  <c r="E196" i="14" s="1"/>
  <c r="C91" i="14"/>
  <c r="C49" i="14"/>
  <c r="E49" i="14" s="1"/>
  <c r="E21" i="14"/>
  <c r="F21" i="14" s="1"/>
  <c r="F36" i="11"/>
  <c r="F38" i="11" s="1"/>
  <c r="F40" i="11" s="1"/>
  <c r="H33" i="11"/>
  <c r="H36" i="11" s="1"/>
  <c r="H38" i="11" s="1"/>
  <c r="H40" i="11" s="1"/>
  <c r="F208" i="6"/>
  <c r="E24" i="5"/>
  <c r="E20" i="5" s="1"/>
  <c r="E17" i="5"/>
  <c r="E176" i="4"/>
  <c r="E52" i="3"/>
  <c r="F52" i="3" s="1"/>
  <c r="D50" i="14"/>
  <c r="F83" i="4"/>
  <c r="D197" i="14"/>
  <c r="E33" i="2"/>
  <c r="D41" i="2"/>
  <c r="D211" i="14"/>
  <c r="C241" i="15"/>
  <c r="E241" i="15" s="1"/>
  <c r="E217" i="15"/>
  <c r="E22" i="15"/>
  <c r="D284" i="15"/>
  <c r="E284" i="15" s="1"/>
  <c r="C76" i="15"/>
  <c r="E262" i="14"/>
  <c r="C263" i="14"/>
  <c r="F262" i="14"/>
  <c r="C272" i="14"/>
  <c r="E306" i="14"/>
  <c r="E255" i="14"/>
  <c r="F255" i="14" s="1"/>
  <c r="E267" i="14"/>
  <c r="F267" i="14" s="1"/>
  <c r="C270" i="14"/>
  <c r="C268" i="14"/>
  <c r="C271" i="14"/>
  <c r="C287" i="14"/>
  <c r="C160" i="14"/>
  <c r="C125" i="14"/>
  <c r="C195" i="14"/>
  <c r="E48" i="14"/>
  <c r="F48" i="14" s="1"/>
  <c r="C90" i="14"/>
  <c r="E282" i="14"/>
  <c r="F282" i="14" s="1"/>
  <c r="C281" i="14"/>
  <c r="D24" i="10"/>
  <c r="D20" i="10" s="1"/>
  <c r="D17" i="10"/>
  <c r="D28" i="10" s="1"/>
  <c r="C24" i="5"/>
  <c r="C20" i="5" s="1"/>
  <c r="C17" i="5"/>
  <c r="F176" i="4"/>
  <c r="C43" i="1"/>
  <c r="E41" i="1"/>
  <c r="F41" i="1" s="1"/>
  <c r="D162" i="14"/>
  <c r="E161" i="14"/>
  <c r="C41" i="2"/>
  <c r="F33" i="2"/>
  <c r="D148" i="14"/>
  <c r="D306" i="15" l="1"/>
  <c r="E303" i="15"/>
  <c r="D158" i="5"/>
  <c r="D95" i="15"/>
  <c r="D84" i="15"/>
  <c r="D258" i="15"/>
  <c r="D97" i="15"/>
  <c r="E97" i="15" s="1"/>
  <c r="D96" i="15"/>
  <c r="D83" i="15"/>
  <c r="D89" i="15"/>
  <c r="E89" i="15" s="1"/>
  <c r="D87" i="15"/>
  <c r="E87" i="15" s="1"/>
  <c r="D99" i="15"/>
  <c r="E99" i="15" s="1"/>
  <c r="D88" i="15"/>
  <c r="E88" i="15" s="1"/>
  <c r="E44" i="15"/>
  <c r="D101" i="15"/>
  <c r="E101" i="15" s="1"/>
  <c r="D86" i="15"/>
  <c r="E86" i="15" s="1"/>
  <c r="D85" i="15"/>
  <c r="E85" i="15" s="1"/>
  <c r="D100" i="15"/>
  <c r="E100" i="15" s="1"/>
  <c r="D98" i="15"/>
  <c r="E98" i="15" s="1"/>
  <c r="E288" i="14"/>
  <c r="F288" i="14" s="1"/>
  <c r="D291" i="14"/>
  <c r="D305" i="14" s="1"/>
  <c r="D309" i="14" s="1"/>
  <c r="D310" i="14" s="1"/>
  <c r="D312" i="14" s="1"/>
  <c r="D313" i="14" s="1"/>
  <c r="D289" i="14"/>
  <c r="D141" i="5"/>
  <c r="C295" i="15"/>
  <c r="E295" i="15" s="1"/>
  <c r="E66" i="15"/>
  <c r="C247" i="15"/>
  <c r="E247" i="15" s="1"/>
  <c r="E158" i="5"/>
  <c r="C158" i="5"/>
  <c r="D70" i="10"/>
  <c r="D72" i="10" s="1"/>
  <c r="D69" i="10" s="1"/>
  <c r="D22" i="10"/>
  <c r="E160" i="14"/>
  <c r="F160" i="14" s="1"/>
  <c r="C48" i="2"/>
  <c r="D183" i="14"/>
  <c r="D323" i="14"/>
  <c r="E90" i="14"/>
  <c r="F90" i="14" s="1"/>
  <c r="E125" i="14"/>
  <c r="F125" i="14" s="1"/>
  <c r="C289" i="14"/>
  <c r="C291" i="14"/>
  <c r="E287" i="14"/>
  <c r="F287" i="14" s="1"/>
  <c r="E270" i="14"/>
  <c r="F270" i="14"/>
  <c r="E272" i="14"/>
  <c r="F272" i="14" s="1"/>
  <c r="E263" i="14"/>
  <c r="F263" i="14" s="1"/>
  <c r="E76" i="15"/>
  <c r="C259" i="15"/>
  <c r="C77" i="15"/>
  <c r="E112" i="5"/>
  <c r="E111" i="5" s="1"/>
  <c r="E28" i="5"/>
  <c r="C50" i="14"/>
  <c r="F49" i="14"/>
  <c r="F196" i="14"/>
  <c r="F161" i="14"/>
  <c r="C162" i="14"/>
  <c r="F138" i="14"/>
  <c r="E138" i="14"/>
  <c r="C140" i="14"/>
  <c r="C139" i="14"/>
  <c r="E207" i="14"/>
  <c r="C208" i="14"/>
  <c r="F207" i="14"/>
  <c r="E284" i="14"/>
  <c r="F284" i="14" s="1"/>
  <c r="E286" i="14"/>
  <c r="F286" i="14" s="1"/>
  <c r="E38" i="19"/>
  <c r="E56" i="19"/>
  <c r="E48" i="19"/>
  <c r="E113" i="19"/>
  <c r="E43" i="1"/>
  <c r="F43" i="1" s="1"/>
  <c r="C112" i="5"/>
  <c r="C111" i="5" s="1"/>
  <c r="C28" i="5"/>
  <c r="E281" i="14"/>
  <c r="F281" i="14" s="1"/>
  <c r="C273" i="14"/>
  <c r="E271" i="14"/>
  <c r="F271" i="14" s="1"/>
  <c r="E268" i="14"/>
  <c r="F268" i="14" s="1"/>
  <c r="D48" i="2"/>
  <c r="E48" i="2" s="1"/>
  <c r="E41" i="2"/>
  <c r="F41" i="2" s="1"/>
  <c r="E195" i="14"/>
  <c r="F195" i="14" s="1"/>
  <c r="E50" i="14"/>
  <c r="D70" i="14"/>
  <c r="E91" i="14"/>
  <c r="C92" i="14"/>
  <c r="F91" i="14"/>
  <c r="C127" i="14"/>
  <c r="E126" i="14"/>
  <c r="F126" i="14" s="1"/>
  <c r="C169" i="15"/>
  <c r="E169" i="15" s="1"/>
  <c r="E145" i="15"/>
  <c r="C181" i="15"/>
  <c r="E181" i="15" s="1"/>
  <c r="E47" i="19"/>
  <c r="E112" i="19"/>
  <c r="E37" i="19"/>
  <c r="E55" i="19"/>
  <c r="D314" i="14" l="1"/>
  <c r="D251" i="14"/>
  <c r="D315" i="14"/>
  <c r="D256" i="14"/>
  <c r="D257" i="14" s="1"/>
  <c r="E83" i="15"/>
  <c r="D90" i="15"/>
  <c r="E90" i="15" s="1"/>
  <c r="E84" i="15"/>
  <c r="E306" i="15"/>
  <c r="D310" i="15"/>
  <c r="E310" i="15" s="1"/>
  <c r="D102" i="15"/>
  <c r="E102" i="15" s="1"/>
  <c r="E96" i="15"/>
  <c r="E258" i="15"/>
  <c r="D264" i="15"/>
  <c r="D266" i="15" s="1"/>
  <c r="D267" i="15"/>
  <c r="E95" i="15"/>
  <c r="C197" i="14"/>
  <c r="F127" i="14"/>
  <c r="E127" i="14"/>
  <c r="E92" i="14"/>
  <c r="C113" i="14"/>
  <c r="F92" i="14"/>
  <c r="C324" i="14"/>
  <c r="E273" i="14"/>
  <c r="F273" i="14" s="1"/>
  <c r="C22" i="5"/>
  <c r="C99" i="5"/>
  <c r="C101" i="5" s="1"/>
  <c r="C98" i="5" s="1"/>
  <c r="C141" i="14"/>
  <c r="F140" i="14"/>
  <c r="E140" i="14"/>
  <c r="E22" i="5"/>
  <c r="E99" i="5"/>
  <c r="E101" i="5" s="1"/>
  <c r="E98" i="5" s="1"/>
  <c r="C263" i="15"/>
  <c r="E259" i="15"/>
  <c r="D325" i="14"/>
  <c r="F48" i="2"/>
  <c r="C210" i="14"/>
  <c r="C209" i="14"/>
  <c r="F208" i="14"/>
  <c r="E208" i="14"/>
  <c r="F139" i="14"/>
  <c r="E139" i="14"/>
  <c r="C183" i="14"/>
  <c r="C323" i="14"/>
  <c r="F50" i="14"/>
  <c r="C70" i="14"/>
  <c r="C121" i="15"/>
  <c r="C110" i="15"/>
  <c r="C123" i="15"/>
  <c r="E123" i="15" s="1"/>
  <c r="C122" i="15"/>
  <c r="C109" i="15"/>
  <c r="C115" i="15"/>
  <c r="E115" i="15" s="1"/>
  <c r="C113" i="15"/>
  <c r="E113" i="15" s="1"/>
  <c r="C125" i="15"/>
  <c r="E125" i="15" s="1"/>
  <c r="C114" i="15"/>
  <c r="E114" i="15" s="1"/>
  <c r="C127" i="15"/>
  <c r="E127" i="15" s="1"/>
  <c r="C112" i="15"/>
  <c r="E112" i="15" s="1"/>
  <c r="C111" i="15"/>
  <c r="E111" i="15" s="1"/>
  <c r="C126" i="15"/>
  <c r="E126" i="15" s="1"/>
  <c r="C124" i="15"/>
  <c r="E124" i="15" s="1"/>
  <c r="E77" i="15"/>
  <c r="C305" i="14"/>
  <c r="E291" i="14"/>
  <c r="F291" i="14" s="1"/>
  <c r="E289" i="14"/>
  <c r="F289" i="14" s="1"/>
  <c r="E162" i="14"/>
  <c r="F162" i="14" s="1"/>
  <c r="D268" i="15" l="1"/>
  <c r="D271" i="15" s="1"/>
  <c r="D269" i="15"/>
  <c r="D91" i="15"/>
  <c r="D318" i="14"/>
  <c r="D103" i="15"/>
  <c r="E103" i="15" s="1"/>
  <c r="C309" i="14"/>
  <c r="E305" i="14"/>
  <c r="F305" i="14" s="1"/>
  <c r="C116" i="15"/>
  <c r="E116" i="15" s="1"/>
  <c r="E110" i="15"/>
  <c r="C117" i="15"/>
  <c r="E109" i="15"/>
  <c r="E121" i="15"/>
  <c r="E209" i="14"/>
  <c r="F209" i="14" s="1"/>
  <c r="C211" i="14"/>
  <c r="C322" i="14"/>
  <c r="C325" i="14" s="1"/>
  <c r="E141" i="14"/>
  <c r="F141" i="14" s="1"/>
  <c r="E324" i="14"/>
  <c r="F324" i="14" s="1"/>
  <c r="E113" i="14"/>
  <c r="F113" i="14"/>
  <c r="C148" i="14"/>
  <c r="C128" i="15"/>
  <c r="E128" i="15" s="1"/>
  <c r="E122" i="15"/>
  <c r="F70" i="14"/>
  <c r="E210" i="14"/>
  <c r="F210" i="14" s="1"/>
  <c r="E183" i="14"/>
  <c r="F183" i="14" s="1"/>
  <c r="E323" i="14"/>
  <c r="F323" i="14" s="1"/>
  <c r="C264" i="15"/>
  <c r="E263" i="15"/>
  <c r="E70" i="14"/>
  <c r="F197" i="14"/>
  <c r="E197" i="14"/>
  <c r="E91" i="15" l="1"/>
  <c r="D105" i="15"/>
  <c r="E105" i="15" s="1"/>
  <c r="F325" i="14"/>
  <c r="E325" i="14"/>
  <c r="C266" i="15"/>
  <c r="E264" i="15"/>
  <c r="F148" i="14"/>
  <c r="E148" i="14"/>
  <c r="C129" i="15"/>
  <c r="E129" i="15" s="1"/>
  <c r="E117" i="15"/>
  <c r="E322" i="14"/>
  <c r="F322" i="14" s="1"/>
  <c r="E211" i="14"/>
  <c r="F211" i="14" s="1"/>
  <c r="C310" i="14"/>
  <c r="E309" i="14"/>
  <c r="F309" i="14" s="1"/>
  <c r="C312" i="14" l="1"/>
  <c r="E310" i="14"/>
  <c r="F310" i="14" s="1"/>
  <c r="C131" i="15"/>
  <c r="E131" i="15" s="1"/>
  <c r="C267" i="15"/>
  <c r="E266" i="15"/>
  <c r="C268" i="15" l="1"/>
  <c r="E267" i="15"/>
  <c r="C269" i="15"/>
  <c r="E269" i="15" s="1"/>
  <c r="C313" i="14"/>
  <c r="E312" i="14"/>
  <c r="F312" i="14" s="1"/>
  <c r="C256" i="14" l="1"/>
  <c r="C251" i="14"/>
  <c r="C315" i="14"/>
  <c r="E313" i="14"/>
  <c r="F313" i="14" s="1"/>
  <c r="C314" i="14"/>
  <c r="C271" i="15"/>
  <c r="E271" i="15" s="1"/>
  <c r="E268" i="15"/>
  <c r="F251" i="14" l="1"/>
  <c r="E251" i="14"/>
  <c r="C257" i="14"/>
  <c r="E256" i="14"/>
  <c r="F256" i="14" s="1"/>
  <c r="E314" i="14"/>
  <c r="F314" i="14" s="1"/>
  <c r="C318" i="14"/>
  <c r="F315" i="14"/>
  <c r="E315" i="14"/>
  <c r="F257" i="14" l="1"/>
  <c r="E257" i="14"/>
  <c r="F318" i="14"/>
  <c r="E318" i="14"/>
</calcChain>
</file>

<file path=xl/sharedStrings.xml><?xml version="1.0" encoding="utf-8"?>
<sst xmlns="http://schemas.openxmlformats.org/spreadsheetml/2006/main" count="2307" uniqueCount="983">
  <si>
    <t>BRISTOL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</si>
  <si>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</si>
  <si>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</si>
  <si>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</si>
  <si>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</si>
  <si>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</si>
  <si>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</si>
  <si>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</si>
  <si>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</si>
  <si>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</si>
  <si>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</si>
  <si>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</si>
  <si>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</si>
  <si>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</si>
  <si>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</si>
  <si>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</si>
  <si>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</si>
  <si>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</si>
  <si>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</si>
  <si>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</si>
  <si>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</si>
  <si>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</si>
  <si>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</si>
  <si>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</si>
  <si>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</si>
  <si>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</si>
  <si>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</si>
  <si>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</si>
  <si>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</si>
  <si>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</si>
  <si>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</si>
  <si>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</si>
  <si>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</si>
  <si>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</si>
  <si>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</si>
  <si>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</si>
  <si>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</si>
  <si>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</si>
  <si>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</si>
  <si>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</si>
  <si>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</si>
  <si>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</si>
  <si>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</si>
  <si>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</si>
  <si>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</si>
  <si>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</si>
  <si>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</si>
  <si>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</si>
  <si>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</si>
  <si>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</si>
  <si>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</si>
  <si>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</si>
  <si>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</si>
  <si>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</si>
  <si>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</si>
  <si>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</si>
  <si>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</si>
  <si>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</si>
  <si>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</si>
  <si>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</si>
  <si>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</si>
  <si>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</si>
  <si>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</si>
  <si>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</si>
  <si>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</si>
  <si>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</si>
  <si>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</si>
  <si>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</si>
  <si>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</si>
  <si>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</si>
  <si>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</si>
  <si>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</si>
  <si>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</si>
  <si>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</si>
  <si>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</si>
  <si>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</si>
  <si>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</si>
  <si>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</si>
  <si>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</si>
  <si>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</si>
  <si>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</si>
  <si>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</si>
  <si>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</si>
  <si>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</si>
  <si>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</si>
  <si>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</si>
  <si>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</si>
  <si>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</si>
  <si>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</si>
  <si>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</si>
  <si>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</si>
  <si>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</si>
  <si>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</si>
  <si>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</si>
  <si>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</si>
  <si>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</si>
  <si>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</si>
  <si>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</si>
  <si>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</si>
  <si>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</si>
  <si>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</si>
  <si>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</si>
  <si>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</si>
  <si>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</si>
  <si>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</si>
  <si>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</si>
  <si>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</si>
  <si>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</si>
  <si>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</si>
  <si>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</si>
  <si>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</si>
  <si>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</si>
  <si>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</si>
  <si>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</si>
  <si>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</si>
  <si>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</si>
  <si>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</si>
  <si>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</si>
  <si>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</si>
  <si>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</si>
  <si>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</si>
  <si>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</si>
  <si>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</si>
  <si>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</si>
  <si>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</si>
  <si>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</si>
  <si>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</si>
  <si>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</si>
  <si>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</si>
  <si>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</si>
  <si>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</si>
  <si>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</si>
  <si>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</si>
  <si>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</si>
  <si>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</si>
  <si>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</si>
  <si>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</si>
  <si>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</si>
  <si>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</si>
  <si>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</si>
  <si>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</si>
  <si>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</si>
  <si>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</si>
  <si>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</si>
  <si>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</si>
  <si>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</si>
  <si>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</si>
  <si>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</si>
  <si>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</si>
  <si>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</si>
  <si>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</si>
  <si>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</si>
  <si>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</si>
  <si>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</si>
  <si>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</si>
  <si>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</si>
  <si>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</si>
  <si>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</si>
  <si>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</si>
  <si>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</si>
  <si>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</si>
  <si>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</si>
  <si>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</si>
  <si>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</si>
  <si>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</si>
  <si>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</si>
  <si>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</si>
  <si>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</si>
  <si>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</si>
  <si>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</si>
  <si>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</si>
  <si>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</si>
  <si>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</si>
  <si>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</si>
  <si>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</si>
  <si>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</si>
  <si>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</si>
  <si>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</si>
  <si>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</si>
  <si>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</si>
  <si>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</si>
  <si>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</si>
  <si>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</si>
  <si>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</si>
  <si>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</si>
  <si>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</si>
  <si>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</si>
  <si>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</si>
  <si>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</si>
  <si>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</si>
  <si>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</si>
  <si>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</si>
  <si>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</si>
  <si>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</si>
  <si>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</si>
  <si>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</si>
  <si>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</si>
  <si>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</si>
  <si>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</si>
  <si>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</si>
  <si>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</si>
  <si>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</si>
  <si>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</si>
  <si>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</si>
  <si>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</si>
  <si>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</si>
  <si>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</si>
  <si>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</si>
  <si>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</si>
  <si>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</si>
  <si>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</si>
  <si>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</si>
  <si>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</si>
  <si>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</si>
  <si>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</si>
  <si>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</si>
  <si>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</si>
  <si>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</si>
  <si>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</si>
  <si>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</si>
  <si>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</si>
  <si>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</si>
  <si>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</si>
  <si>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</si>
  <si>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</si>
  <si>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</si>
  <si>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</si>
  <si>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</si>
  <si>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</si>
  <si>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</si>
  <si>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</si>
  <si>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</si>
  <si>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</si>
  <si>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</si>
  <si>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</si>
  <si>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</si>
  <si>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</si>
  <si>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</si>
  <si>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</si>
  <si>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</si>
  <si>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</si>
  <si>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</si>
  <si>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</si>
  <si>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</si>
  <si>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</si>
  <si>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</si>
  <si>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</si>
  <si>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</si>
  <si>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</si>
  <si>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</si>
  <si>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</si>
  <si>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</si>
  <si>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</si>
  <si>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</si>
  <si>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</si>
  <si>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</si>
  <si>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</si>
  <si>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</si>
  <si>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</si>
  <si>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</si>
  <si>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</si>
  <si>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</si>
  <si>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</si>
  <si>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</si>
  <si>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</si>
  <si>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</si>
  <si>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</si>
  <si>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</si>
  <si>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</si>
  <si>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</si>
  <si>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</si>
  <si>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</si>
  <si>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</si>
  <si>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</si>
  <si>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</si>
  <si>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</si>
  <si>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</si>
  <si>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</si>
  <si>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</si>
  <si>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</si>
  <si>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</si>
  <si>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</si>
  <si>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</si>
  <si>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</si>
  <si>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</si>
  <si>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</si>
  <si>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</si>
  <si>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</si>
  <si>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</si>
  <si>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</si>
  <si>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</si>
  <si>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</si>
  <si>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</si>
  <si>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</si>
  <si>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</si>
  <si>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</si>
  <si>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</si>
  <si>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</si>
  <si>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</si>
  <si>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</si>
  <si>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</si>
  <si>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</si>
  <si>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</si>
  <si>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</si>
  <si>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</si>
  <si>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</si>
  <si>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</si>
  <si>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</si>
  <si>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</si>
  <si>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</si>
  <si>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</si>
  <si>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</si>
  <si>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</si>
  <si>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</si>
  <si>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</si>
  <si>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</si>
  <si>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</si>
  <si>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</si>
  <si>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</si>
  <si>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</si>
  <si>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</si>
  <si>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</si>
  <si>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</si>
  <si>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</si>
  <si>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</si>
  <si>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</si>
  <si>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</si>
  <si>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</si>
  <si>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</si>
  <si>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</si>
  <si>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</si>
  <si>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</si>
  <si>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</si>
  <si>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</si>
  <si>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</si>
  <si>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</si>
  <si>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</si>
  <si>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</si>
  <si>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</si>
  <si>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</si>
  <si>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</si>
  <si>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</si>
  <si>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</si>
  <si>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</si>
  <si>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</si>
  <si>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</si>
  <si>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</si>
  <si>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</si>
  <si>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</si>
  <si>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</si>
  <si>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</si>
  <si>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</si>
  <si>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</si>
  <si>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</si>
  <si>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</si>
  <si>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</si>
  <si>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</si>
  <si>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</si>
  <si>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</si>
  <si>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</si>
  <si>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</si>
  <si>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</si>
  <si>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</si>
  <si>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</si>
  <si>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</si>
  <si>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</si>
  <si>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</si>
  <si>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</si>
  <si>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</si>
  <si>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</si>
  <si>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</si>
  <si>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</si>
  <si>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</si>
  <si>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</si>
  <si>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</si>
  <si>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</si>
  <si>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</si>
  <si>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</si>
  <si>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</si>
  <si>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</si>
  <si>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</si>
  <si>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</si>
  <si>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</si>
  <si>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</si>
  <si>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</si>
  <si>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</si>
  <si>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</si>
  <si>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</si>
  <si>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</si>
  <si>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</si>
  <si>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</si>
  <si>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</si>
  <si>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</si>
  <si>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</si>
  <si>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</si>
  <si>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</si>
  <si>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</si>
  <si>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</si>
  <si>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</si>
  <si>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</si>
  <si>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</si>
  <si>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</si>
  <si>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</si>
  <si>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</si>
  <si>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</si>
  <si>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</si>
  <si>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</si>
  <si>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</si>
  <si>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</si>
  <si>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</si>
  <si>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</si>
  <si>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</si>
  <si>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</si>
  <si>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</si>
  <si>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</si>
  <si>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</si>
  <si>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</si>
  <si>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</si>
  <si>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</si>
  <si>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</si>
  <si>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</si>
  <si>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</si>
  <si>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</si>
  <si>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</si>
  <si>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</si>
  <si>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</si>
  <si>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</si>
  <si>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</si>
  <si>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</si>
  <si>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</si>
  <si>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</si>
  <si>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</si>
  <si>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</si>
  <si>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</si>
  <si>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</si>
  <si>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</si>
  <si>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</si>
  <si>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</si>
  <si>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</si>
  <si>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</si>
  <si>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</si>
  <si>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</si>
  <si>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</si>
  <si>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</si>
  <si>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</si>
  <si>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</si>
  <si>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</si>
  <si>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</si>
  <si>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</si>
  <si>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</si>
  <si>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</si>
  <si>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</si>
  <si>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</si>
  <si>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</si>
  <si>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</si>
  <si>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</si>
  <si>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</si>
  <si>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</si>
  <si>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</si>
  <si>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</si>
  <si>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</si>
  <si>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</si>
  <si>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</si>
  <si>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</si>
  <si>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</si>
  <si>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</si>
  <si>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</si>
  <si>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</si>
  <si>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</si>
  <si>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</si>
  <si>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</si>
  <si>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</si>
  <si>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</si>
  <si>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</si>
  <si>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</si>
  <si>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</si>
  <si>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</si>
  <si>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</si>
  <si>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</si>
  <si>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BRISTOL HOSPITAL &amp; HEALTH CARE GROUP,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</si>
  <si>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</si>
  <si>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</si>
  <si>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</si>
  <si>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</si>
  <si>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</si>
  <si>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</si>
  <si>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</si>
  <si>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</si>
  <si>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</si>
  <si>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</si>
  <si>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</si>
  <si>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</si>
  <si>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</si>
  <si>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</si>
  <si>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</si>
  <si>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</si>
  <si>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</si>
  <si>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</si>
  <si>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</si>
  <si>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</si>
  <si>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</si>
  <si>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</si>
  <si>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</si>
  <si>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</si>
  <si>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</si>
  <si>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</si>
  <si>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</si>
  <si>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</si>
  <si>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</si>
  <si>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</si>
  <si>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</si>
  <si>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</si>
  <si>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</si>
  <si>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</si>
  <si>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</si>
  <si>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</si>
  <si>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</si>
  <si>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</si>
  <si>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</si>
  <si>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</si>
  <si>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</si>
  <si>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</si>
  <si>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</si>
  <si>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</si>
  <si>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</si>
  <si>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</si>
  <si>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</si>
  <si>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</si>
  <si>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</si>
  <si>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</si>
  <si>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</si>
  <si>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</si>
  <si>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</si>
  <si>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</si>
  <si>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</si>
  <si>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</si>
  <si>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</si>
  <si>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</si>
  <si>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</si>
  <si>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</si>
  <si>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</si>
  <si>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</si>
  <si>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</si>
  <si>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</si>
  <si>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</si>
  <si>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</si>
  <si>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</si>
  <si>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</si>
  <si>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</si>
  <si>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</si>
  <si>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</si>
  <si>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</si>
  <si>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</si>
  <si>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</si>
  <si>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</si>
  <si>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</si>
  <si>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</si>
  <si>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</si>
  <si>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</si>
  <si>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</si>
  <si>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</si>
  <si>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</si>
  <si>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</si>
  <si>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</si>
  <si>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</si>
  <si>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</si>
  <si>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</si>
  <si>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</si>
  <si>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</si>
  <si>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</si>
  <si>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</si>
  <si>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</si>
  <si>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</si>
  <si>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</si>
  <si>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</si>
  <si>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</si>
  <si>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</si>
  <si>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</si>
  <si>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</si>
  <si>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</si>
  <si>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</si>
  <si>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</si>
  <si>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</si>
  <si>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</si>
  <si>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</si>
  <si>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</si>
  <si>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</si>
  <si>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</si>
  <si>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Bristol Hospital Campus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</si>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</sst>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8286702</v>
      </c>
      <c r="D13" s="23">
        <v>4272881</v>
      </c>
      <c r="E13" s="23">
        <f t="shared" ref="E13:E22" si="0">D13-C13</f>
        <v>-4013821</v>
      </c>
      <c r="F13" s="24">
        <f t="shared" ref="F13:F22" si="1">IF(C13=0,0,E13/C13)</f>
        <v>-0.48436893229658795</v>
      </c>
    </row>
    <row r="14" spans="1:8" ht="24" customHeight="1" x14ac:dyDescent="0.2">
      <c r="A14" s="21">
        <v>2</v>
      </c>
      <c r="B14" s="22" t="s">
        <v>17</v>
      </c>
      <c r="C14" s="23">
        <v>96165</v>
      </c>
      <c r="D14" s="23">
        <v>96343</v>
      </c>
      <c r="E14" s="23">
        <f t="shared" si="0"/>
        <v>178</v>
      </c>
      <c r="F14" s="24">
        <f t="shared" si="1"/>
        <v>1.850985285706858E-3</v>
      </c>
    </row>
    <row r="15" spans="1:8" ht="33" customHeight="1" x14ac:dyDescent="0.2">
      <c r="A15" s="21">
        <v>3</v>
      </c>
      <c r="B15" s="22" t="s">
        <v>18</v>
      </c>
      <c r="C15" s="23">
        <v>15483112</v>
      </c>
      <c r="D15" s="23">
        <v>20427829</v>
      </c>
      <c r="E15" s="23">
        <f t="shared" si="0"/>
        <v>4944717</v>
      </c>
      <c r="F15" s="24">
        <f t="shared" si="1"/>
        <v>0.31936196030875447</v>
      </c>
    </row>
    <row r="16" spans="1:8" ht="24" customHeight="1" x14ac:dyDescent="0.2">
      <c r="A16" s="21">
        <v>4</v>
      </c>
      <c r="B16" s="22" t="s">
        <v>19</v>
      </c>
      <c r="C16" s="23">
        <v>452373</v>
      </c>
      <c r="D16" s="23">
        <v>462954</v>
      </c>
      <c r="E16" s="23">
        <f t="shared" si="0"/>
        <v>10581</v>
      </c>
      <c r="F16" s="24">
        <f t="shared" si="1"/>
        <v>2.3389990118773667E-2</v>
      </c>
    </row>
    <row r="17" spans="1:11" ht="24" customHeight="1" x14ac:dyDescent="0.2">
      <c r="A17" s="21">
        <v>5</v>
      </c>
      <c r="B17" s="22" t="s">
        <v>20</v>
      </c>
      <c r="C17" s="23">
        <v>1809846</v>
      </c>
      <c r="D17" s="23">
        <v>2258921</v>
      </c>
      <c r="E17" s="23">
        <f t="shared" si="0"/>
        <v>449075</v>
      </c>
      <c r="F17" s="24">
        <f t="shared" si="1"/>
        <v>0.24812884632173124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2379937</v>
      </c>
      <c r="E18" s="23">
        <f t="shared" si="0"/>
        <v>2379937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1439654</v>
      </c>
      <c r="D19" s="23">
        <v>1696559</v>
      </c>
      <c r="E19" s="23">
        <f t="shared" si="0"/>
        <v>256905</v>
      </c>
      <c r="F19" s="24">
        <f t="shared" si="1"/>
        <v>0.17844912735976839</v>
      </c>
    </row>
    <row r="20" spans="1:11" ht="24" customHeight="1" x14ac:dyDescent="0.2">
      <c r="A20" s="21">
        <v>8</v>
      </c>
      <c r="B20" s="22" t="s">
        <v>23</v>
      </c>
      <c r="C20" s="23">
        <v>991052</v>
      </c>
      <c r="D20" s="23">
        <v>467593</v>
      </c>
      <c r="E20" s="23">
        <f t="shared" si="0"/>
        <v>-523459</v>
      </c>
      <c r="F20" s="24">
        <f t="shared" si="1"/>
        <v>-0.5281852011801601</v>
      </c>
    </row>
    <row r="21" spans="1:11" ht="24" customHeight="1" x14ac:dyDescent="0.2">
      <c r="A21" s="21">
        <v>9</v>
      </c>
      <c r="B21" s="22" t="s">
        <v>24</v>
      </c>
      <c r="C21" s="23">
        <v>827194</v>
      </c>
      <c r="D21" s="23">
        <v>677818</v>
      </c>
      <c r="E21" s="23">
        <f t="shared" si="0"/>
        <v>-149376</v>
      </c>
      <c r="F21" s="24">
        <f t="shared" si="1"/>
        <v>-0.18058158062074919</v>
      </c>
    </row>
    <row r="22" spans="1:11" ht="24" customHeight="1" x14ac:dyDescent="0.25">
      <c r="A22" s="25"/>
      <c r="B22" s="26" t="s">
        <v>25</v>
      </c>
      <c r="C22" s="27">
        <f>SUM(C13:C21)</f>
        <v>29386098</v>
      </c>
      <c r="D22" s="27">
        <f>SUM(D13:D21)</f>
        <v>32740835</v>
      </c>
      <c r="E22" s="27">
        <f t="shared" si="0"/>
        <v>3354737</v>
      </c>
      <c r="F22" s="28">
        <f t="shared" si="1"/>
        <v>0.11416068237436627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5780627</v>
      </c>
      <c r="D26" s="23">
        <v>5602380</v>
      </c>
      <c r="E26" s="23">
        <f>D26-C26</f>
        <v>-178247</v>
      </c>
      <c r="F26" s="24">
        <f>IF(C26=0,0,E26/C26)</f>
        <v>-3.0835236385257172E-2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12202274</v>
      </c>
      <c r="D28" s="23">
        <v>12050699</v>
      </c>
      <c r="E28" s="23">
        <f>D28-C28</f>
        <v>-151575</v>
      </c>
      <c r="F28" s="24">
        <f>IF(C28=0,0,E28/C28)</f>
        <v>-1.2421864973692609E-2</v>
      </c>
    </row>
    <row r="29" spans="1:11" ht="24" customHeight="1" x14ac:dyDescent="0.25">
      <c r="A29" s="25"/>
      <c r="B29" s="26" t="s">
        <v>32</v>
      </c>
      <c r="C29" s="27">
        <f>SUM(C25:C28)</f>
        <v>17982901</v>
      </c>
      <c r="D29" s="27">
        <f>SUM(D25:D28)</f>
        <v>17653079</v>
      </c>
      <c r="E29" s="27">
        <f>D29-C29</f>
        <v>-329822</v>
      </c>
      <c r="F29" s="28">
        <f>IF(C29=0,0,E29/C29)</f>
        <v>-1.8340867249394301E-2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4201750</v>
      </c>
      <c r="D31" s="23">
        <v>4332419</v>
      </c>
      <c r="E31" s="23">
        <f>D31-C31</f>
        <v>130669</v>
      </c>
      <c r="F31" s="24">
        <f>IF(C31=0,0,E31/C31)</f>
        <v>3.1098708871303622E-2</v>
      </c>
    </row>
    <row r="32" spans="1:11" ht="24" customHeight="1" x14ac:dyDescent="0.2">
      <c r="A32" s="21">
        <v>6</v>
      </c>
      <c r="B32" s="22" t="s">
        <v>34</v>
      </c>
      <c r="C32" s="23">
        <v>6220475</v>
      </c>
      <c r="D32" s="23">
        <v>6015999</v>
      </c>
      <c r="E32" s="23">
        <f>D32-C32</f>
        <v>-204476</v>
      </c>
      <c r="F32" s="24">
        <f>IF(C32=0,0,E32/C32)</f>
        <v>-3.2871444704785403E-2</v>
      </c>
    </row>
    <row r="33" spans="1:8" ht="24" customHeight="1" x14ac:dyDescent="0.2">
      <c r="A33" s="21">
        <v>7</v>
      </c>
      <c r="B33" s="22" t="s">
        <v>35</v>
      </c>
      <c r="C33" s="23">
        <v>2854095</v>
      </c>
      <c r="D33" s="23">
        <v>2353151</v>
      </c>
      <c r="E33" s="23">
        <f>D33-C33</f>
        <v>-500944</v>
      </c>
      <c r="F33" s="24">
        <f>IF(C33=0,0,E33/C33)</f>
        <v>-0.17551763343546728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127862964</v>
      </c>
      <c r="D36" s="23">
        <v>139095619</v>
      </c>
      <c r="E36" s="23">
        <f>D36-C36</f>
        <v>11232655</v>
      </c>
      <c r="F36" s="24">
        <f>IF(C36=0,0,E36/C36)</f>
        <v>8.7849167957658167E-2</v>
      </c>
    </row>
    <row r="37" spans="1:8" ht="24" customHeight="1" x14ac:dyDescent="0.2">
      <c r="A37" s="21">
        <v>2</v>
      </c>
      <c r="B37" s="22" t="s">
        <v>39</v>
      </c>
      <c r="C37" s="23">
        <v>93518978</v>
      </c>
      <c r="D37" s="23">
        <v>99185736</v>
      </c>
      <c r="E37" s="23">
        <f>D37-C37</f>
        <v>5666758</v>
      </c>
      <c r="F37" s="24">
        <f>IF(C37=0,0,E37/C37)</f>
        <v>6.0594738321455996E-2</v>
      </c>
    </row>
    <row r="38" spans="1:8" ht="24" customHeight="1" x14ac:dyDescent="0.25">
      <c r="A38" s="25"/>
      <c r="B38" s="26" t="s">
        <v>40</v>
      </c>
      <c r="C38" s="27">
        <f>C36-C37</f>
        <v>34343986</v>
      </c>
      <c r="D38" s="27">
        <f>D36-D37</f>
        <v>39909883</v>
      </c>
      <c r="E38" s="27">
        <f>D38-C38</f>
        <v>5565897</v>
      </c>
      <c r="F38" s="28">
        <f>IF(C38=0,0,E38/C38)</f>
        <v>0.1620632211997757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2656483</v>
      </c>
      <c r="D40" s="23">
        <v>120375</v>
      </c>
      <c r="E40" s="23">
        <f>D40-C40</f>
        <v>-2536108</v>
      </c>
      <c r="F40" s="24">
        <f>IF(C40=0,0,E40/C40)</f>
        <v>-0.95468632774988582</v>
      </c>
    </row>
    <row r="41" spans="1:8" ht="24" customHeight="1" x14ac:dyDescent="0.25">
      <c r="A41" s="25"/>
      <c r="B41" s="26" t="s">
        <v>42</v>
      </c>
      <c r="C41" s="27">
        <f>+C38+C40</f>
        <v>37000469</v>
      </c>
      <c r="D41" s="27">
        <f>+D38+D40</f>
        <v>40030258</v>
      </c>
      <c r="E41" s="27">
        <f>D41-C41</f>
        <v>3029789</v>
      </c>
      <c r="F41" s="28">
        <f>IF(C41=0,0,E41/C41)</f>
        <v>8.1885151239569423E-2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97645788</v>
      </c>
      <c r="D43" s="27">
        <f>D22+D29+D31+D32+D33+D41</f>
        <v>103125741</v>
      </c>
      <c r="E43" s="27">
        <f>D43-C43</f>
        <v>5479953</v>
      </c>
      <c r="F43" s="28">
        <f>IF(C43=0,0,E43/C43)</f>
        <v>5.6120730983296487E-2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9420211</v>
      </c>
      <c r="D49" s="23">
        <v>11772566</v>
      </c>
      <c r="E49" s="23">
        <f t="shared" ref="E49:E56" si="2">D49-C49</f>
        <v>2352355</v>
      </c>
      <c r="F49" s="24">
        <f t="shared" ref="F49:F56" si="3">IF(C49=0,0,E49/C49)</f>
        <v>0.24971362106432649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7122528</v>
      </c>
      <c r="D50" s="23">
        <v>11466850</v>
      </c>
      <c r="E50" s="23">
        <f t="shared" si="2"/>
        <v>4344322</v>
      </c>
      <c r="F50" s="24">
        <f t="shared" si="3"/>
        <v>0.60994102094087943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327508</v>
      </c>
      <c r="D51" s="23">
        <v>0</v>
      </c>
      <c r="E51" s="23">
        <f t="shared" si="2"/>
        <v>-327508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744758</v>
      </c>
      <c r="D53" s="23">
        <v>757385</v>
      </c>
      <c r="E53" s="23">
        <f t="shared" si="2"/>
        <v>12627</v>
      </c>
      <c r="F53" s="24">
        <f t="shared" si="3"/>
        <v>1.6954500656589121E-2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7083</v>
      </c>
      <c r="D54" s="23">
        <v>7444</v>
      </c>
      <c r="E54" s="23">
        <f t="shared" si="2"/>
        <v>361</v>
      </c>
      <c r="F54" s="24">
        <f t="shared" si="3"/>
        <v>5.0967104334321618E-2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3771110</v>
      </c>
      <c r="D55" s="23">
        <v>3541944</v>
      </c>
      <c r="E55" s="23">
        <f t="shared" si="2"/>
        <v>-229166</v>
      </c>
      <c r="F55" s="24">
        <f t="shared" si="3"/>
        <v>-6.0768845247155347E-2</v>
      </c>
    </row>
    <row r="56" spans="1:6" ht="24" customHeight="1" x14ac:dyDescent="0.25">
      <c r="A56" s="25"/>
      <c r="B56" s="26" t="s">
        <v>54</v>
      </c>
      <c r="C56" s="27">
        <f>SUM(C49:C55)</f>
        <v>21393198</v>
      </c>
      <c r="D56" s="27">
        <f>SUM(D49:D55)</f>
        <v>27546189</v>
      </c>
      <c r="E56" s="27">
        <f t="shared" si="2"/>
        <v>6152991</v>
      </c>
      <c r="F56" s="28">
        <f t="shared" si="3"/>
        <v>0.28761436228468507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27047461</v>
      </c>
      <c r="D59" s="23">
        <v>26252085</v>
      </c>
      <c r="E59" s="23">
        <f>D59-C59</f>
        <v>-795376</v>
      </c>
      <c r="F59" s="24">
        <f>IF(C59=0,0,E59/C59)</f>
        <v>-2.9406678874590114E-2</v>
      </c>
    </row>
    <row r="60" spans="1:6" ht="24" customHeight="1" x14ac:dyDescent="0.2">
      <c r="A60" s="21">
        <v>2</v>
      </c>
      <c r="B60" s="22" t="s">
        <v>57</v>
      </c>
      <c r="C60" s="23">
        <v>305407</v>
      </c>
      <c r="D60" s="23">
        <v>297963</v>
      </c>
      <c r="E60" s="23">
        <f>D60-C60</f>
        <v>-7444</v>
      </c>
      <c r="F60" s="24">
        <f>IF(C60=0,0,E60/C60)</f>
        <v>-2.4374032029390289E-2</v>
      </c>
    </row>
    <row r="61" spans="1:6" ht="24" customHeight="1" x14ac:dyDescent="0.25">
      <c r="A61" s="25"/>
      <c r="B61" s="26" t="s">
        <v>58</v>
      </c>
      <c r="C61" s="27">
        <f>SUM(C59:C60)</f>
        <v>27352868</v>
      </c>
      <c r="D61" s="27">
        <f>SUM(D59:D60)</f>
        <v>26550048</v>
      </c>
      <c r="E61" s="27">
        <f>D61-C61</f>
        <v>-802820</v>
      </c>
      <c r="F61" s="28">
        <f>IF(C61=0,0,E61/C61)</f>
        <v>-2.9350487122593506E-2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25355098</v>
      </c>
      <c r="D63" s="23">
        <v>25622329</v>
      </c>
      <c r="E63" s="23">
        <f>D63-C63</f>
        <v>267231</v>
      </c>
      <c r="F63" s="24">
        <f>IF(C63=0,0,E63/C63)</f>
        <v>1.0539537255979054E-2</v>
      </c>
    </row>
    <row r="64" spans="1:6" ht="24" customHeight="1" x14ac:dyDescent="0.2">
      <c r="A64" s="21">
        <v>4</v>
      </c>
      <c r="B64" s="22" t="s">
        <v>60</v>
      </c>
      <c r="C64" s="23">
        <v>15324091</v>
      </c>
      <c r="D64" s="23">
        <v>15391487</v>
      </c>
      <c r="E64" s="23">
        <f>D64-C64</f>
        <v>67396</v>
      </c>
      <c r="F64" s="24">
        <f>IF(C64=0,0,E64/C64)</f>
        <v>4.398042272132161E-3</v>
      </c>
    </row>
    <row r="65" spans="1:6" ht="24" customHeight="1" x14ac:dyDescent="0.25">
      <c r="A65" s="25"/>
      <c r="B65" s="26" t="s">
        <v>61</v>
      </c>
      <c r="C65" s="27">
        <f>SUM(C61:C64)</f>
        <v>68032057</v>
      </c>
      <c r="D65" s="27">
        <f>SUM(D61:D64)</f>
        <v>67563864</v>
      </c>
      <c r="E65" s="27">
        <f>D65-C65</f>
        <v>-468193</v>
      </c>
      <c r="F65" s="28">
        <f>IF(C65=0,0,E65/C65)</f>
        <v>-6.8819468445588819E-3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755592</v>
      </c>
      <c r="D70" s="23">
        <v>427122</v>
      </c>
      <c r="E70" s="23">
        <f>D70-C70</f>
        <v>-328470</v>
      </c>
      <c r="F70" s="24">
        <f>IF(C70=0,0,E70/C70)</f>
        <v>-0.43471873709621067</v>
      </c>
    </row>
    <row r="71" spans="1:6" ht="24" customHeight="1" x14ac:dyDescent="0.2">
      <c r="A71" s="21">
        <v>2</v>
      </c>
      <c r="B71" s="22" t="s">
        <v>65</v>
      </c>
      <c r="C71" s="23">
        <v>800850</v>
      </c>
      <c r="D71" s="23">
        <v>1021495</v>
      </c>
      <c r="E71" s="23">
        <f>D71-C71</f>
        <v>220645</v>
      </c>
      <c r="F71" s="24">
        <f>IF(C71=0,0,E71/C71)</f>
        <v>0.27551351688830616</v>
      </c>
    </row>
    <row r="72" spans="1:6" ht="24" customHeight="1" x14ac:dyDescent="0.2">
      <c r="A72" s="21">
        <v>3</v>
      </c>
      <c r="B72" s="22" t="s">
        <v>66</v>
      </c>
      <c r="C72" s="23">
        <v>6664091</v>
      </c>
      <c r="D72" s="23">
        <v>6567071</v>
      </c>
      <c r="E72" s="23">
        <f>D72-C72</f>
        <v>-97020</v>
      </c>
      <c r="F72" s="24">
        <f>IF(C72=0,0,E72/C72)</f>
        <v>-1.4558624724662373E-2</v>
      </c>
    </row>
    <row r="73" spans="1:6" ht="24" customHeight="1" x14ac:dyDescent="0.25">
      <c r="A73" s="21"/>
      <c r="B73" s="26" t="s">
        <v>67</v>
      </c>
      <c r="C73" s="27">
        <f>SUM(C70:C72)</f>
        <v>8220533</v>
      </c>
      <c r="D73" s="27">
        <f>SUM(D70:D72)</f>
        <v>8015688</v>
      </c>
      <c r="E73" s="27">
        <f>D73-C73</f>
        <v>-204845</v>
      </c>
      <c r="F73" s="28">
        <f>IF(C73=0,0,E73/C73)</f>
        <v>-2.4918700527082612E-2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97645788</v>
      </c>
      <c r="D75" s="27">
        <f>D56+D65+D67+D73</f>
        <v>103125741</v>
      </c>
      <c r="E75" s="27">
        <f>D75-C75</f>
        <v>5479953</v>
      </c>
      <c r="F75" s="28">
        <f>IF(C75=0,0,E75/C75)</f>
        <v>5.6120730983296487E-2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FILING&amp;RBRISTOL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151167549</v>
      </c>
      <c r="D11" s="51">
        <v>154305654</v>
      </c>
      <c r="E11" s="51">
        <v>155158705</v>
      </c>
      <c r="F11" s="28"/>
    </row>
    <row r="12" spans="1:6" ht="24" customHeight="1" x14ac:dyDescent="0.25">
      <c r="A12" s="44">
        <v>2</v>
      </c>
      <c r="B12" s="48" t="s">
        <v>76</v>
      </c>
      <c r="C12" s="49">
        <v>6200797</v>
      </c>
      <c r="D12" s="49">
        <v>7156743</v>
      </c>
      <c r="E12" s="49">
        <v>8394129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157368346</v>
      </c>
      <c r="D13" s="51">
        <f>+D11+D12</f>
        <v>161462397</v>
      </c>
      <c r="E13" s="51">
        <f>+E11+E12</f>
        <v>163552834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157751440</v>
      </c>
      <c r="D14" s="49">
        <v>160538371</v>
      </c>
      <c r="E14" s="49">
        <v>164004899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-383094</v>
      </c>
      <c r="D15" s="51">
        <f>+D13-D14</f>
        <v>924026</v>
      </c>
      <c r="E15" s="51">
        <f>+E13-E14</f>
        <v>-452065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390865</v>
      </c>
      <c r="D16" s="49">
        <v>646372</v>
      </c>
      <c r="E16" s="49">
        <v>2170216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7771</v>
      </c>
      <c r="D17" s="51">
        <f>D15+D16</f>
        <v>1570398</v>
      </c>
      <c r="E17" s="51">
        <f>E15+E16</f>
        <v>1718151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-2.4283463233091347E-3</v>
      </c>
      <c r="D20" s="169">
        <f>IF(+D27=0,0,+D24/+D27)</f>
        <v>5.7000371152038046E-3</v>
      </c>
      <c r="E20" s="169">
        <f>IF(+E27=0,0,+E24/+E27)</f>
        <v>-2.7278341787699417E-3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2.4776049368046092E-3</v>
      </c>
      <c r="D21" s="169">
        <f>IF(+D27=0,0,+D26/+D27)</f>
        <v>3.9872735077027205E-3</v>
      </c>
      <c r="E21" s="169">
        <f>IF(+E27=0,0,+E26/+E27)</f>
        <v>1.3095438443837475E-2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4.9258613495474442E-5</v>
      </c>
      <c r="D22" s="169">
        <f>IF(+D27=0,0,+D28/+D27)</f>
        <v>9.687310622906526E-3</v>
      </c>
      <c r="E22" s="169">
        <f>IF(+E27=0,0,+E28/+E27)</f>
        <v>1.0367604265067533E-2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-383094</v>
      </c>
      <c r="D24" s="51">
        <f>+D15</f>
        <v>924026</v>
      </c>
      <c r="E24" s="51">
        <f>+E15</f>
        <v>-452065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157368346</v>
      </c>
      <c r="D25" s="51">
        <f>+D13</f>
        <v>161462397</v>
      </c>
      <c r="E25" s="51">
        <f>+E13</f>
        <v>163552834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390865</v>
      </c>
      <c r="D26" s="51">
        <f>+D16</f>
        <v>646372</v>
      </c>
      <c r="E26" s="51">
        <f>+E16</f>
        <v>2170216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157759211</v>
      </c>
      <c r="D27" s="51">
        <f>SUM(D25:D26)</f>
        <v>162108769</v>
      </c>
      <c r="E27" s="51">
        <f>SUM(E25:E26)</f>
        <v>165723050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7771</v>
      </c>
      <c r="D28" s="51">
        <f>+D17</f>
        <v>1570398</v>
      </c>
      <c r="E28" s="51">
        <f>+E17</f>
        <v>1718151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1045617</v>
      </c>
      <c r="D31" s="51">
        <v>2731601</v>
      </c>
      <c r="E31" s="52">
        <v>2677931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8710815</v>
      </c>
      <c r="D32" s="51">
        <v>11328776</v>
      </c>
      <c r="E32" s="51">
        <v>11495414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-19680790</v>
      </c>
      <c r="D33" s="51">
        <f>+D32-C32</f>
        <v>2617961</v>
      </c>
      <c r="E33" s="51">
        <f>+E32-D32</f>
        <v>166638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0.30680000000000002</v>
      </c>
      <c r="D34" s="171">
        <f>IF(C32=0,0,+D33/C32)</f>
        <v>0.30054145335424987</v>
      </c>
      <c r="E34" s="171">
        <f>IF(D32=0,0,+E33/D32)</f>
        <v>1.4709267797333092E-2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1.4413366176630371</v>
      </c>
      <c r="D38" s="269">
        <f>IF(+D40=0,0,+D39/+D40)</f>
        <v>1.4786110793524716</v>
      </c>
      <c r="E38" s="269">
        <f>IF(+E40=0,0,+E39/+E40)</f>
        <v>1.2948155503330325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36679300</v>
      </c>
      <c r="D39" s="270">
        <v>36043465</v>
      </c>
      <c r="E39" s="270">
        <v>40184352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25448115</v>
      </c>
      <c r="D40" s="270">
        <v>24376569</v>
      </c>
      <c r="E40" s="270">
        <v>31034808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25.914226401779192</v>
      </c>
      <c r="D42" s="271">
        <f>IF((D48/365)=0,0,+D45/(D48/365))</f>
        <v>28.532142442137186</v>
      </c>
      <c r="E42" s="271">
        <f>IF((E48/365)=0,0,+E45/(E48/365))</f>
        <v>21.197783353509475</v>
      </c>
    </row>
    <row r="43" spans="1:14" ht="24" customHeight="1" x14ac:dyDescent="0.2">
      <c r="A43" s="17">
        <v>5</v>
      </c>
      <c r="B43" s="188" t="s">
        <v>16</v>
      </c>
      <c r="C43" s="272">
        <v>9448477</v>
      </c>
      <c r="D43" s="272">
        <v>11995841</v>
      </c>
      <c r="E43" s="272">
        <v>9063284</v>
      </c>
    </row>
    <row r="44" spans="1:14" ht="24" customHeight="1" x14ac:dyDescent="0.2">
      <c r="A44" s="17">
        <v>6</v>
      </c>
      <c r="B44" s="273" t="s">
        <v>17</v>
      </c>
      <c r="C44" s="274">
        <v>1329434</v>
      </c>
      <c r="D44" s="274">
        <v>96165</v>
      </c>
      <c r="E44" s="274">
        <v>96343</v>
      </c>
    </row>
    <row r="45" spans="1:14" ht="24" customHeight="1" x14ac:dyDescent="0.2">
      <c r="A45" s="17">
        <v>7</v>
      </c>
      <c r="B45" s="45" t="s">
        <v>346</v>
      </c>
      <c r="C45" s="270">
        <f>+C43+C44</f>
        <v>10777911</v>
      </c>
      <c r="D45" s="270">
        <f>+D43+D44</f>
        <v>12092006</v>
      </c>
      <c r="E45" s="270">
        <f>+E43+E44</f>
        <v>9159627</v>
      </c>
    </row>
    <row r="46" spans="1:14" ht="24" customHeight="1" x14ac:dyDescent="0.2">
      <c r="A46" s="17">
        <v>8</v>
      </c>
      <c r="B46" s="45" t="s">
        <v>324</v>
      </c>
      <c r="C46" s="270">
        <f>+C14</f>
        <v>157751440</v>
      </c>
      <c r="D46" s="270">
        <f>+D14</f>
        <v>160538371</v>
      </c>
      <c r="E46" s="270">
        <f>+E14</f>
        <v>164004899</v>
      </c>
    </row>
    <row r="47" spans="1:14" ht="24" customHeight="1" x14ac:dyDescent="0.2">
      <c r="A47" s="17">
        <v>9</v>
      </c>
      <c r="B47" s="45" t="s">
        <v>347</v>
      </c>
      <c r="C47" s="270">
        <v>5945345</v>
      </c>
      <c r="D47" s="270">
        <v>5850296</v>
      </c>
      <c r="E47" s="270">
        <v>6287283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151806095</v>
      </c>
      <c r="D48" s="270">
        <f>+D46-D47</f>
        <v>154688075</v>
      </c>
      <c r="E48" s="270">
        <f>+E46-E47</f>
        <v>157717616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45.819434103545596</v>
      </c>
      <c r="D50" s="278">
        <f>IF((D55/365)=0,0,+D54/(D55/365))</f>
        <v>43.949387914197885</v>
      </c>
      <c r="E50" s="278">
        <f>IF((E55/365)=0,0,+E54/(E55/365))</f>
        <v>62.342527381882952</v>
      </c>
    </row>
    <row r="51" spans="1:5" ht="24" customHeight="1" x14ac:dyDescent="0.2">
      <c r="A51" s="17">
        <v>12</v>
      </c>
      <c r="B51" s="188" t="s">
        <v>350</v>
      </c>
      <c r="C51" s="279">
        <v>19948367</v>
      </c>
      <c r="D51" s="279">
        <v>18907341</v>
      </c>
      <c r="E51" s="279">
        <v>24121394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2379937</v>
      </c>
    </row>
    <row r="53" spans="1:5" ht="24" customHeight="1" x14ac:dyDescent="0.2">
      <c r="A53" s="17">
        <v>14</v>
      </c>
      <c r="B53" s="188" t="s">
        <v>49</v>
      </c>
      <c r="C53" s="270">
        <v>971897</v>
      </c>
      <c r="D53" s="270">
        <v>327508</v>
      </c>
      <c r="E53" s="270">
        <v>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18976470</v>
      </c>
      <c r="D54" s="280">
        <f>+D51+D52-D53</f>
        <v>18579833</v>
      </c>
      <c r="E54" s="280">
        <f>+E51+E52-E53</f>
        <v>26501331</v>
      </c>
    </row>
    <row r="55" spans="1:5" ht="24" customHeight="1" x14ac:dyDescent="0.2">
      <c r="A55" s="17">
        <v>16</v>
      </c>
      <c r="B55" s="45" t="s">
        <v>75</v>
      </c>
      <c r="C55" s="270">
        <f>+C11</f>
        <v>151167549</v>
      </c>
      <c r="D55" s="270">
        <f>+D11</f>
        <v>154305654</v>
      </c>
      <c r="E55" s="270">
        <f>+E11</f>
        <v>155158705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61.18701607468396</v>
      </c>
      <c r="D57" s="283">
        <f>IF((D61/365)=0,0,+D58/(D61/365))</f>
        <v>57.518639914550619</v>
      </c>
      <c r="E57" s="283">
        <f>IF((E61/365)=0,0,+E58/(E61/365))</f>
        <v>71.82269937430452</v>
      </c>
    </row>
    <row r="58" spans="1:5" ht="24" customHeight="1" x14ac:dyDescent="0.2">
      <c r="A58" s="17">
        <v>18</v>
      </c>
      <c r="B58" s="45" t="s">
        <v>54</v>
      </c>
      <c r="C58" s="281">
        <f>+C40</f>
        <v>25448115</v>
      </c>
      <c r="D58" s="281">
        <f>+D40</f>
        <v>24376569</v>
      </c>
      <c r="E58" s="281">
        <f>+E40</f>
        <v>31034808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157751440</v>
      </c>
      <c r="D59" s="281">
        <f t="shared" si="0"/>
        <v>160538371</v>
      </c>
      <c r="E59" s="281">
        <f t="shared" si="0"/>
        <v>164004899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5945345</v>
      </c>
      <c r="D60" s="176">
        <f t="shared" si="0"/>
        <v>5850296</v>
      </c>
      <c r="E60" s="176">
        <f t="shared" si="0"/>
        <v>6287283</v>
      </c>
    </row>
    <row r="61" spans="1:5" ht="24" customHeight="1" x14ac:dyDescent="0.2">
      <c r="A61" s="17">
        <v>21</v>
      </c>
      <c r="B61" s="45" t="s">
        <v>353</v>
      </c>
      <c r="C61" s="281">
        <f>+C59-C60</f>
        <v>151806095</v>
      </c>
      <c r="D61" s="281">
        <f>+D59-D60</f>
        <v>154688075</v>
      </c>
      <c r="E61" s="281">
        <f>+E59-E60</f>
        <v>157717616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8.1997735436326682</v>
      </c>
      <c r="D65" s="284">
        <f>IF(D67=0,0,(D66/D67)*100)</f>
        <v>10.252660450113817</v>
      </c>
      <c r="E65" s="284">
        <f>IF(E67=0,0,(E66/E67)*100)</f>
        <v>9.8450076488115652</v>
      </c>
    </row>
    <row r="66" spans="1:5" ht="24" customHeight="1" x14ac:dyDescent="0.2">
      <c r="A66" s="17">
        <v>2</v>
      </c>
      <c r="B66" s="45" t="s">
        <v>67</v>
      </c>
      <c r="C66" s="281">
        <f>+C32</f>
        <v>8710815</v>
      </c>
      <c r="D66" s="281">
        <f>+D32</f>
        <v>11328776</v>
      </c>
      <c r="E66" s="281">
        <f>+E32</f>
        <v>11495414</v>
      </c>
    </row>
    <row r="67" spans="1:5" ht="24" customHeight="1" x14ac:dyDescent="0.2">
      <c r="A67" s="17">
        <v>3</v>
      </c>
      <c r="B67" s="45" t="s">
        <v>43</v>
      </c>
      <c r="C67" s="281">
        <v>106232385</v>
      </c>
      <c r="D67" s="281">
        <v>110495964</v>
      </c>
      <c r="E67" s="281">
        <v>116763891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10.167888153018525</v>
      </c>
      <c r="D69" s="284">
        <f>IF(D75=0,0,(D72/D75)*100)</f>
        <v>13.015117855515431</v>
      </c>
      <c r="E69" s="284">
        <f>IF(E75=0,0,(E72/E75)*100)</f>
        <v>12.829571294229392</v>
      </c>
    </row>
    <row r="70" spans="1:5" ht="24" customHeight="1" x14ac:dyDescent="0.2">
      <c r="A70" s="17">
        <v>5</v>
      </c>
      <c r="B70" s="45" t="s">
        <v>358</v>
      </c>
      <c r="C70" s="281">
        <f>+C28</f>
        <v>7771</v>
      </c>
      <c r="D70" s="281">
        <f>+D28</f>
        <v>1570398</v>
      </c>
      <c r="E70" s="281">
        <f>+E28</f>
        <v>1718151</v>
      </c>
    </row>
    <row r="71" spans="1:5" ht="24" customHeight="1" x14ac:dyDescent="0.2">
      <c r="A71" s="17">
        <v>6</v>
      </c>
      <c r="B71" s="45" t="s">
        <v>347</v>
      </c>
      <c r="C71" s="176">
        <f>+C47</f>
        <v>5945345</v>
      </c>
      <c r="D71" s="176">
        <f>+D47</f>
        <v>5850296</v>
      </c>
      <c r="E71" s="176">
        <f>+E47</f>
        <v>6287283</v>
      </c>
    </row>
    <row r="72" spans="1:5" ht="24" customHeight="1" x14ac:dyDescent="0.2">
      <c r="A72" s="17">
        <v>7</v>
      </c>
      <c r="B72" s="45" t="s">
        <v>359</v>
      </c>
      <c r="C72" s="281">
        <f>+C70+C71</f>
        <v>5953116</v>
      </c>
      <c r="D72" s="281">
        <f>+D70+D71</f>
        <v>7420694</v>
      </c>
      <c r="E72" s="281">
        <f>+E70+E71</f>
        <v>8005434</v>
      </c>
    </row>
    <row r="73" spans="1:5" ht="24" customHeight="1" x14ac:dyDescent="0.2">
      <c r="A73" s="17">
        <v>8</v>
      </c>
      <c r="B73" s="45" t="s">
        <v>54</v>
      </c>
      <c r="C73" s="270">
        <f>+C40</f>
        <v>25448115</v>
      </c>
      <c r="D73" s="270">
        <f>+D40</f>
        <v>24376569</v>
      </c>
      <c r="E73" s="270">
        <f>+E40</f>
        <v>31034808</v>
      </c>
    </row>
    <row r="74" spans="1:5" ht="24" customHeight="1" x14ac:dyDescent="0.2">
      <c r="A74" s="17">
        <v>9</v>
      </c>
      <c r="B74" s="45" t="s">
        <v>58</v>
      </c>
      <c r="C74" s="281">
        <v>33100090</v>
      </c>
      <c r="D74" s="281">
        <v>32639388</v>
      </c>
      <c r="E74" s="281">
        <v>31363489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58548205</v>
      </c>
      <c r="D75" s="270">
        <f>+D73+D74</f>
        <v>57015957</v>
      </c>
      <c r="E75" s="270">
        <f>+E73+E74</f>
        <v>62398297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79.166164903629806</v>
      </c>
      <c r="D77" s="286">
        <f>IF(D80=0,0,(D78/D80)*100)</f>
        <v>74.234139046606543</v>
      </c>
      <c r="E77" s="286">
        <f>IF(E80=0,0,(E78/E80)*100)</f>
        <v>73.178468893615872</v>
      </c>
    </row>
    <row r="78" spans="1:5" ht="24" customHeight="1" x14ac:dyDescent="0.2">
      <c r="A78" s="17">
        <v>12</v>
      </c>
      <c r="B78" s="45" t="s">
        <v>58</v>
      </c>
      <c r="C78" s="270">
        <f>+C74</f>
        <v>33100090</v>
      </c>
      <c r="D78" s="270">
        <f>+D74</f>
        <v>32639388</v>
      </c>
      <c r="E78" s="270">
        <f>+E74</f>
        <v>31363489</v>
      </c>
    </row>
    <row r="79" spans="1:5" ht="24" customHeight="1" x14ac:dyDescent="0.2">
      <c r="A79" s="17">
        <v>13</v>
      </c>
      <c r="B79" s="45" t="s">
        <v>67</v>
      </c>
      <c r="C79" s="270">
        <f>+C32</f>
        <v>8710815</v>
      </c>
      <c r="D79" s="270">
        <f>+D32</f>
        <v>11328776</v>
      </c>
      <c r="E79" s="270">
        <f>+E32</f>
        <v>11495414</v>
      </c>
    </row>
    <row r="80" spans="1:5" ht="24" customHeight="1" x14ac:dyDescent="0.2">
      <c r="A80" s="17">
        <v>14</v>
      </c>
      <c r="B80" s="45" t="s">
        <v>362</v>
      </c>
      <c r="C80" s="270">
        <f>+C78+C79</f>
        <v>41810905</v>
      </c>
      <c r="D80" s="270">
        <f>+D78+D79</f>
        <v>43968164</v>
      </c>
      <c r="E80" s="270">
        <f>+E78+E79</f>
        <v>42858903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FILING&amp;R&amp;8BRISTOL HOSPITAL &amp;AMP; HEALTH CARE GROUP,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17931</v>
      </c>
      <c r="D11" s="296">
        <v>4918</v>
      </c>
      <c r="E11" s="296">
        <v>4218</v>
      </c>
      <c r="F11" s="297">
        <v>78</v>
      </c>
      <c r="G11" s="297">
        <v>86</v>
      </c>
      <c r="H11" s="298">
        <f>IF(F11=0,0,$C11/(F11*365))</f>
        <v>0.62982086406743942</v>
      </c>
      <c r="I11" s="298">
        <f>IF(G11=0,0,$C11/(G11*365))</f>
        <v>0.57123287671232881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2632</v>
      </c>
      <c r="D13" s="296">
        <v>657</v>
      </c>
      <c r="E13" s="296">
        <v>0</v>
      </c>
      <c r="F13" s="297">
        <v>14</v>
      </c>
      <c r="G13" s="297">
        <v>14</v>
      </c>
      <c r="H13" s="298">
        <f>IF(F13=0,0,$C13/(F13*365))</f>
        <v>0.51506849315068493</v>
      </c>
      <c r="I13" s="298">
        <f>IF(G13=0,0,$C13/(G13*365))</f>
        <v>0.51506849315068493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4640</v>
      </c>
      <c r="D16" s="296">
        <v>1038</v>
      </c>
      <c r="E16" s="296">
        <v>1031</v>
      </c>
      <c r="F16" s="297">
        <v>14</v>
      </c>
      <c r="G16" s="297">
        <v>16</v>
      </c>
      <c r="H16" s="298">
        <f t="shared" si="0"/>
        <v>0.90802348336594907</v>
      </c>
      <c r="I16" s="298">
        <f t="shared" si="0"/>
        <v>0.79452054794520544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4640</v>
      </c>
      <c r="D17" s="300">
        <f>SUM(D15:D16)</f>
        <v>1038</v>
      </c>
      <c r="E17" s="300">
        <f>SUM(E15:E16)</f>
        <v>1031</v>
      </c>
      <c r="F17" s="300">
        <f>SUM(F15:F16)</f>
        <v>14</v>
      </c>
      <c r="G17" s="300">
        <f>SUM(G15:G16)</f>
        <v>16</v>
      </c>
      <c r="H17" s="301">
        <f t="shared" si="0"/>
        <v>0.90802348336594907</v>
      </c>
      <c r="I17" s="301">
        <f t="shared" si="0"/>
        <v>0.79452054794520544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1712</v>
      </c>
      <c r="D21" s="296">
        <v>674</v>
      </c>
      <c r="E21" s="296">
        <v>688</v>
      </c>
      <c r="F21" s="297">
        <v>15</v>
      </c>
      <c r="G21" s="297">
        <v>15</v>
      </c>
      <c r="H21" s="298">
        <f>IF(F21=0,0,$C21/(F21*365))</f>
        <v>0.31269406392694066</v>
      </c>
      <c r="I21" s="298">
        <f>IF(G21=0,0,$C21/(G21*365))</f>
        <v>0.31269406392694066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1656</v>
      </c>
      <c r="D23" s="296">
        <v>624</v>
      </c>
      <c r="E23" s="296">
        <v>622</v>
      </c>
      <c r="F23" s="297">
        <v>8</v>
      </c>
      <c r="G23" s="297">
        <v>20</v>
      </c>
      <c r="H23" s="298">
        <f>IF(F23=0,0,$C23/(F23*365))</f>
        <v>0.56712328767123288</v>
      </c>
      <c r="I23" s="298">
        <f>IF(G23=0,0,$C23/(G23*365))</f>
        <v>0.22684931506849315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99</v>
      </c>
      <c r="D27" s="296">
        <v>62</v>
      </c>
      <c r="E27" s="296">
        <v>58</v>
      </c>
      <c r="F27" s="297">
        <v>3</v>
      </c>
      <c r="G27" s="297">
        <v>3</v>
      </c>
      <c r="H27" s="298">
        <f>IF(F27=0,0,$C27/(F27*365))</f>
        <v>9.0410958904109592E-2</v>
      </c>
      <c r="I27" s="298">
        <f>IF(G27=0,0,$C27/(G27*365))</f>
        <v>9.0410958904109592E-2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27014</v>
      </c>
      <c r="D31" s="300">
        <f>SUM(D10:D29)-D13-D17-D23</f>
        <v>6692</v>
      </c>
      <c r="E31" s="300">
        <f>SUM(E10:E29)-E17-E23</f>
        <v>5995</v>
      </c>
      <c r="F31" s="300">
        <f>SUM(F10:F29)-F17-F23</f>
        <v>124</v>
      </c>
      <c r="G31" s="300">
        <f>SUM(G10:G29)-G17-G23</f>
        <v>134</v>
      </c>
      <c r="H31" s="301">
        <f>IF(F31=0,0,$C31/(F31*365))</f>
        <v>0.59686257180733537</v>
      </c>
      <c r="I31" s="301">
        <f>IF(G31=0,0,$C31/(G31*365))</f>
        <v>0.5523205888366387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28670</v>
      </c>
      <c r="D33" s="300">
        <f>SUM(D10:D29)-D13-D17</f>
        <v>7316</v>
      </c>
      <c r="E33" s="300">
        <f>SUM(E10:E29)-E17</f>
        <v>6617</v>
      </c>
      <c r="F33" s="300">
        <f>SUM(F10:F29)-F17</f>
        <v>132</v>
      </c>
      <c r="G33" s="300">
        <f>SUM(G10:G29)-G17</f>
        <v>154</v>
      </c>
      <c r="H33" s="301">
        <f>IF(F33=0,0,$C33/(F33*365))</f>
        <v>0.59506019095060192</v>
      </c>
      <c r="I33" s="301">
        <f>IF(G33=0,0,$C33/(G33*365))</f>
        <v>0.51005159224337304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28670</v>
      </c>
      <c r="D36" s="300">
        <f t="shared" si="1"/>
        <v>7316</v>
      </c>
      <c r="E36" s="300">
        <f t="shared" si="1"/>
        <v>6617</v>
      </c>
      <c r="F36" s="300">
        <f t="shared" si="1"/>
        <v>132</v>
      </c>
      <c r="G36" s="300">
        <f t="shared" si="1"/>
        <v>154</v>
      </c>
      <c r="H36" s="301">
        <f t="shared" si="1"/>
        <v>0.59506019095060192</v>
      </c>
      <c r="I36" s="301">
        <f t="shared" si="1"/>
        <v>0.51005159224337304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30673</v>
      </c>
      <c r="D37" s="300">
        <v>0</v>
      </c>
      <c r="E37" s="300">
        <v>0</v>
      </c>
      <c r="F37" s="302">
        <v>132</v>
      </c>
      <c r="G37" s="302">
        <v>154</v>
      </c>
      <c r="H37" s="301">
        <f>IF(F37=0,0,$C37/(F37*365))</f>
        <v>0.63663345786633463</v>
      </c>
      <c r="I37" s="301">
        <f>IF(G37=0,0,$C37/(G37*365))</f>
        <v>0.54568582102828678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-2003</v>
      </c>
      <c r="D38" s="300">
        <f t="shared" si="2"/>
        <v>7316</v>
      </c>
      <c r="E38" s="300">
        <f t="shared" si="2"/>
        <v>6617</v>
      </c>
      <c r="F38" s="300">
        <f t="shared" si="2"/>
        <v>0</v>
      </c>
      <c r="G38" s="300">
        <f t="shared" si="2"/>
        <v>0</v>
      </c>
      <c r="H38" s="301">
        <f t="shared" si="2"/>
        <v>-4.1573266915732709E-2</v>
      </c>
      <c r="I38" s="301">
        <f t="shared" si="2"/>
        <v>-3.5634228784913735E-2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-6.5301731164216087E-2</v>
      </c>
      <c r="D40" s="148">
        <f t="shared" si="3"/>
        <v>0</v>
      </c>
      <c r="E40" s="148">
        <f t="shared" si="3"/>
        <v>0</v>
      </c>
      <c r="F40" s="148">
        <f t="shared" si="3"/>
        <v>0</v>
      </c>
      <c r="G40" s="148">
        <f t="shared" si="3"/>
        <v>0</v>
      </c>
      <c r="H40" s="148">
        <f t="shared" si="3"/>
        <v>-6.5301731164216142E-2</v>
      </c>
      <c r="I40" s="148">
        <f t="shared" si="3"/>
        <v>-6.5301731164216115E-2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154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FILING&amp;RBRISTOL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4531</v>
      </c>
      <c r="D12" s="296">
        <v>3173</v>
      </c>
      <c r="E12" s="296">
        <f>+D12-C12</f>
        <v>-1358</v>
      </c>
      <c r="F12" s="316">
        <f>IF(C12=0,0,+E12/C12)</f>
        <v>-0.29971308761862725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4855</v>
      </c>
      <c r="D13" s="296">
        <v>3297</v>
      </c>
      <c r="E13" s="296">
        <f>+D13-C13</f>
        <v>-1558</v>
      </c>
      <c r="F13" s="316">
        <f>IF(C13=0,0,+E13/C13)</f>
        <v>-0.32090628218331618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8160</v>
      </c>
      <c r="D14" s="296">
        <v>9630</v>
      </c>
      <c r="E14" s="296">
        <f>+D14-C14</f>
        <v>1470</v>
      </c>
      <c r="F14" s="316">
        <f>IF(C14=0,0,+E14/C14)</f>
        <v>0.18014705882352941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17546</v>
      </c>
      <c r="D16" s="300">
        <f>SUM(D12:D15)</f>
        <v>16100</v>
      </c>
      <c r="E16" s="300">
        <f>+D16-C16</f>
        <v>-1446</v>
      </c>
      <c r="F16" s="309">
        <f>IF(C16=0,0,+E16/C16)</f>
        <v>-8.2411945742619397E-2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375</v>
      </c>
      <c r="D19" s="296">
        <v>343</v>
      </c>
      <c r="E19" s="296">
        <f>+D19-C19</f>
        <v>-32</v>
      </c>
      <c r="F19" s="316">
        <f>IF(C19=0,0,+E19/C19)</f>
        <v>-8.533333333333333E-2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2921</v>
      </c>
      <c r="D20" s="296">
        <v>2660</v>
      </c>
      <c r="E20" s="296">
        <f>+D20-C20</f>
        <v>-261</v>
      </c>
      <c r="F20" s="316">
        <f>IF(C20=0,0,+E20/C20)</f>
        <v>-8.9352961314618284E-2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169</v>
      </c>
      <c r="D21" s="296">
        <v>229</v>
      </c>
      <c r="E21" s="296">
        <f>+D21-C21</f>
        <v>60</v>
      </c>
      <c r="F21" s="316">
        <f>IF(C21=0,0,+E21/C21)</f>
        <v>0.35502958579881655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3465</v>
      </c>
      <c r="D23" s="300">
        <f>SUM(D19:D22)</f>
        <v>3232</v>
      </c>
      <c r="E23" s="300">
        <f>+D23-C23</f>
        <v>-233</v>
      </c>
      <c r="F23" s="309">
        <f>IF(C23=0,0,+E23/C23)</f>
        <v>-6.7243867243867245E-2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244</v>
      </c>
      <c r="D27" s="296">
        <v>181</v>
      </c>
      <c r="E27" s="296">
        <f>+D27-C27</f>
        <v>-63</v>
      </c>
      <c r="F27" s="316">
        <f>IF(C27=0,0,+E27/C27)</f>
        <v>-0.25819672131147542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244</v>
      </c>
      <c r="D30" s="300">
        <f>SUM(D26:D29)</f>
        <v>181</v>
      </c>
      <c r="E30" s="300">
        <f>+D30-C30</f>
        <v>-63</v>
      </c>
      <c r="F30" s="309">
        <f>IF(C30=0,0,+E30/C30)</f>
        <v>-0.25819672131147542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1393</v>
      </c>
      <c r="D63" s="296">
        <v>1334</v>
      </c>
      <c r="E63" s="296">
        <f>+D63-C63</f>
        <v>-59</v>
      </c>
      <c r="F63" s="316">
        <f>IF(C63=0,0,+E63/C63)</f>
        <v>-4.2354630294328788E-2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3695</v>
      </c>
      <c r="D64" s="296">
        <v>3319</v>
      </c>
      <c r="E64" s="296">
        <f>+D64-C64</f>
        <v>-376</v>
      </c>
      <c r="F64" s="316">
        <f>IF(C64=0,0,+E64/C64)</f>
        <v>-0.10175913396481732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5088</v>
      </c>
      <c r="D65" s="300">
        <f>SUM(D63:D64)</f>
        <v>4653</v>
      </c>
      <c r="E65" s="300">
        <f>+D65-C65</f>
        <v>-435</v>
      </c>
      <c r="F65" s="309">
        <f>IF(C65=0,0,+E65/C65)</f>
        <v>-8.5495283018867926E-2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573</v>
      </c>
      <c r="D68" s="296">
        <v>498</v>
      </c>
      <c r="E68" s="296">
        <f>+D68-C68</f>
        <v>-75</v>
      </c>
      <c r="F68" s="316">
        <f>IF(C68=0,0,+E68/C68)</f>
        <v>-0.13089005235602094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2035</v>
      </c>
      <c r="D69" s="296">
        <v>1950</v>
      </c>
      <c r="E69" s="296">
        <f>+D69-C69</f>
        <v>-85</v>
      </c>
      <c r="F69" s="318">
        <f>IF(C69=0,0,+E69/C69)</f>
        <v>-4.1769041769041768E-2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2608</v>
      </c>
      <c r="D70" s="300">
        <f>SUM(D68:D69)</f>
        <v>2448</v>
      </c>
      <c r="E70" s="300">
        <f>+D70-C70</f>
        <v>-160</v>
      </c>
      <c r="F70" s="309">
        <f>IF(C70=0,0,+E70/C70)</f>
        <v>-6.1349693251533742E-2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5467</v>
      </c>
      <c r="D73" s="319">
        <v>5363</v>
      </c>
      <c r="E73" s="296">
        <f>+D73-C73</f>
        <v>-104</v>
      </c>
      <c r="F73" s="316">
        <f>IF(C73=0,0,+E73/C73)</f>
        <v>-1.9023230290835923E-2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33293</v>
      </c>
      <c r="D74" s="319">
        <v>34497</v>
      </c>
      <c r="E74" s="296">
        <f>+D74-C74</f>
        <v>1204</v>
      </c>
      <c r="F74" s="316">
        <f>IF(C74=0,0,+E74/C74)</f>
        <v>3.6163758147358303E-2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38760</v>
      </c>
      <c r="D75" s="300">
        <f>SUM(D73:D74)</f>
        <v>39860</v>
      </c>
      <c r="E75" s="300">
        <f>SUM(E73:E74)</f>
        <v>1100</v>
      </c>
      <c r="F75" s="309">
        <f>IF(C75=0,0,+E75/C75)</f>
        <v>2.8379772961816305E-2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25915</v>
      </c>
      <c r="D81" s="319">
        <v>22116</v>
      </c>
      <c r="E81" s="296">
        <f t="shared" si="0"/>
        <v>-3799</v>
      </c>
      <c r="F81" s="316">
        <f t="shared" si="1"/>
        <v>-0.1465946363110168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25915</v>
      </c>
      <c r="D84" s="320">
        <f>SUM(D79:D83)</f>
        <v>22116</v>
      </c>
      <c r="E84" s="300">
        <f t="shared" si="0"/>
        <v>-3799</v>
      </c>
      <c r="F84" s="309">
        <f t="shared" si="1"/>
        <v>-0.1465946363110168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83287</v>
      </c>
      <c r="D87" s="322">
        <v>85137</v>
      </c>
      <c r="E87" s="323">
        <f t="shared" ref="E87:E92" si="2">+D87-C87</f>
        <v>1850</v>
      </c>
      <c r="F87" s="318">
        <f t="shared" ref="F87:F92" si="3">IF(C87=0,0,+E87/C87)</f>
        <v>2.2212350066637049E-2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3417</v>
      </c>
      <c r="D88" s="322">
        <v>3337</v>
      </c>
      <c r="E88" s="296">
        <f t="shared" si="2"/>
        <v>-80</v>
      </c>
      <c r="F88" s="316">
        <f t="shared" si="3"/>
        <v>-2.3412350014632717E-2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9154</v>
      </c>
      <c r="D89" s="322">
        <v>8697</v>
      </c>
      <c r="E89" s="296">
        <f t="shared" si="2"/>
        <v>-457</v>
      </c>
      <c r="F89" s="316">
        <f t="shared" si="3"/>
        <v>-4.9923530696963078E-2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0</v>
      </c>
      <c r="D90" s="322">
        <v>1100</v>
      </c>
      <c r="E90" s="296">
        <f t="shared" si="2"/>
        <v>1100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3766</v>
      </c>
      <c r="D91" s="322">
        <v>3416</v>
      </c>
      <c r="E91" s="296">
        <f t="shared" si="2"/>
        <v>-350</v>
      </c>
      <c r="F91" s="316">
        <f t="shared" si="3"/>
        <v>-9.2936802973977689E-2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99624</v>
      </c>
      <c r="D92" s="320">
        <f>SUM(D87:D91)</f>
        <v>101687</v>
      </c>
      <c r="E92" s="300">
        <f t="shared" si="2"/>
        <v>2063</v>
      </c>
      <c r="F92" s="309">
        <f t="shared" si="3"/>
        <v>2.0707861559463584E-2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283.39999999999998</v>
      </c>
      <c r="D96" s="325">
        <v>278.2</v>
      </c>
      <c r="E96" s="326">
        <f>+D96-C96</f>
        <v>-5.1999999999999886</v>
      </c>
      <c r="F96" s="316">
        <f>IF(C96=0,0,+E96/C96)</f>
        <v>-1.8348623853210972E-2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2.5</v>
      </c>
      <c r="D97" s="325">
        <v>1.9</v>
      </c>
      <c r="E97" s="326">
        <f>+D97-C97</f>
        <v>-0.60000000000000009</v>
      </c>
      <c r="F97" s="316">
        <f>IF(C97=0,0,+E97/C97)</f>
        <v>-0.24000000000000005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587.4</v>
      </c>
      <c r="D98" s="325">
        <v>580.70000000000005</v>
      </c>
      <c r="E98" s="326">
        <f>+D98-C98</f>
        <v>-6.6999999999999318</v>
      </c>
      <c r="F98" s="316">
        <f>IF(C98=0,0,+E98/C98)</f>
        <v>-1.140619679945511E-2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873.3</v>
      </c>
      <c r="D99" s="327">
        <f>SUM(D96:D98)</f>
        <v>860.8</v>
      </c>
      <c r="E99" s="327">
        <f>+D99-C99</f>
        <v>-12.5</v>
      </c>
      <c r="F99" s="309">
        <f>IF(C99=0,0,+E99/C99)</f>
        <v>-1.4313523416924311E-2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FILING&amp;RBRISTOL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3695</v>
      </c>
      <c r="D12" s="296">
        <v>3319</v>
      </c>
      <c r="E12" s="296">
        <f>+D12-C12</f>
        <v>-376</v>
      </c>
      <c r="F12" s="316">
        <f>IF(C12=0,0,+E12/C12)</f>
        <v>-0.10175913396481732</v>
      </c>
    </row>
    <row r="13" spans="1:16" ht="15.75" customHeight="1" x14ac:dyDescent="0.25">
      <c r="A13" s="294"/>
      <c r="B13" s="135" t="s">
        <v>589</v>
      </c>
      <c r="C13" s="300">
        <f>SUM(C11:C12)</f>
        <v>3695</v>
      </c>
      <c r="D13" s="300">
        <f>SUM(D11:D12)</f>
        <v>3319</v>
      </c>
      <c r="E13" s="300">
        <f>+D13-C13</f>
        <v>-376</v>
      </c>
      <c r="F13" s="309">
        <f>IF(C13=0,0,+E13/C13)</f>
        <v>-0.10175913396481732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588</v>
      </c>
      <c r="C16" s="296">
        <v>2035</v>
      </c>
      <c r="D16" s="296">
        <v>1950</v>
      </c>
      <c r="E16" s="296">
        <f>+D16-C16</f>
        <v>-85</v>
      </c>
      <c r="F16" s="316">
        <f>IF(C16=0,0,+E16/C16)</f>
        <v>-4.1769041769041768E-2</v>
      </c>
    </row>
    <row r="17" spans="1:6" ht="15.75" customHeight="1" x14ac:dyDescent="0.25">
      <c r="A17" s="294"/>
      <c r="B17" s="135" t="s">
        <v>590</v>
      </c>
      <c r="C17" s="300">
        <f>SUM(C15:C16)</f>
        <v>2035</v>
      </c>
      <c r="D17" s="300">
        <f>SUM(D15:D16)</f>
        <v>1950</v>
      </c>
      <c r="E17" s="300">
        <f>+D17-C17</f>
        <v>-85</v>
      </c>
      <c r="F17" s="309">
        <f>IF(C17=0,0,+E17/C17)</f>
        <v>-4.1769041769041768E-2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591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588</v>
      </c>
      <c r="C20" s="296">
        <v>33293</v>
      </c>
      <c r="D20" s="296">
        <v>34497</v>
      </c>
      <c r="E20" s="296">
        <f>+D20-C20</f>
        <v>1204</v>
      </c>
      <c r="F20" s="316">
        <f>IF(C20=0,0,+E20/C20)</f>
        <v>3.6163758147358303E-2</v>
      </c>
    </row>
    <row r="21" spans="1:6" ht="15.75" customHeight="1" x14ac:dyDescent="0.25">
      <c r="A21" s="294"/>
      <c r="B21" s="135" t="s">
        <v>592</v>
      </c>
      <c r="C21" s="300">
        <f>SUM(C19:C20)</f>
        <v>33293</v>
      </c>
      <c r="D21" s="300">
        <f>SUM(D19:D20)</f>
        <v>34497</v>
      </c>
      <c r="E21" s="300">
        <f>+D21-C21</f>
        <v>1204</v>
      </c>
      <c r="F21" s="309">
        <f>IF(C21=0,0,+E21/C21)</f>
        <v>3.6163758147358303E-2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593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594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595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FILING&amp;RBRISTOL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596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597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598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599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600</v>
      </c>
      <c r="D7" s="341" t="s">
        <v>600</v>
      </c>
      <c r="E7" s="341" t="s">
        <v>601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602</v>
      </c>
      <c r="D8" s="344" t="s">
        <v>603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604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605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606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607</v>
      </c>
      <c r="C15" s="361">
        <v>82914358</v>
      </c>
      <c r="D15" s="361">
        <v>73322938</v>
      </c>
      <c r="E15" s="361">
        <f t="shared" ref="E15:E24" si="0">D15-C15</f>
        <v>-9591420</v>
      </c>
      <c r="F15" s="362">
        <f t="shared" ref="F15:F24" si="1">IF(C15=0,0,E15/C15)</f>
        <v>-0.11567863795073949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608</v>
      </c>
      <c r="C16" s="361">
        <v>30644675</v>
      </c>
      <c r="D16" s="361">
        <v>29190396</v>
      </c>
      <c r="E16" s="361">
        <f t="shared" si="0"/>
        <v>-1454279</v>
      </c>
      <c r="F16" s="362">
        <f t="shared" si="1"/>
        <v>-4.7456173054535575E-2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609</v>
      </c>
      <c r="C17" s="366">
        <f>IF(C15=0,0,C16/C15)</f>
        <v>0.36959431079476007</v>
      </c>
      <c r="D17" s="366">
        <f>IF(LN_IA1=0,0,LN_IA2/LN_IA1)</f>
        <v>0.39810728806311607</v>
      </c>
      <c r="E17" s="367">
        <f t="shared" si="0"/>
        <v>2.8512977268355999E-2</v>
      </c>
      <c r="F17" s="362">
        <f t="shared" si="1"/>
        <v>7.7146688776250069E-2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3426</v>
      </c>
      <c r="D18" s="369">
        <v>3378</v>
      </c>
      <c r="E18" s="369">
        <f t="shared" si="0"/>
        <v>-48</v>
      </c>
      <c r="F18" s="362">
        <f t="shared" si="1"/>
        <v>-1.4010507880910683E-2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610</v>
      </c>
      <c r="C19" s="372">
        <v>1.2873000000000001</v>
      </c>
      <c r="D19" s="372">
        <v>1.2924</v>
      </c>
      <c r="E19" s="373">
        <f t="shared" si="0"/>
        <v>5.0999999999998824E-3</v>
      </c>
      <c r="F19" s="362">
        <f t="shared" si="1"/>
        <v>3.9617804707526467E-3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611</v>
      </c>
      <c r="C20" s="376">
        <f>C18*C19</f>
        <v>4410.2898000000005</v>
      </c>
      <c r="D20" s="376">
        <f>LN_IA4*LN_IA5</f>
        <v>4365.7272000000003</v>
      </c>
      <c r="E20" s="376">
        <f t="shared" si="0"/>
        <v>-44.562600000000202</v>
      </c>
      <c r="F20" s="362">
        <f t="shared" si="1"/>
        <v>-1.0104233966665909E-2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612</v>
      </c>
      <c r="C21" s="378">
        <f>IF(C20=0,0,C16/C20)</f>
        <v>6948.4492833101349</v>
      </c>
      <c r="D21" s="378">
        <f>IF(LN_IA6=0,0,LN_IA2/LN_IA6)</f>
        <v>6686.2620275494992</v>
      </c>
      <c r="E21" s="378">
        <f t="shared" si="0"/>
        <v>-262.18725576063571</v>
      </c>
      <c r="F21" s="362">
        <f t="shared" si="1"/>
        <v>-3.7733204211535053E-2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17157</v>
      </c>
      <c r="D22" s="369">
        <v>15650</v>
      </c>
      <c r="E22" s="369">
        <f t="shared" si="0"/>
        <v>-1507</v>
      </c>
      <c r="F22" s="362">
        <f t="shared" si="1"/>
        <v>-8.7835868741621498E-2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613</v>
      </c>
      <c r="C23" s="378">
        <f>IF(C22=0,0,C16/C22)</f>
        <v>1786.1324823687125</v>
      </c>
      <c r="D23" s="378">
        <f>IF(LN_IA8=0,0,LN_IA2/LN_IA8)</f>
        <v>1865.2010223642174</v>
      </c>
      <c r="E23" s="378">
        <f t="shared" si="0"/>
        <v>79.068539995504807</v>
      </c>
      <c r="F23" s="362">
        <f t="shared" si="1"/>
        <v>4.4268015265388712E-2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614</v>
      </c>
      <c r="C24" s="379">
        <f>IF(C18=0,0,C22/C18)</f>
        <v>5.0078809106830127</v>
      </c>
      <c r="D24" s="379">
        <f>IF(LN_IA4=0,0,LN_IA8/LN_IA4)</f>
        <v>4.6329188869153342</v>
      </c>
      <c r="E24" s="379">
        <f t="shared" si="0"/>
        <v>-0.37496202376767851</v>
      </c>
      <c r="F24" s="362">
        <f t="shared" si="1"/>
        <v>-7.4874389078980391E-2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615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616</v>
      </c>
      <c r="C27" s="361">
        <v>78569021</v>
      </c>
      <c r="D27" s="361">
        <v>74174392</v>
      </c>
      <c r="E27" s="361">
        <f t="shared" ref="E27:E32" si="2">D27-C27</f>
        <v>-4394629</v>
      </c>
      <c r="F27" s="362">
        <f t="shared" ref="F27:F32" si="3">IF(C27=0,0,E27/C27)</f>
        <v>-5.5933355717898023E-2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617</v>
      </c>
      <c r="C28" s="361">
        <v>18498947</v>
      </c>
      <c r="D28" s="361">
        <v>17879302</v>
      </c>
      <c r="E28" s="361">
        <f t="shared" si="2"/>
        <v>-619645</v>
      </c>
      <c r="F28" s="362">
        <f t="shared" si="3"/>
        <v>-3.3496230893574647E-2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618</v>
      </c>
      <c r="C29" s="366">
        <f>IF(C27=0,0,C28/C27)</f>
        <v>0.23544835820214688</v>
      </c>
      <c r="D29" s="366">
        <f>IF(LN_IA11=0,0,LN_IA12/LN_IA11)</f>
        <v>0.24104413285922183</v>
      </c>
      <c r="E29" s="367">
        <f t="shared" si="2"/>
        <v>5.5957746570749478E-3</v>
      </c>
      <c r="F29" s="362">
        <f t="shared" si="3"/>
        <v>2.3766462844776483E-2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619</v>
      </c>
      <c r="C30" s="366">
        <f>IF(C15=0,0,C27/C15)</f>
        <v>0.94759246643385941</v>
      </c>
      <c r="D30" s="366">
        <f>IF(LN_IA1=0,0,LN_IA11/LN_IA1)</f>
        <v>1.0116123824716352</v>
      </c>
      <c r="E30" s="367">
        <f t="shared" si="2"/>
        <v>6.4019916037775793E-2</v>
      </c>
      <c r="F30" s="362">
        <f t="shared" si="3"/>
        <v>6.7560600474913426E-2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620</v>
      </c>
      <c r="C31" s="376">
        <f>C30*C18</f>
        <v>3246.4517900024025</v>
      </c>
      <c r="D31" s="376">
        <f>LN_IA14*LN_IA4</f>
        <v>3417.2266279891837</v>
      </c>
      <c r="E31" s="376">
        <f t="shared" si="2"/>
        <v>170.77483798678122</v>
      </c>
      <c r="F31" s="362">
        <f t="shared" si="3"/>
        <v>5.2603534268609864E-2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621</v>
      </c>
      <c r="C32" s="378">
        <f>IF(C31=0,0,C28/C31)</f>
        <v>5698.2047467848924</v>
      </c>
      <c r="D32" s="378">
        <f>IF(LN_IA15=0,0,LN_IA12/LN_IA15)</f>
        <v>5232.1089428361411</v>
      </c>
      <c r="E32" s="378">
        <f t="shared" si="2"/>
        <v>-466.09580394875138</v>
      </c>
      <c r="F32" s="362">
        <f t="shared" si="3"/>
        <v>-8.1796956174966753E-2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622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623</v>
      </c>
      <c r="C35" s="361">
        <f>C15+C27</f>
        <v>161483379</v>
      </c>
      <c r="D35" s="361">
        <f>LN_IA1+LN_IA11</f>
        <v>147497330</v>
      </c>
      <c r="E35" s="361">
        <f>D35-C35</f>
        <v>-13986049</v>
      </c>
      <c r="F35" s="362">
        <f>IF(C35=0,0,E35/C35)</f>
        <v>-8.6609836173913601E-2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624</v>
      </c>
      <c r="C36" s="361">
        <f>C16+C28</f>
        <v>49143622</v>
      </c>
      <c r="D36" s="361">
        <f>LN_IA2+LN_IA12</f>
        <v>47069698</v>
      </c>
      <c r="E36" s="361">
        <f>D36-C36</f>
        <v>-2073924</v>
      </c>
      <c r="F36" s="362">
        <f>IF(C36=0,0,E36/C36)</f>
        <v>-4.2201285041627581E-2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625</v>
      </c>
      <c r="C37" s="361">
        <f>C35-C36</f>
        <v>112339757</v>
      </c>
      <c r="D37" s="361">
        <f>LN_IA17-LN_IA18</f>
        <v>100427632</v>
      </c>
      <c r="E37" s="361">
        <f>D37-C37</f>
        <v>-11912125</v>
      </c>
      <c r="F37" s="362">
        <f>IF(C37=0,0,E37/C37)</f>
        <v>-0.1060365921923794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626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627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607</v>
      </c>
      <c r="C42" s="361">
        <v>40241420</v>
      </c>
      <c r="D42" s="361">
        <v>36465574</v>
      </c>
      <c r="E42" s="361">
        <f t="shared" ref="E42:E53" si="4">D42-C42</f>
        <v>-3775846</v>
      </c>
      <c r="F42" s="362">
        <f t="shared" ref="F42:F53" si="5">IF(C42=0,0,E42/C42)</f>
        <v>-9.3829840000675915E-2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608</v>
      </c>
      <c r="C43" s="361">
        <v>18721550</v>
      </c>
      <c r="D43" s="361">
        <v>17006157</v>
      </c>
      <c r="E43" s="361">
        <f t="shared" si="4"/>
        <v>-1715393</v>
      </c>
      <c r="F43" s="362">
        <f t="shared" si="5"/>
        <v>-9.1626654844283728E-2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609</v>
      </c>
      <c r="C44" s="366">
        <f>IF(C42=0,0,C43/C42)</f>
        <v>0.46523084920959551</v>
      </c>
      <c r="D44" s="366">
        <f>IF(LN_IB1=0,0,LN_IB2/LN_IB1)</f>
        <v>0.46636197197937979</v>
      </c>
      <c r="E44" s="367">
        <f t="shared" si="4"/>
        <v>1.1311227697842763E-3</v>
      </c>
      <c r="F44" s="362">
        <f t="shared" si="5"/>
        <v>2.4313150594076007E-3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2486</v>
      </c>
      <c r="D45" s="369">
        <v>2320</v>
      </c>
      <c r="E45" s="369">
        <f t="shared" si="4"/>
        <v>-166</v>
      </c>
      <c r="F45" s="362">
        <f t="shared" si="5"/>
        <v>-6.6773934030571205E-2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610</v>
      </c>
      <c r="C46" s="372">
        <v>0.94640000000000002</v>
      </c>
      <c r="D46" s="372">
        <v>0.97450000000000003</v>
      </c>
      <c r="E46" s="373">
        <f t="shared" si="4"/>
        <v>2.8100000000000014E-2</v>
      </c>
      <c r="F46" s="362">
        <f t="shared" si="5"/>
        <v>2.969146238377009E-2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611</v>
      </c>
      <c r="C47" s="376">
        <f>C45*C46</f>
        <v>2352.7503999999999</v>
      </c>
      <c r="D47" s="376">
        <f>LN_IB4*LN_IB5</f>
        <v>2260.84</v>
      </c>
      <c r="E47" s="376">
        <f t="shared" si="4"/>
        <v>-91.910399999999754</v>
      </c>
      <c r="F47" s="362">
        <f t="shared" si="5"/>
        <v>-3.906508739728607E-2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612</v>
      </c>
      <c r="C48" s="378">
        <f>IF(C47=0,0,C43/C47)</f>
        <v>7957.3039282024993</v>
      </c>
      <c r="D48" s="378">
        <f>IF(LN_IB6=0,0,LN_IB2/LN_IB6)</f>
        <v>7522.0524229932234</v>
      </c>
      <c r="E48" s="378">
        <f t="shared" si="4"/>
        <v>-435.25150520927582</v>
      </c>
      <c r="F48" s="362">
        <f t="shared" si="5"/>
        <v>-5.4698363809712644E-2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628</v>
      </c>
      <c r="C49" s="378">
        <f>C21-C48</f>
        <v>-1008.8546448923644</v>
      </c>
      <c r="D49" s="378">
        <f>LN_IA7-LN_IB7</f>
        <v>-835.79039544372426</v>
      </c>
      <c r="E49" s="378">
        <f t="shared" si="4"/>
        <v>173.06424944864011</v>
      </c>
      <c r="F49" s="362">
        <f t="shared" si="5"/>
        <v>-0.17154527693838839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629</v>
      </c>
      <c r="C50" s="391">
        <f>C49*C47</f>
        <v>-2373583.1693123681</v>
      </c>
      <c r="D50" s="391">
        <f>LN_IB8*LN_IB6</f>
        <v>-1889588.3576349898</v>
      </c>
      <c r="E50" s="391">
        <f t="shared" si="4"/>
        <v>483994.81167737837</v>
      </c>
      <c r="F50" s="362">
        <f t="shared" si="5"/>
        <v>-0.20390893309948463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7861</v>
      </c>
      <c r="D51" s="369">
        <v>7286</v>
      </c>
      <c r="E51" s="369">
        <f t="shared" si="4"/>
        <v>-575</v>
      </c>
      <c r="F51" s="362">
        <f t="shared" si="5"/>
        <v>-7.314591018954332E-2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613</v>
      </c>
      <c r="C52" s="378">
        <f>IF(C51=0,0,C43/C51)</f>
        <v>2381.5735911461647</v>
      </c>
      <c r="D52" s="378">
        <f>IF(LN_IB10=0,0,LN_IB2/LN_IB10)</f>
        <v>2334.0868789459237</v>
      </c>
      <c r="E52" s="378">
        <f t="shared" si="4"/>
        <v>-47.486712200241072</v>
      </c>
      <c r="F52" s="362">
        <f t="shared" si="5"/>
        <v>-1.9939216817309199E-2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614</v>
      </c>
      <c r="C53" s="379">
        <f>IF(C45=0,0,C51/C45)</f>
        <v>3.162107803700724</v>
      </c>
      <c r="D53" s="379">
        <f>IF(LN_IB4=0,0,LN_IB10/LN_IB4)</f>
        <v>3.1405172413793103</v>
      </c>
      <c r="E53" s="379">
        <f t="shared" si="4"/>
        <v>-2.1590562321413653E-2</v>
      </c>
      <c r="F53" s="362">
        <f t="shared" si="5"/>
        <v>-6.8279020393123453E-3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630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616</v>
      </c>
      <c r="C56" s="361">
        <v>97504016</v>
      </c>
      <c r="D56" s="361">
        <v>92946271</v>
      </c>
      <c r="E56" s="361">
        <f t="shared" ref="E56:E63" si="6">D56-C56</f>
        <v>-4557745</v>
      </c>
      <c r="F56" s="362">
        <f t="shared" ref="F56:F63" si="7">IF(C56=0,0,E56/C56)</f>
        <v>-4.6744177183430068E-2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617</v>
      </c>
      <c r="C57" s="361">
        <v>36311112</v>
      </c>
      <c r="D57" s="361">
        <v>33067146</v>
      </c>
      <c r="E57" s="361">
        <f t="shared" si="6"/>
        <v>-3243966</v>
      </c>
      <c r="F57" s="362">
        <f t="shared" si="7"/>
        <v>-8.9338106748149168E-2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618</v>
      </c>
      <c r="C58" s="366">
        <f>IF(C56=0,0,C57/C56)</f>
        <v>0.37240632221753822</v>
      </c>
      <c r="D58" s="366">
        <f>IF(LN_IB13=0,0,LN_IB14/LN_IB13)</f>
        <v>0.35576624693205822</v>
      </c>
      <c r="E58" s="367">
        <f t="shared" si="6"/>
        <v>-1.6640075285480005E-2</v>
      </c>
      <c r="F58" s="362">
        <f t="shared" si="7"/>
        <v>-4.4682580001313282E-2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619</v>
      </c>
      <c r="C59" s="366">
        <f>IF(C42=0,0,C56/C42)</f>
        <v>2.4229765251822624</v>
      </c>
      <c r="D59" s="366">
        <f>IF(LN_IB1=0,0,LN_IB13/LN_IB1)</f>
        <v>2.5488772232133243</v>
      </c>
      <c r="E59" s="367">
        <f t="shared" si="6"/>
        <v>0.12590069803106196</v>
      </c>
      <c r="F59" s="362">
        <f t="shared" si="7"/>
        <v>5.1961171196898574E-2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620</v>
      </c>
      <c r="C60" s="376">
        <f>C59*C45</f>
        <v>6023.519641603104</v>
      </c>
      <c r="D60" s="376">
        <f>LN_IB16*LN_IB4</f>
        <v>5913.3951578549122</v>
      </c>
      <c r="E60" s="376">
        <f t="shared" si="6"/>
        <v>-110.12448374819178</v>
      </c>
      <c r="F60" s="362">
        <f t="shared" si="7"/>
        <v>-1.8282414651325542E-2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621</v>
      </c>
      <c r="C61" s="378">
        <f>IF(C60=0,0,C57/C60)</f>
        <v>6028.2217308975414</v>
      </c>
      <c r="D61" s="378">
        <f>IF(LN_IB17=0,0,LN_IB14/LN_IB17)</f>
        <v>5591.9053466393289</v>
      </c>
      <c r="E61" s="378">
        <f t="shared" si="6"/>
        <v>-436.31638425821257</v>
      </c>
      <c r="F61" s="362">
        <f t="shared" si="7"/>
        <v>-7.237895414859756E-2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631</v>
      </c>
      <c r="C62" s="378">
        <f>C32-C61</f>
        <v>-330.01698411264897</v>
      </c>
      <c r="D62" s="378">
        <f>LN_IA16-LN_IB18</f>
        <v>-359.79640380318779</v>
      </c>
      <c r="E62" s="378">
        <f t="shared" si="6"/>
        <v>-29.779419690538816</v>
      </c>
      <c r="F62" s="362">
        <f t="shared" si="7"/>
        <v>9.023602155086001E-2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632</v>
      </c>
      <c r="C63" s="361">
        <f>C62*C60</f>
        <v>-1987863.7858651606</v>
      </c>
      <c r="D63" s="361">
        <f>LN_IB19*LN_IB17</f>
        <v>-2127618.3120633815</v>
      </c>
      <c r="E63" s="361">
        <f t="shared" si="6"/>
        <v>-139754.5261982209</v>
      </c>
      <c r="F63" s="362">
        <f t="shared" si="7"/>
        <v>7.0303874537055749E-2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633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623</v>
      </c>
      <c r="C66" s="361">
        <f>C42+C56</f>
        <v>137745436</v>
      </c>
      <c r="D66" s="361">
        <f>LN_IB1+LN_IB13</f>
        <v>129411845</v>
      </c>
      <c r="E66" s="361">
        <f>D66-C66</f>
        <v>-8333591</v>
      </c>
      <c r="F66" s="362">
        <f>IF(C66=0,0,E66/C66)</f>
        <v>-6.0499942807542458E-2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624</v>
      </c>
      <c r="C67" s="361">
        <f>C43+C57</f>
        <v>55032662</v>
      </c>
      <c r="D67" s="361">
        <f>LN_IB2+LN_IB14</f>
        <v>50073303</v>
      </c>
      <c r="E67" s="361">
        <f>D67-C67</f>
        <v>-4959359</v>
      </c>
      <c r="F67" s="362">
        <f>IF(C67=0,0,E67/C67)</f>
        <v>-9.0116647455650969E-2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625</v>
      </c>
      <c r="C68" s="361">
        <f>C66-C67</f>
        <v>82712774</v>
      </c>
      <c r="D68" s="361">
        <f>LN_IB21-LN_IB22</f>
        <v>79338542</v>
      </c>
      <c r="E68" s="361">
        <f>D68-C68</f>
        <v>-3374232</v>
      </c>
      <c r="F68" s="362">
        <f>IF(C68=0,0,E68/C68)</f>
        <v>-4.0794569409556981E-2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634</v>
      </c>
      <c r="C70" s="353">
        <f>C50+C63</f>
        <v>-4361446.9551775288</v>
      </c>
      <c r="D70" s="353">
        <f>LN_IB9+LN_IB20</f>
        <v>-4017206.6696983716</v>
      </c>
      <c r="E70" s="361">
        <f>D70-C70</f>
        <v>344240.28547915723</v>
      </c>
      <c r="F70" s="362">
        <f>IF(C70=0,0,E70/C70)</f>
        <v>-7.8928000046063901E-2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635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636</v>
      </c>
      <c r="C73" s="400">
        <v>121599557</v>
      </c>
      <c r="D73" s="400">
        <v>122450596</v>
      </c>
      <c r="E73" s="400">
        <f>D73-C73</f>
        <v>851039</v>
      </c>
      <c r="F73" s="401">
        <f>IF(C73=0,0,E73/C73)</f>
        <v>6.9987014837562282E-3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637</v>
      </c>
      <c r="C74" s="400">
        <v>53040369</v>
      </c>
      <c r="D74" s="400">
        <v>58072723</v>
      </c>
      <c r="E74" s="400">
        <f>D74-C74</f>
        <v>5032354</v>
      </c>
      <c r="F74" s="401">
        <f>IF(C74=0,0,E74/C74)</f>
        <v>9.4877809013734424E-2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638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639</v>
      </c>
      <c r="C76" s="353">
        <f>C73-C74</f>
        <v>68559188</v>
      </c>
      <c r="D76" s="353">
        <f>LN_IB32-LN_IB33</f>
        <v>64377873</v>
      </c>
      <c r="E76" s="400">
        <f>D76-C76</f>
        <v>-4181315</v>
      </c>
      <c r="F76" s="401">
        <f>IF(C76=0,0,E76/C76)</f>
        <v>-6.0988397353830971E-2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640</v>
      </c>
      <c r="C77" s="366">
        <f>IF(C73=0,0,C76/C73)</f>
        <v>0.56381116585811242</v>
      </c>
      <c r="D77" s="366">
        <f>IF(LN_IB1=0,0,LN_IB34/LN_IB32)</f>
        <v>0.52574568930640397</v>
      </c>
      <c r="E77" s="405">
        <f>D77-C77</f>
        <v>-3.8065476551708444E-2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641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642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607</v>
      </c>
      <c r="C83" s="361">
        <v>778948</v>
      </c>
      <c r="D83" s="361">
        <v>814154</v>
      </c>
      <c r="E83" s="361">
        <f t="shared" ref="E83:E95" si="8">D83-C83</f>
        <v>35206</v>
      </c>
      <c r="F83" s="362">
        <f t="shared" ref="F83:F95" si="9">IF(C83=0,0,E83/C83)</f>
        <v>4.5196855245793047E-2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608</v>
      </c>
      <c r="C84" s="361">
        <v>27969</v>
      </c>
      <c r="D84" s="361">
        <v>20077</v>
      </c>
      <c r="E84" s="361">
        <f t="shared" si="8"/>
        <v>-7892</v>
      </c>
      <c r="F84" s="362">
        <f t="shared" si="9"/>
        <v>-0.28216954485323037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609</v>
      </c>
      <c r="C85" s="366">
        <f>IF(C83=0,0,C84/C83)</f>
        <v>3.5906119535578755E-2</v>
      </c>
      <c r="D85" s="366">
        <f>IF(LN_IC1=0,0,LN_IC2/LN_IC1)</f>
        <v>2.465995376796036E-2</v>
      </c>
      <c r="E85" s="367">
        <f t="shared" si="8"/>
        <v>-1.1246165767618395E-2</v>
      </c>
      <c r="F85" s="362">
        <f t="shared" si="9"/>
        <v>-0.3132102803945373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64</v>
      </c>
      <c r="D86" s="369">
        <v>38</v>
      </c>
      <c r="E86" s="369">
        <f t="shared" si="8"/>
        <v>-26</v>
      </c>
      <c r="F86" s="362">
        <f t="shared" si="9"/>
        <v>-0.40625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610</v>
      </c>
      <c r="C87" s="372">
        <v>0.89229999999999998</v>
      </c>
      <c r="D87" s="372">
        <v>0.8296</v>
      </c>
      <c r="E87" s="373">
        <f t="shared" si="8"/>
        <v>-6.2699999999999978E-2</v>
      </c>
      <c r="F87" s="362">
        <f t="shared" si="9"/>
        <v>-7.0267847136613229E-2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611</v>
      </c>
      <c r="C88" s="376">
        <f>C86*C87</f>
        <v>57.107199999999999</v>
      </c>
      <c r="D88" s="376">
        <f>LN_IC4*LN_IC5</f>
        <v>31.524799999999999</v>
      </c>
      <c r="E88" s="376">
        <f t="shared" si="8"/>
        <v>-25.5824</v>
      </c>
      <c r="F88" s="362">
        <f t="shared" si="9"/>
        <v>-0.44797153423736413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612</v>
      </c>
      <c r="C89" s="378">
        <f>IF(C88=0,0,C84/C88)</f>
        <v>489.76311218200158</v>
      </c>
      <c r="D89" s="378">
        <f>IF(LN_IC6=0,0,LN_IC2/LN_IC6)</f>
        <v>636.86367558239863</v>
      </c>
      <c r="E89" s="378">
        <f t="shared" si="8"/>
        <v>147.10056340039705</v>
      </c>
      <c r="F89" s="362">
        <f t="shared" si="9"/>
        <v>0.30035043420283725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643</v>
      </c>
      <c r="C90" s="378">
        <f>C48-C89</f>
        <v>7467.5408160204979</v>
      </c>
      <c r="D90" s="378">
        <f>LN_IB7-LN_IC7</f>
        <v>6885.1887474108244</v>
      </c>
      <c r="E90" s="378">
        <f t="shared" si="8"/>
        <v>-582.35206860967355</v>
      </c>
      <c r="F90" s="362">
        <f t="shared" si="9"/>
        <v>-7.7984450698993679E-2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644</v>
      </c>
      <c r="C91" s="378">
        <f>C21-C89</f>
        <v>6458.6861711281335</v>
      </c>
      <c r="D91" s="378">
        <f>LN_IA7-LN_IC7</f>
        <v>6049.3983519671001</v>
      </c>
      <c r="E91" s="378">
        <f t="shared" si="8"/>
        <v>-409.28781916103344</v>
      </c>
      <c r="F91" s="362">
        <f t="shared" si="9"/>
        <v>-6.3370135708195191E-2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629</v>
      </c>
      <c r="C92" s="353">
        <f>C91*C88</f>
        <v>368837.48291184852</v>
      </c>
      <c r="D92" s="353">
        <f>LN_IC9*LN_IC6</f>
        <v>190706.07316609242</v>
      </c>
      <c r="E92" s="353">
        <f t="shared" si="8"/>
        <v>-178131.4097457561</v>
      </c>
      <c r="F92" s="362">
        <f t="shared" si="9"/>
        <v>-0.48295365302752913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241</v>
      </c>
      <c r="D93" s="369">
        <v>157</v>
      </c>
      <c r="E93" s="369">
        <f t="shared" si="8"/>
        <v>-84</v>
      </c>
      <c r="F93" s="362">
        <f t="shared" si="9"/>
        <v>-0.34854771784232363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613</v>
      </c>
      <c r="C94" s="411">
        <f>IF(C93=0,0,C84/C93)</f>
        <v>116.0539419087137</v>
      </c>
      <c r="D94" s="411">
        <f>IF(LN_IC11=0,0,LN_IC2/LN_IC11)</f>
        <v>127.87898089171975</v>
      </c>
      <c r="E94" s="411">
        <f t="shared" si="8"/>
        <v>11.825038983006053</v>
      </c>
      <c r="F94" s="362">
        <f t="shared" si="9"/>
        <v>0.10189260949281199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614</v>
      </c>
      <c r="C95" s="379">
        <f>IF(C86=0,0,C93/C86)</f>
        <v>3.765625</v>
      </c>
      <c r="D95" s="379">
        <f>IF(LN_IC4=0,0,LN_IC11/LN_IC4)</f>
        <v>4.1315789473684212</v>
      </c>
      <c r="E95" s="379">
        <f t="shared" si="8"/>
        <v>0.36595394736842124</v>
      </c>
      <c r="F95" s="362">
        <f t="shared" si="9"/>
        <v>9.7182791002402319E-2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645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616</v>
      </c>
      <c r="C98" s="361">
        <v>5736491</v>
      </c>
      <c r="D98" s="361">
        <v>5148409</v>
      </c>
      <c r="E98" s="361">
        <f t="shared" ref="E98:E106" si="10">D98-C98</f>
        <v>-588082</v>
      </c>
      <c r="F98" s="362">
        <f t="shared" ref="F98:F106" si="11">IF(C98=0,0,E98/C98)</f>
        <v>-0.10251598058813306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617</v>
      </c>
      <c r="C99" s="361">
        <v>379481</v>
      </c>
      <c r="D99" s="361">
        <v>267960</v>
      </c>
      <c r="E99" s="361">
        <f t="shared" si="10"/>
        <v>-111521</v>
      </c>
      <c r="F99" s="362">
        <f t="shared" si="11"/>
        <v>-0.29387769084618204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618</v>
      </c>
      <c r="C100" s="366">
        <f>IF(C98=0,0,C99/C98)</f>
        <v>6.6152112850869985E-2</v>
      </c>
      <c r="D100" s="366">
        <f>IF(LN_IC14=0,0,LN_IC15/LN_IC14)</f>
        <v>5.2047146992400956E-2</v>
      </c>
      <c r="E100" s="367">
        <f t="shared" si="10"/>
        <v>-1.4104965858469029E-2</v>
      </c>
      <c r="F100" s="362">
        <f t="shared" si="11"/>
        <v>-0.21322018678778346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619</v>
      </c>
      <c r="C101" s="366">
        <f>IF(C83=0,0,C98/C83)</f>
        <v>7.3644081504798784</v>
      </c>
      <c r="D101" s="366">
        <f>IF(LN_IC1=0,0,LN_IC14/LN_IC1)</f>
        <v>6.3236304188151138</v>
      </c>
      <c r="E101" s="367">
        <f t="shared" si="10"/>
        <v>-1.0407777316647646</v>
      </c>
      <c r="F101" s="362">
        <f t="shared" si="11"/>
        <v>-0.14132537339024936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620</v>
      </c>
      <c r="C102" s="376">
        <f>C101*C86</f>
        <v>471.32212163071222</v>
      </c>
      <c r="D102" s="376">
        <f>LN_IC17*LN_IC4</f>
        <v>240.29795591497432</v>
      </c>
      <c r="E102" s="376">
        <f t="shared" si="10"/>
        <v>-231.02416571573789</v>
      </c>
      <c r="F102" s="362">
        <f t="shared" si="11"/>
        <v>-0.49016194045046058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621</v>
      </c>
      <c r="C103" s="378">
        <f>IF(C102=0,0,C99/C102)</f>
        <v>805.14150001499172</v>
      </c>
      <c r="D103" s="378">
        <f>IF(LN_IC18=0,0,LN_IC15/LN_IC18)</f>
        <v>1115.1156029592423</v>
      </c>
      <c r="E103" s="378">
        <f t="shared" si="10"/>
        <v>309.9741029442506</v>
      </c>
      <c r="F103" s="362">
        <f t="shared" si="11"/>
        <v>0.38499332469942105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646</v>
      </c>
      <c r="C104" s="378">
        <f>C61-C103</f>
        <v>5223.0802308825496</v>
      </c>
      <c r="D104" s="378">
        <f>LN_IB18-LN_IC19</f>
        <v>4476.7897436800868</v>
      </c>
      <c r="E104" s="378">
        <f t="shared" si="10"/>
        <v>-746.29048720246283</v>
      </c>
      <c r="F104" s="362">
        <f t="shared" si="11"/>
        <v>-0.14288321339386381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647</v>
      </c>
      <c r="C105" s="378">
        <f>C32-C103</f>
        <v>4893.0632467699006</v>
      </c>
      <c r="D105" s="378">
        <f>LN_IA16-LN_IC19</f>
        <v>4116.993339876899</v>
      </c>
      <c r="E105" s="378">
        <f t="shared" si="10"/>
        <v>-776.06990689300164</v>
      </c>
      <c r="F105" s="362">
        <f t="shared" si="11"/>
        <v>-0.15860614665165329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632</v>
      </c>
      <c r="C106" s="361">
        <f>C105*C102</f>
        <v>2306208.9507408505</v>
      </c>
      <c r="D106" s="361">
        <f>LN_IC21*LN_IC18</f>
        <v>989305.08408798196</v>
      </c>
      <c r="E106" s="361">
        <f t="shared" si="10"/>
        <v>-1316903.8666528687</v>
      </c>
      <c r="F106" s="362">
        <f t="shared" si="11"/>
        <v>-0.57102539049196921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648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623</v>
      </c>
      <c r="C109" s="361">
        <f>C83+C98</f>
        <v>6515439</v>
      </c>
      <c r="D109" s="361">
        <f>LN_IC1+LN_IC14</f>
        <v>5962563</v>
      </c>
      <c r="E109" s="361">
        <f>D109-C109</f>
        <v>-552876</v>
      </c>
      <c r="F109" s="362">
        <f>IF(C109=0,0,E109/C109)</f>
        <v>-8.4856292876044112E-2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624</v>
      </c>
      <c r="C110" s="361">
        <f>C84+C99</f>
        <v>407450</v>
      </c>
      <c r="D110" s="361">
        <f>LN_IC2+LN_IC15</f>
        <v>288037</v>
      </c>
      <c r="E110" s="361">
        <f>D110-C110</f>
        <v>-119413</v>
      </c>
      <c r="F110" s="362">
        <f>IF(C110=0,0,E110/C110)</f>
        <v>-0.29307399680942448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625</v>
      </c>
      <c r="C111" s="361">
        <f>C109-C110</f>
        <v>6107989</v>
      </c>
      <c r="D111" s="361">
        <f>LN_IC23-LN_IC24</f>
        <v>5674526</v>
      </c>
      <c r="E111" s="361">
        <f>D111-C111</f>
        <v>-433463</v>
      </c>
      <c r="F111" s="362">
        <f>IF(C111=0,0,E111/C111)</f>
        <v>-7.0966565263951856E-2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634</v>
      </c>
      <c r="C113" s="361">
        <f>C92+C106</f>
        <v>2675046.433652699</v>
      </c>
      <c r="D113" s="361">
        <f>LN_IC10+LN_IC22</f>
        <v>1180011.1572540745</v>
      </c>
      <c r="E113" s="361">
        <f>D113-C113</f>
        <v>-1495035.2763986245</v>
      </c>
      <c r="F113" s="362">
        <f>IF(C113=0,0,E113/C113)</f>
        <v>-0.55888199082854684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649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650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607</v>
      </c>
      <c r="C118" s="361">
        <v>17535373</v>
      </c>
      <c r="D118" s="361">
        <v>21507928</v>
      </c>
      <c r="E118" s="361">
        <f t="shared" ref="E118:E130" si="12">D118-C118</f>
        <v>3972555</v>
      </c>
      <c r="F118" s="362">
        <f t="shared" ref="F118:F130" si="13">IF(C118=0,0,E118/C118)</f>
        <v>0.22654522375999644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608</v>
      </c>
      <c r="C119" s="361">
        <v>4882557</v>
      </c>
      <c r="D119" s="361">
        <v>6632224</v>
      </c>
      <c r="E119" s="361">
        <f t="shared" si="12"/>
        <v>1749667</v>
      </c>
      <c r="F119" s="362">
        <f t="shared" si="13"/>
        <v>0.35835055279436573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609</v>
      </c>
      <c r="C120" s="366">
        <f>IF(C118=0,0,C119/C118)</f>
        <v>0.27844044150073111</v>
      </c>
      <c r="D120" s="366">
        <f>IF(LN_ID1=0,0,LN_1D2/LN_ID1)</f>
        <v>0.3083618282523542</v>
      </c>
      <c r="E120" s="367">
        <f t="shared" si="12"/>
        <v>2.9921386751623091E-2</v>
      </c>
      <c r="F120" s="362">
        <f t="shared" si="13"/>
        <v>0.10746063535294505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1325</v>
      </c>
      <c r="D121" s="369">
        <v>1593</v>
      </c>
      <c r="E121" s="369">
        <f t="shared" si="12"/>
        <v>268</v>
      </c>
      <c r="F121" s="362">
        <f t="shared" si="13"/>
        <v>0.20226415094339623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610</v>
      </c>
      <c r="C122" s="372">
        <v>0.83899999999999997</v>
      </c>
      <c r="D122" s="372">
        <v>0.93069999999999997</v>
      </c>
      <c r="E122" s="373">
        <f t="shared" si="12"/>
        <v>9.1700000000000004E-2</v>
      </c>
      <c r="F122" s="362">
        <f t="shared" si="13"/>
        <v>0.10929678188319429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611</v>
      </c>
      <c r="C123" s="376">
        <f>C121*C122</f>
        <v>1111.675</v>
      </c>
      <c r="D123" s="376">
        <f>LN_ID4*LN_ID5</f>
        <v>1482.6051</v>
      </c>
      <c r="E123" s="376">
        <f t="shared" si="12"/>
        <v>370.93010000000004</v>
      </c>
      <c r="F123" s="362">
        <f t="shared" si="13"/>
        <v>0.33366775361504042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612</v>
      </c>
      <c r="C124" s="378">
        <f>IF(C123=0,0,C119/C123)</f>
        <v>4392.0723232959272</v>
      </c>
      <c r="D124" s="378">
        <f>IF(LN_ID6=0,0,LN_1D2/LN_ID6)</f>
        <v>4473.3584148604368</v>
      </c>
      <c r="E124" s="378">
        <f t="shared" si="12"/>
        <v>81.286091564509661</v>
      </c>
      <c r="F124" s="362">
        <f t="shared" si="13"/>
        <v>1.8507457432647745E-2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651</v>
      </c>
      <c r="C125" s="378">
        <f>C48-C124</f>
        <v>3565.2316049065721</v>
      </c>
      <c r="D125" s="378">
        <f>LN_IB7-LN_ID7</f>
        <v>3048.6940081327866</v>
      </c>
      <c r="E125" s="378">
        <f t="shared" si="12"/>
        <v>-516.53759677378548</v>
      </c>
      <c r="F125" s="362">
        <f t="shared" si="13"/>
        <v>-0.14488191904921741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652</v>
      </c>
      <c r="C126" s="378">
        <f>C21-C124</f>
        <v>2556.3769600142077</v>
      </c>
      <c r="D126" s="378">
        <f>LN_IA7-LN_ID7</f>
        <v>2212.9036126890624</v>
      </c>
      <c r="E126" s="378">
        <f t="shared" si="12"/>
        <v>-343.47334732514537</v>
      </c>
      <c r="F126" s="362">
        <f t="shared" si="13"/>
        <v>-0.13435942847929455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629</v>
      </c>
      <c r="C127" s="391">
        <f>C126*C123</f>
        <v>2841860.3570237942</v>
      </c>
      <c r="D127" s="391">
        <f>LN_ID9*LN_ID6</f>
        <v>3280862.1819812288</v>
      </c>
      <c r="E127" s="391">
        <f t="shared" si="12"/>
        <v>439001.82495743455</v>
      </c>
      <c r="F127" s="362">
        <f t="shared" si="13"/>
        <v>0.15447691645805905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4218</v>
      </c>
      <c r="D128" s="369">
        <v>5653</v>
      </c>
      <c r="E128" s="369">
        <f t="shared" si="12"/>
        <v>1435</v>
      </c>
      <c r="F128" s="362">
        <f t="shared" si="13"/>
        <v>0.34020862968231391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613</v>
      </c>
      <c r="C129" s="378">
        <f>IF(C128=0,0,C119/C128)</f>
        <v>1157.5526315789473</v>
      </c>
      <c r="D129" s="378">
        <f>IF(LN_ID11=0,0,LN_1D2/LN_ID11)</f>
        <v>1173.2220060145055</v>
      </c>
      <c r="E129" s="378">
        <f t="shared" si="12"/>
        <v>15.669374435558211</v>
      </c>
      <c r="F129" s="362">
        <f t="shared" si="13"/>
        <v>1.3536641020101667E-2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614</v>
      </c>
      <c r="C130" s="379">
        <f>IF(C121=0,0,C128/C121)</f>
        <v>3.1833962264150943</v>
      </c>
      <c r="D130" s="379">
        <f>IF(LN_ID4=0,0,LN_ID11/LN_ID4)</f>
        <v>3.5486503452605147</v>
      </c>
      <c r="E130" s="379">
        <f t="shared" si="12"/>
        <v>0.36525411884542036</v>
      </c>
      <c r="F130" s="362">
        <f t="shared" si="13"/>
        <v>0.11473724691090137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653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616</v>
      </c>
      <c r="C133" s="361">
        <v>31424389</v>
      </c>
      <c r="D133" s="361">
        <v>45610048</v>
      </c>
      <c r="E133" s="361">
        <f t="shared" ref="E133:E141" si="14">D133-C133</f>
        <v>14185659</v>
      </c>
      <c r="F133" s="362">
        <f t="shared" ref="F133:F141" si="15">IF(C133=0,0,E133/C133)</f>
        <v>0.45142195127485213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617</v>
      </c>
      <c r="C134" s="361">
        <v>7604701</v>
      </c>
      <c r="D134" s="361">
        <v>11612683</v>
      </c>
      <c r="E134" s="361">
        <f t="shared" si="14"/>
        <v>4007982</v>
      </c>
      <c r="F134" s="362">
        <f t="shared" si="15"/>
        <v>0.52704005062131964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618</v>
      </c>
      <c r="C135" s="366">
        <f>IF(C133=0,0,C134/C133)</f>
        <v>0.24199996378608984</v>
      </c>
      <c r="D135" s="366">
        <f>IF(LN_ID14=0,0,LN_ID15/LN_ID14)</f>
        <v>0.25460799778154147</v>
      </c>
      <c r="E135" s="367">
        <f t="shared" si="14"/>
        <v>1.2608033995451629E-2</v>
      </c>
      <c r="F135" s="362">
        <f t="shared" si="15"/>
        <v>5.2099321827156153E-2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619</v>
      </c>
      <c r="C136" s="366">
        <f>IF(C118=0,0,C133/C118)</f>
        <v>1.7920570608905781</v>
      </c>
      <c r="D136" s="366">
        <f>IF(LN_ID1=0,0,LN_ID14/LN_ID1)</f>
        <v>2.1206156167158454</v>
      </c>
      <c r="E136" s="367">
        <f t="shared" si="14"/>
        <v>0.32855855582526727</v>
      </c>
      <c r="F136" s="362">
        <f t="shared" si="15"/>
        <v>0.1833415704196312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620</v>
      </c>
      <c r="C137" s="376">
        <f>C136*C121</f>
        <v>2374.4756056800161</v>
      </c>
      <c r="D137" s="376">
        <f>LN_ID17*LN_ID4</f>
        <v>3378.1406774283419</v>
      </c>
      <c r="E137" s="376">
        <f t="shared" si="14"/>
        <v>1003.6650717483258</v>
      </c>
      <c r="F137" s="362">
        <f t="shared" si="15"/>
        <v>0.42268914843658306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621</v>
      </c>
      <c r="C138" s="378">
        <f>IF(C137=0,0,C134/C137)</f>
        <v>3202.6865139438319</v>
      </c>
      <c r="D138" s="378">
        <f>IF(LN_ID18=0,0,LN_ID15/LN_ID18)</f>
        <v>3437.5960354736681</v>
      </c>
      <c r="E138" s="378">
        <f t="shared" si="14"/>
        <v>234.90952152983618</v>
      </c>
      <c r="F138" s="362">
        <f t="shared" si="15"/>
        <v>7.3347647516261397E-2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654</v>
      </c>
      <c r="C139" s="378">
        <f>C61-C138</f>
        <v>2825.5352169537096</v>
      </c>
      <c r="D139" s="378">
        <f>LN_IB18-LN_ID19</f>
        <v>2154.3093111656608</v>
      </c>
      <c r="E139" s="378">
        <f t="shared" si="14"/>
        <v>-671.22590578804875</v>
      </c>
      <c r="F139" s="362">
        <f t="shared" si="15"/>
        <v>-0.23755708361395567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655</v>
      </c>
      <c r="C140" s="378">
        <f>C32-C138</f>
        <v>2495.5182328410606</v>
      </c>
      <c r="D140" s="378">
        <f>LN_IA16-LN_ID19</f>
        <v>1794.512907362473</v>
      </c>
      <c r="E140" s="378">
        <f t="shared" si="14"/>
        <v>-701.00532547858757</v>
      </c>
      <c r="F140" s="362">
        <f t="shared" si="15"/>
        <v>-0.28090571178897678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632</v>
      </c>
      <c r="C141" s="353">
        <f>C140*C137</f>
        <v>5925547.1674108012</v>
      </c>
      <c r="D141" s="353">
        <f>LN_ID21*LN_ID18</f>
        <v>6062117.0485313674</v>
      </c>
      <c r="E141" s="353">
        <f t="shared" si="14"/>
        <v>136569.88112056628</v>
      </c>
      <c r="F141" s="362">
        <f t="shared" si="15"/>
        <v>2.3047640540551331E-2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656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623</v>
      </c>
      <c r="C144" s="361">
        <f>C118+C133</f>
        <v>48959762</v>
      </c>
      <c r="D144" s="361">
        <f>LN_ID1+LN_ID14</f>
        <v>67117976</v>
      </c>
      <c r="E144" s="361">
        <f>D144-C144</f>
        <v>18158214</v>
      </c>
      <c r="F144" s="362">
        <f>IF(C144=0,0,E144/C144)</f>
        <v>0.370880356812192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624</v>
      </c>
      <c r="C145" s="361">
        <f>C119+C134</f>
        <v>12487258</v>
      </c>
      <c r="D145" s="361">
        <f>LN_1D2+LN_ID15</f>
        <v>18244907</v>
      </c>
      <c r="E145" s="361">
        <f>D145-C145</f>
        <v>5757649</v>
      </c>
      <c r="F145" s="362">
        <f>IF(C145=0,0,E145/C145)</f>
        <v>0.46108192847460988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625</v>
      </c>
      <c r="C146" s="361">
        <f>C144-C145</f>
        <v>36472504</v>
      </c>
      <c r="D146" s="361">
        <f>LN_ID23-LN_ID24</f>
        <v>48873069</v>
      </c>
      <c r="E146" s="361">
        <f>D146-C146</f>
        <v>12400565</v>
      </c>
      <c r="F146" s="362">
        <f>IF(C146=0,0,E146/C146)</f>
        <v>0.33999763218889495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634</v>
      </c>
      <c r="C148" s="361">
        <f>C127+C141</f>
        <v>8767407.5244345963</v>
      </c>
      <c r="D148" s="361">
        <f>LN_ID10+LN_ID22</f>
        <v>9342979.2305125967</v>
      </c>
      <c r="E148" s="361">
        <f>D148-C148</f>
        <v>575571.70607800037</v>
      </c>
      <c r="F148" s="415">
        <f>IF(C148=0,0,E148/C148)</f>
        <v>6.5649019333696199E-2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657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658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607</v>
      </c>
      <c r="C153" s="361">
        <v>4917718</v>
      </c>
      <c r="D153" s="361">
        <v>0</v>
      </c>
      <c r="E153" s="361">
        <f t="shared" ref="E153:E165" si="16">D153-C153</f>
        <v>-4917718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608</v>
      </c>
      <c r="C154" s="361">
        <v>977565</v>
      </c>
      <c r="D154" s="361">
        <v>0</v>
      </c>
      <c r="E154" s="361">
        <f t="shared" si="16"/>
        <v>-977565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609</v>
      </c>
      <c r="C155" s="366">
        <f>IF(C153=0,0,C154/C153)</f>
        <v>0.19878427351873368</v>
      </c>
      <c r="D155" s="366">
        <f>IF(LN_IE1=0,0,LN_IE2/LN_IE1)</f>
        <v>0</v>
      </c>
      <c r="E155" s="367">
        <f t="shared" si="16"/>
        <v>-0.19878427351873368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360</v>
      </c>
      <c r="D156" s="419">
        <v>0</v>
      </c>
      <c r="E156" s="419">
        <f t="shared" si="16"/>
        <v>-360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610</v>
      </c>
      <c r="C157" s="372">
        <v>0.91120000000000001</v>
      </c>
      <c r="D157" s="372">
        <v>0</v>
      </c>
      <c r="E157" s="373">
        <f t="shared" si="16"/>
        <v>-0.91120000000000001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611</v>
      </c>
      <c r="C158" s="376">
        <f>C156*C157</f>
        <v>328.03199999999998</v>
      </c>
      <c r="D158" s="376">
        <f>LN_IE4*LN_IE5</f>
        <v>0</v>
      </c>
      <c r="E158" s="376">
        <f t="shared" si="16"/>
        <v>-328.03199999999998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612</v>
      </c>
      <c r="C159" s="378">
        <f>IF(C158=0,0,C154/C158)</f>
        <v>2980.090357038338</v>
      </c>
      <c r="D159" s="378">
        <f>IF(LN_IE6=0,0,LN_IE2/LN_IE6)</f>
        <v>0</v>
      </c>
      <c r="E159" s="378">
        <f t="shared" si="16"/>
        <v>-2980.090357038338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659</v>
      </c>
      <c r="C160" s="378">
        <f>C48-C159</f>
        <v>4977.2135711641613</v>
      </c>
      <c r="D160" s="378">
        <f>LN_IB7-LN_IE7</f>
        <v>7522.0524229932234</v>
      </c>
      <c r="E160" s="378">
        <f t="shared" si="16"/>
        <v>2544.8388518290622</v>
      </c>
      <c r="F160" s="362">
        <f t="shared" si="17"/>
        <v>0.5112979010128812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660</v>
      </c>
      <c r="C161" s="378">
        <f>C21-C159</f>
        <v>3968.3589262717969</v>
      </c>
      <c r="D161" s="378">
        <f>LN_IA7-LN_IE7</f>
        <v>6686.2620275494992</v>
      </c>
      <c r="E161" s="378">
        <f t="shared" si="16"/>
        <v>2717.9031012777023</v>
      </c>
      <c r="F161" s="362">
        <f t="shared" si="17"/>
        <v>0.68489346648669303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629</v>
      </c>
      <c r="C162" s="391">
        <f>C161*C158</f>
        <v>1301748.71530279</v>
      </c>
      <c r="D162" s="391">
        <f>LN_IE9*LN_IE6</f>
        <v>0</v>
      </c>
      <c r="E162" s="391">
        <f t="shared" si="16"/>
        <v>-1301748.71530279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1292</v>
      </c>
      <c r="D163" s="369">
        <v>0</v>
      </c>
      <c r="E163" s="419">
        <f t="shared" si="16"/>
        <v>-1292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613</v>
      </c>
      <c r="C164" s="378">
        <f>IF(C163=0,0,C154/C163)</f>
        <v>756.62925696594425</v>
      </c>
      <c r="D164" s="378">
        <f>IF(LN_IE11=0,0,LN_IE2/LN_IE11)</f>
        <v>0</v>
      </c>
      <c r="E164" s="378">
        <f t="shared" si="16"/>
        <v>-756.62925696594425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614</v>
      </c>
      <c r="C165" s="379">
        <f>IF(C156=0,0,C163/C156)</f>
        <v>3.588888888888889</v>
      </c>
      <c r="D165" s="379">
        <f>IF(LN_IE4=0,0,LN_IE11/LN_IE4)</f>
        <v>0</v>
      </c>
      <c r="E165" s="379">
        <f t="shared" si="16"/>
        <v>-3.588888888888889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661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616</v>
      </c>
      <c r="C168" s="424">
        <v>7396165</v>
      </c>
      <c r="D168" s="424">
        <v>0</v>
      </c>
      <c r="E168" s="424">
        <f t="shared" ref="E168:E176" si="18">D168-C168</f>
        <v>-7396165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617</v>
      </c>
      <c r="C169" s="424">
        <v>1056115</v>
      </c>
      <c r="D169" s="424">
        <v>0</v>
      </c>
      <c r="E169" s="424">
        <f t="shared" si="18"/>
        <v>-1056115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618</v>
      </c>
      <c r="C170" s="366">
        <f>IF(C168=0,0,C169/C168)</f>
        <v>0.14279224435906987</v>
      </c>
      <c r="D170" s="366">
        <f>IF(LN_IE14=0,0,LN_IE15/LN_IE14)</f>
        <v>0</v>
      </c>
      <c r="E170" s="367">
        <f t="shared" si="18"/>
        <v>-0.14279224435906987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619</v>
      </c>
      <c r="C171" s="366">
        <f>IF(C153=0,0,C168/C153)</f>
        <v>1.5039831482813777</v>
      </c>
      <c r="D171" s="366">
        <f>IF(LN_IE1=0,0,LN_IE14/LN_IE1)</f>
        <v>0</v>
      </c>
      <c r="E171" s="367">
        <f t="shared" si="18"/>
        <v>-1.5039831482813777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620</v>
      </c>
      <c r="C172" s="376">
        <f>C171*C156</f>
        <v>541.43393338129601</v>
      </c>
      <c r="D172" s="376">
        <f>LN_IE17*LN_IE4</f>
        <v>0</v>
      </c>
      <c r="E172" s="376">
        <f t="shared" si="18"/>
        <v>-541.43393338129601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621</v>
      </c>
      <c r="C173" s="378">
        <f>IF(C172=0,0,C169/C172)</f>
        <v>1950.5888620694341</v>
      </c>
      <c r="D173" s="378">
        <f>IF(LN_IE18=0,0,LN_IE15/LN_IE18)</f>
        <v>0</v>
      </c>
      <c r="E173" s="378">
        <f t="shared" si="18"/>
        <v>-1950.5888620694341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662</v>
      </c>
      <c r="C174" s="378">
        <f>C61-C173</f>
        <v>4077.6328688281073</v>
      </c>
      <c r="D174" s="378">
        <f>LN_IB18-LN_IE19</f>
        <v>5591.9053466393289</v>
      </c>
      <c r="E174" s="378">
        <f t="shared" si="18"/>
        <v>1514.2724778112215</v>
      </c>
      <c r="F174" s="362">
        <f t="shared" si="19"/>
        <v>0.37136067089002456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663</v>
      </c>
      <c r="C175" s="378">
        <f>C32-C173</f>
        <v>3747.6158847154584</v>
      </c>
      <c r="D175" s="378">
        <f>LN_IA16-LN_IE19</f>
        <v>5232.1089428361411</v>
      </c>
      <c r="E175" s="378">
        <f t="shared" si="18"/>
        <v>1484.4930581206827</v>
      </c>
      <c r="F175" s="362">
        <f t="shared" si="19"/>
        <v>0.39611665223619746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632</v>
      </c>
      <c r="C176" s="353">
        <f>C175*C172</f>
        <v>2029086.4092637163</v>
      </c>
      <c r="D176" s="353">
        <f>LN_IE21*LN_IE18</f>
        <v>0</v>
      </c>
      <c r="E176" s="353">
        <f t="shared" si="18"/>
        <v>-2029086.4092637163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664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623</v>
      </c>
      <c r="C179" s="361">
        <f>C153+C168</f>
        <v>12313883</v>
      </c>
      <c r="D179" s="361">
        <f>LN_IE1+LN_IE14</f>
        <v>0</v>
      </c>
      <c r="E179" s="361">
        <f>D179-C179</f>
        <v>-12313883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624</v>
      </c>
      <c r="C180" s="361">
        <f>C154+C169</f>
        <v>2033680</v>
      </c>
      <c r="D180" s="361">
        <f>LN_IE15+LN_IE2</f>
        <v>0</v>
      </c>
      <c r="E180" s="361">
        <f>D180-C180</f>
        <v>-2033680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625</v>
      </c>
      <c r="C181" s="361">
        <f>C179-C180</f>
        <v>10280203</v>
      </c>
      <c r="D181" s="361">
        <f>LN_IE23-LN_IE24</f>
        <v>0</v>
      </c>
      <c r="E181" s="361">
        <f>D181-C181</f>
        <v>-10280203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665</v>
      </c>
      <c r="C183" s="361">
        <f>C162+C176</f>
        <v>3330835.1245665066</v>
      </c>
      <c r="D183" s="361">
        <f>LN_IE10+LN_IE22</f>
        <v>0</v>
      </c>
      <c r="E183" s="353">
        <f>D183-C183</f>
        <v>-3330835.1245665066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666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667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607</v>
      </c>
      <c r="C188" s="361">
        <f>C118+C153</f>
        <v>22453091</v>
      </c>
      <c r="D188" s="361">
        <f>LN_ID1+LN_IE1</f>
        <v>21507928</v>
      </c>
      <c r="E188" s="361">
        <f t="shared" ref="E188:E200" si="20">D188-C188</f>
        <v>-945163</v>
      </c>
      <c r="F188" s="362">
        <f t="shared" ref="F188:F200" si="21">IF(C188=0,0,E188/C188)</f>
        <v>-4.2095005983808644E-2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608</v>
      </c>
      <c r="C189" s="361">
        <f>C119+C154</f>
        <v>5860122</v>
      </c>
      <c r="D189" s="361">
        <f>LN_1D2+LN_IE2</f>
        <v>6632224</v>
      </c>
      <c r="E189" s="361">
        <f t="shared" si="20"/>
        <v>772102</v>
      </c>
      <c r="F189" s="362">
        <f t="shared" si="21"/>
        <v>0.13175527744985513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609</v>
      </c>
      <c r="C190" s="366">
        <f>IF(C188=0,0,C189/C188)</f>
        <v>0.26099399855458655</v>
      </c>
      <c r="D190" s="366">
        <f>IF(LN_IF1=0,0,LN_IF2/LN_IF1)</f>
        <v>0.3083618282523542</v>
      </c>
      <c r="E190" s="367">
        <f t="shared" si="20"/>
        <v>4.7367829697767649E-2</v>
      </c>
      <c r="F190" s="362">
        <f t="shared" si="21"/>
        <v>0.18149011073088231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1685</v>
      </c>
      <c r="D191" s="369">
        <f>LN_ID4+LN_IE4</f>
        <v>1593</v>
      </c>
      <c r="E191" s="369">
        <f t="shared" si="20"/>
        <v>-92</v>
      </c>
      <c r="F191" s="362">
        <f t="shared" si="21"/>
        <v>-5.4599406528189912E-2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610</v>
      </c>
      <c r="C192" s="372">
        <f>IF((C121+C156)=0,0,(C123+C158)/(C121+C156))</f>
        <v>0.85442551928783372</v>
      </c>
      <c r="D192" s="372">
        <f>IF((LN_ID4+LN_IE4)=0,0,(LN_ID6+LN_IE6)/(LN_ID4+LN_IE4))</f>
        <v>0.93069999999999997</v>
      </c>
      <c r="E192" s="373">
        <f t="shared" si="20"/>
        <v>7.6274480712166248E-2</v>
      </c>
      <c r="F192" s="362">
        <f t="shared" si="21"/>
        <v>8.9269900056053175E-2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611</v>
      </c>
      <c r="C193" s="376">
        <f>C123+C158</f>
        <v>1439.7069999999999</v>
      </c>
      <c r="D193" s="376">
        <f>LN_IF4*LN_IF5</f>
        <v>1482.6051</v>
      </c>
      <c r="E193" s="376">
        <f t="shared" si="20"/>
        <v>42.898100000000113</v>
      </c>
      <c r="F193" s="362">
        <f t="shared" si="21"/>
        <v>2.9796409963971916E-2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612</v>
      </c>
      <c r="C194" s="378">
        <f>IF(C193=0,0,C189/C193)</f>
        <v>4070.3573713262494</v>
      </c>
      <c r="D194" s="378">
        <f>IF(LN_IF6=0,0,LN_IF2/LN_IF6)</f>
        <v>4473.3584148604368</v>
      </c>
      <c r="E194" s="378">
        <f t="shared" si="20"/>
        <v>403.00104353418737</v>
      </c>
      <c r="F194" s="362">
        <f t="shared" si="21"/>
        <v>9.9008761828418293E-2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668</v>
      </c>
      <c r="C195" s="378">
        <f>C48-C194</f>
        <v>3886.9465568762498</v>
      </c>
      <c r="D195" s="378">
        <f>LN_IB7-LN_IF7</f>
        <v>3048.6940081327866</v>
      </c>
      <c r="E195" s="378">
        <f t="shared" si="20"/>
        <v>-838.25254874346319</v>
      </c>
      <c r="F195" s="362">
        <f t="shared" si="21"/>
        <v>-0.21565836742996694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669</v>
      </c>
      <c r="C196" s="378">
        <f>C21-C194</f>
        <v>2878.0919119838854</v>
      </c>
      <c r="D196" s="378">
        <f>LN_IA7-LN_IF7</f>
        <v>2212.9036126890624</v>
      </c>
      <c r="E196" s="378">
        <f t="shared" si="20"/>
        <v>-665.18829929482308</v>
      </c>
      <c r="F196" s="362">
        <f t="shared" si="21"/>
        <v>-0.231121284391611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629</v>
      </c>
      <c r="C197" s="391">
        <f>C127+C162</f>
        <v>4143609.0723265843</v>
      </c>
      <c r="D197" s="391">
        <f>LN_IF9*LN_IF6</f>
        <v>3280862.1819812288</v>
      </c>
      <c r="E197" s="391">
        <f t="shared" si="20"/>
        <v>-862746.8903453555</v>
      </c>
      <c r="F197" s="362">
        <f t="shared" si="21"/>
        <v>-0.20821145896877138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5510</v>
      </c>
      <c r="D198" s="369">
        <f>LN_ID11+LN_IE11</f>
        <v>5653</v>
      </c>
      <c r="E198" s="369">
        <f t="shared" si="20"/>
        <v>143</v>
      </c>
      <c r="F198" s="362">
        <f t="shared" si="21"/>
        <v>2.5952813067150634E-2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613</v>
      </c>
      <c r="C199" s="432">
        <f>IF(C198=0,0,C189/C198)</f>
        <v>1063.5430127041743</v>
      </c>
      <c r="D199" s="432">
        <f>IF(LN_IF11=0,0,LN_IF2/LN_IF11)</f>
        <v>1173.2220060145055</v>
      </c>
      <c r="E199" s="432">
        <f t="shared" si="20"/>
        <v>109.67899331033118</v>
      </c>
      <c r="F199" s="362">
        <f t="shared" si="21"/>
        <v>0.10312605320160992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614</v>
      </c>
      <c r="C200" s="379">
        <f>IF(C191=0,0,C198/C191)</f>
        <v>3.2700296735905043</v>
      </c>
      <c r="D200" s="379">
        <f>IF(LN_IF4=0,0,LN_IF11/LN_IF4)</f>
        <v>3.5486503452605147</v>
      </c>
      <c r="E200" s="379">
        <f t="shared" si="20"/>
        <v>0.27862067167001037</v>
      </c>
      <c r="F200" s="362">
        <f t="shared" si="21"/>
        <v>8.5204325184023141E-2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670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616</v>
      </c>
      <c r="C203" s="361">
        <f>C133+C168</f>
        <v>38820554</v>
      </c>
      <c r="D203" s="361">
        <f>LN_ID14+LN_IE14</f>
        <v>45610048</v>
      </c>
      <c r="E203" s="361">
        <f t="shared" ref="E203:E211" si="22">D203-C203</f>
        <v>6789494</v>
      </c>
      <c r="F203" s="362">
        <f t="shared" ref="F203:F211" si="23">IF(C203=0,0,E203/C203)</f>
        <v>0.17489430985451676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617</v>
      </c>
      <c r="C204" s="361">
        <f>C134+C169</f>
        <v>8660816</v>
      </c>
      <c r="D204" s="361">
        <f>LN_ID15+LN_IE15</f>
        <v>11612683</v>
      </c>
      <c r="E204" s="361">
        <f t="shared" si="22"/>
        <v>2951867</v>
      </c>
      <c r="F204" s="362">
        <f t="shared" si="23"/>
        <v>0.34083012501362459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618</v>
      </c>
      <c r="C205" s="366">
        <f>IF(C203=0,0,C204/C203)</f>
        <v>0.22309872239329712</v>
      </c>
      <c r="D205" s="366">
        <f>IF(LN_IF14=0,0,LN_IF15/LN_IF14)</f>
        <v>0.25460799778154147</v>
      </c>
      <c r="E205" s="367">
        <f t="shared" si="22"/>
        <v>3.1509275388244357E-2</v>
      </c>
      <c r="F205" s="362">
        <f t="shared" si="23"/>
        <v>0.14123467427436526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619</v>
      </c>
      <c r="C206" s="366">
        <f>IF(C188=0,0,C203/C188)</f>
        <v>1.7289625735717189</v>
      </c>
      <c r="D206" s="366">
        <f>IF(LN_IF1=0,0,LN_IF14/LN_IF1)</f>
        <v>2.1206156167158454</v>
      </c>
      <c r="E206" s="367">
        <f t="shared" si="22"/>
        <v>0.39165304314412652</v>
      </c>
      <c r="F206" s="362">
        <f t="shared" si="23"/>
        <v>0.22652488210606161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620</v>
      </c>
      <c r="C207" s="376">
        <f>C137+C172</f>
        <v>2915.909539061312</v>
      </c>
      <c r="D207" s="376">
        <f>LN_ID18+LN_IE18</f>
        <v>3378.1406774283419</v>
      </c>
      <c r="E207" s="376">
        <f t="shared" si="22"/>
        <v>462.23113836702987</v>
      </c>
      <c r="F207" s="362">
        <f t="shared" si="23"/>
        <v>0.15852039721226435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621</v>
      </c>
      <c r="C208" s="378">
        <f>IF(C207=0,0,C204/C207)</f>
        <v>2970.1936510650758</v>
      </c>
      <c r="D208" s="378">
        <f>IF(LN_IF18=0,0,LN_IF15/LN_IF18)</f>
        <v>3437.5960354736681</v>
      </c>
      <c r="E208" s="378">
        <f t="shared" si="22"/>
        <v>467.4023844085923</v>
      </c>
      <c r="F208" s="362">
        <f t="shared" si="23"/>
        <v>0.15736427967953787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671</v>
      </c>
      <c r="C209" s="378">
        <f>C61-C208</f>
        <v>3058.0280798324657</v>
      </c>
      <c r="D209" s="378">
        <f>LN_IB18-LN_IF19</f>
        <v>2154.3093111656608</v>
      </c>
      <c r="E209" s="378">
        <f t="shared" si="22"/>
        <v>-903.71876866680486</v>
      </c>
      <c r="F209" s="362">
        <f t="shared" si="23"/>
        <v>-0.29552337162198822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672</v>
      </c>
      <c r="C210" s="378">
        <f>C32-C208</f>
        <v>2728.0110957198167</v>
      </c>
      <c r="D210" s="378">
        <f>LN_IA16-LN_IF19</f>
        <v>1794.512907362473</v>
      </c>
      <c r="E210" s="378">
        <f t="shared" si="22"/>
        <v>-933.49818835734368</v>
      </c>
      <c r="F210" s="362">
        <f t="shared" si="23"/>
        <v>-0.3421900262143287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632</v>
      </c>
      <c r="C211" s="391">
        <f>C141+C176</f>
        <v>7954633.5766745172</v>
      </c>
      <c r="D211" s="353">
        <f>LN_IF21*LN_IF18</f>
        <v>6062117.0485313674</v>
      </c>
      <c r="E211" s="353">
        <f t="shared" si="22"/>
        <v>-1892516.5281431498</v>
      </c>
      <c r="F211" s="362">
        <f t="shared" si="23"/>
        <v>-0.23791372787963513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673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623</v>
      </c>
      <c r="C214" s="361">
        <f>C188+C203</f>
        <v>61273645</v>
      </c>
      <c r="D214" s="361">
        <f>LN_IF1+LN_IF14</f>
        <v>67117976</v>
      </c>
      <c r="E214" s="361">
        <f>D214-C214</f>
        <v>5844331</v>
      </c>
      <c r="F214" s="362">
        <f>IF(C214=0,0,E214/C214)</f>
        <v>9.5380828086855288E-2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624</v>
      </c>
      <c r="C215" s="361">
        <f>C189+C204</f>
        <v>14520938</v>
      </c>
      <c r="D215" s="361">
        <f>LN_IF2+LN_IF15</f>
        <v>18244907</v>
      </c>
      <c r="E215" s="361">
        <f>D215-C215</f>
        <v>3723969</v>
      </c>
      <c r="F215" s="362">
        <f>IF(C215=0,0,E215/C215)</f>
        <v>0.25645512707236956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625</v>
      </c>
      <c r="C216" s="361">
        <f>C214-C215</f>
        <v>46752707</v>
      </c>
      <c r="D216" s="361">
        <f>LN_IF23-LN_IF24</f>
        <v>48873069</v>
      </c>
      <c r="E216" s="361">
        <f>D216-C216</f>
        <v>2120362</v>
      </c>
      <c r="F216" s="362">
        <f>IF(C216=0,0,E216/C216)</f>
        <v>4.5352710806670513E-2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674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675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607</v>
      </c>
      <c r="C221" s="361">
        <v>622433</v>
      </c>
      <c r="D221" s="361">
        <v>352195</v>
      </c>
      <c r="E221" s="361">
        <f t="shared" ref="E221:E230" si="24">D221-C221</f>
        <v>-270238</v>
      </c>
      <c r="F221" s="362">
        <f t="shared" ref="F221:F230" si="25">IF(C221=0,0,E221/C221)</f>
        <v>-0.43416399837412217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608</v>
      </c>
      <c r="C222" s="361">
        <v>162772</v>
      </c>
      <c r="D222" s="361">
        <v>145385</v>
      </c>
      <c r="E222" s="361">
        <f t="shared" si="24"/>
        <v>-17387</v>
      </c>
      <c r="F222" s="362">
        <f t="shared" si="25"/>
        <v>-0.10681812596761114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609</v>
      </c>
      <c r="C223" s="366">
        <f>IF(C221=0,0,C222/C221)</f>
        <v>0.26150927087734743</v>
      </c>
      <c r="D223" s="366">
        <f>IF(LN_IG1=0,0,LN_IG2/LN_IG1)</f>
        <v>0.41279688808756515</v>
      </c>
      <c r="E223" s="367">
        <f t="shared" si="24"/>
        <v>0.15128761721021772</v>
      </c>
      <c r="F223" s="362">
        <f t="shared" si="25"/>
        <v>0.57851722312810216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20</v>
      </c>
      <c r="D224" s="369">
        <v>25</v>
      </c>
      <c r="E224" s="369">
        <f t="shared" si="24"/>
        <v>5</v>
      </c>
      <c r="F224" s="362">
        <f t="shared" si="25"/>
        <v>0.25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610</v>
      </c>
      <c r="C225" s="372">
        <v>1.5094000000000001</v>
      </c>
      <c r="D225" s="372">
        <v>1.1613</v>
      </c>
      <c r="E225" s="373">
        <f t="shared" si="24"/>
        <v>-0.34810000000000008</v>
      </c>
      <c r="F225" s="362">
        <f t="shared" si="25"/>
        <v>-0.23062143898237714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611</v>
      </c>
      <c r="C226" s="376">
        <f>C224*C225</f>
        <v>30.188000000000002</v>
      </c>
      <c r="D226" s="376">
        <f>LN_IG3*LN_IG4</f>
        <v>29.032499999999999</v>
      </c>
      <c r="E226" s="376">
        <f t="shared" si="24"/>
        <v>-1.1555000000000035</v>
      </c>
      <c r="F226" s="362">
        <f t="shared" si="25"/>
        <v>-3.8276798727971496E-2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612</v>
      </c>
      <c r="C227" s="378">
        <f>IF(C226=0,0,C222/C226)</f>
        <v>5391.943818735921</v>
      </c>
      <c r="D227" s="378">
        <f>IF(LN_IG5=0,0,LN_IG2/LN_IG5)</f>
        <v>5007.6638250236801</v>
      </c>
      <c r="E227" s="378">
        <f t="shared" si="24"/>
        <v>-384.27999371224087</v>
      </c>
      <c r="F227" s="362">
        <f t="shared" si="25"/>
        <v>-7.1269287409291088E-2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145</v>
      </c>
      <c r="D228" s="369">
        <v>81</v>
      </c>
      <c r="E228" s="369">
        <f t="shared" si="24"/>
        <v>-64</v>
      </c>
      <c r="F228" s="362">
        <f t="shared" si="25"/>
        <v>-0.44137931034482758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613</v>
      </c>
      <c r="C229" s="378">
        <f>IF(C228=0,0,C222/C228)</f>
        <v>1122.5655172413792</v>
      </c>
      <c r="D229" s="378">
        <f>IF(LN_IG6=0,0,LN_IG2/LN_IG6)</f>
        <v>1794.8765432098764</v>
      </c>
      <c r="E229" s="378">
        <f t="shared" si="24"/>
        <v>672.31102596849723</v>
      </c>
      <c r="F229" s="362">
        <f t="shared" si="25"/>
        <v>0.59890582388514058</v>
      </c>
      <c r="Q229" s="330"/>
      <c r="U229" s="375"/>
    </row>
    <row r="230" spans="1:21" ht="11.25" customHeight="1" x14ac:dyDescent="0.2">
      <c r="A230" s="364">
        <v>10</v>
      </c>
      <c r="B230" s="360" t="s">
        <v>614</v>
      </c>
      <c r="C230" s="379">
        <f>IF(C224=0,0,C228/C224)</f>
        <v>7.25</v>
      </c>
      <c r="D230" s="379">
        <f>IF(LN_IG3=0,0,LN_IG6/LN_IG3)</f>
        <v>3.24</v>
      </c>
      <c r="E230" s="379">
        <f t="shared" si="24"/>
        <v>-4.01</v>
      </c>
      <c r="F230" s="362">
        <f t="shared" si="25"/>
        <v>-0.553103448275862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676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616</v>
      </c>
      <c r="C233" s="361">
        <v>636350</v>
      </c>
      <c r="D233" s="361">
        <v>666145</v>
      </c>
      <c r="E233" s="361">
        <f>D233-C233</f>
        <v>29795</v>
      </c>
      <c r="F233" s="362">
        <f>IF(C233=0,0,E233/C233)</f>
        <v>4.6821717608234462E-2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617</v>
      </c>
      <c r="C234" s="361">
        <v>126904</v>
      </c>
      <c r="D234" s="361">
        <v>132563</v>
      </c>
      <c r="E234" s="361">
        <f>D234-C234</f>
        <v>5659</v>
      </c>
      <c r="F234" s="362">
        <f>IF(C234=0,0,E234/C234)</f>
        <v>4.459276303347412E-2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677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623</v>
      </c>
      <c r="C237" s="361">
        <f>C221+C233</f>
        <v>1258783</v>
      </c>
      <c r="D237" s="361">
        <f>LN_IG1+LN_IG9</f>
        <v>1018340</v>
      </c>
      <c r="E237" s="361">
        <f>D237-C237</f>
        <v>-240443</v>
      </c>
      <c r="F237" s="362">
        <f>IF(C237=0,0,E237/C237)</f>
        <v>-0.19101227137640087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624</v>
      </c>
      <c r="C238" s="361">
        <f>C222+C234</f>
        <v>289676</v>
      </c>
      <c r="D238" s="361">
        <f>LN_IG2+LN_IG10</f>
        <v>277948</v>
      </c>
      <c r="E238" s="361">
        <f>D238-C238</f>
        <v>-11728</v>
      </c>
      <c r="F238" s="362">
        <f>IF(C238=0,0,E238/C238)</f>
        <v>-4.0486612629282367E-2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625</v>
      </c>
      <c r="C239" s="361">
        <f>C237-C238</f>
        <v>969107</v>
      </c>
      <c r="D239" s="361">
        <f>LN_IG13-LN_IG14</f>
        <v>740392</v>
      </c>
      <c r="E239" s="361">
        <f>D239-C239</f>
        <v>-228715</v>
      </c>
      <c r="F239" s="362">
        <f>IF(C239=0,0,E239/C239)</f>
        <v>-0.23600593123359959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678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679</v>
      </c>
      <c r="C243" s="361">
        <v>4183082</v>
      </c>
      <c r="D243" s="361">
        <v>6100777</v>
      </c>
      <c r="E243" s="353">
        <f>D243-C243</f>
        <v>1917695</v>
      </c>
      <c r="F243" s="415">
        <f>IF(C243=0,0,E243/C243)</f>
        <v>0.45844069038092011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680</v>
      </c>
      <c r="C244" s="361">
        <v>130987633</v>
      </c>
      <c r="D244" s="361">
        <v>131894527</v>
      </c>
      <c r="E244" s="353">
        <f>D244-C244</f>
        <v>906894</v>
      </c>
      <c r="F244" s="415">
        <f>IF(C244=0,0,E244/C244)</f>
        <v>6.9235085727520551E-3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681</v>
      </c>
      <c r="C245" s="400">
        <v>624004</v>
      </c>
      <c r="D245" s="400">
        <v>0</v>
      </c>
      <c r="E245" s="400">
        <f>D245-C245</f>
        <v>-624004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682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683</v>
      </c>
      <c r="C248" s="353">
        <v>259103</v>
      </c>
      <c r="D248" s="353">
        <v>223751</v>
      </c>
      <c r="E248" s="353">
        <f>D248-C248</f>
        <v>-35352</v>
      </c>
      <c r="F248" s="362">
        <f>IF(C248=0,0,E248/C248)</f>
        <v>-0.13643994859187272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684</v>
      </c>
      <c r="C249" s="353">
        <v>10944348</v>
      </c>
      <c r="D249" s="353">
        <v>9847024</v>
      </c>
      <c r="E249" s="353">
        <f>D249-C249</f>
        <v>-1097324</v>
      </c>
      <c r="F249" s="362">
        <f>IF(C249=0,0,E249/C249)</f>
        <v>-0.10026399014358826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685</v>
      </c>
      <c r="C250" s="353">
        <f>C248+C249</f>
        <v>11203451</v>
      </c>
      <c r="D250" s="353">
        <f>LN_IH4+LN_IH5</f>
        <v>10070775</v>
      </c>
      <c r="E250" s="353">
        <f>D250-C250</f>
        <v>-1132676</v>
      </c>
      <c r="F250" s="362">
        <f>IF(C250=0,0,E250/C250)</f>
        <v>-0.10110063408140937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686</v>
      </c>
      <c r="C251" s="353">
        <f>C250*C313</f>
        <v>3704252.074368834</v>
      </c>
      <c r="D251" s="353">
        <f>LN_IH6*LN_III10</f>
        <v>3437665.7197294747</v>
      </c>
      <c r="E251" s="353">
        <f>D251-C251</f>
        <v>-266586.35463935928</v>
      </c>
      <c r="F251" s="362">
        <f>IF(C251=0,0,E251/C251)</f>
        <v>-7.1967660215128001E-2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687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623</v>
      </c>
      <c r="C254" s="353">
        <f>C188+C203</f>
        <v>61273645</v>
      </c>
      <c r="D254" s="353">
        <f>LN_IF23</f>
        <v>67117976</v>
      </c>
      <c r="E254" s="353">
        <f>D254-C254</f>
        <v>5844331</v>
      </c>
      <c r="F254" s="362">
        <f>IF(C254=0,0,E254/C254)</f>
        <v>9.5380828086855288E-2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624</v>
      </c>
      <c r="C255" s="353">
        <f>C189+C204</f>
        <v>14520938</v>
      </c>
      <c r="D255" s="353">
        <f>LN_IF24</f>
        <v>18244907</v>
      </c>
      <c r="E255" s="353">
        <f>D255-C255</f>
        <v>3723969</v>
      </c>
      <c r="F255" s="362">
        <f>IF(C255=0,0,E255/C255)</f>
        <v>0.25645512707236956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688</v>
      </c>
      <c r="C256" s="353">
        <f>C254*C313</f>
        <v>20259206.435176942</v>
      </c>
      <c r="D256" s="353">
        <f>LN_IH8*LN_III10</f>
        <v>22910765.583862774</v>
      </c>
      <c r="E256" s="353">
        <f>D256-C256</f>
        <v>2651559.1486858316</v>
      </c>
      <c r="F256" s="362">
        <f>IF(C256=0,0,E256/C256)</f>
        <v>0.13088168863721206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689</v>
      </c>
      <c r="C257" s="353">
        <f>C256-C255</f>
        <v>5738268.4351769425</v>
      </c>
      <c r="D257" s="353">
        <f>LN_IH10-LN_IH9</f>
        <v>4665858.5838627741</v>
      </c>
      <c r="E257" s="353">
        <f>D257-C257</f>
        <v>-1072409.8513141684</v>
      </c>
      <c r="F257" s="362">
        <f>IF(C257=0,0,E257/C257)</f>
        <v>-0.18688736217707114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690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691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692</v>
      </c>
      <c r="C261" s="361">
        <f>C15+C42+C188+C221</f>
        <v>146231302</v>
      </c>
      <c r="D261" s="361">
        <f>LN_IA1+LN_IB1+LN_IF1+LN_IG1</f>
        <v>131648635</v>
      </c>
      <c r="E261" s="361">
        <f t="shared" ref="E261:E274" si="26">D261-C261</f>
        <v>-14582667</v>
      </c>
      <c r="F261" s="415">
        <f t="shared" ref="F261:F274" si="27">IF(C261=0,0,E261/C261)</f>
        <v>-9.97232931701586E-2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693</v>
      </c>
      <c r="C262" s="361">
        <f>C16+C43+C189+C222</f>
        <v>55389119</v>
      </c>
      <c r="D262" s="361">
        <f>+LN_IA2+LN_IB2+LN_IF2+LN_IG2</f>
        <v>52974162</v>
      </c>
      <c r="E262" s="361">
        <f t="shared" si="26"/>
        <v>-2414957</v>
      </c>
      <c r="F262" s="415">
        <f t="shared" si="27"/>
        <v>-4.3599844944275067E-2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694</v>
      </c>
      <c r="C263" s="366">
        <f>IF(C261=0,0,C262/C261)</f>
        <v>0.37877744533793456</v>
      </c>
      <c r="D263" s="366">
        <f>IF(LN_IIA1=0,0,LN_IIA2/LN_IIA1)</f>
        <v>0.40239051472125026</v>
      </c>
      <c r="E263" s="367">
        <f t="shared" si="26"/>
        <v>2.3613069383315699E-2</v>
      </c>
      <c r="F263" s="371">
        <f t="shared" si="27"/>
        <v>6.2340220290172728E-2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695</v>
      </c>
      <c r="C264" s="369">
        <f>C18+C45+C191+C224</f>
        <v>7617</v>
      </c>
      <c r="D264" s="369">
        <f>LN_IA4+LN_IB4+LN_IF4+LN_IG3</f>
        <v>7316</v>
      </c>
      <c r="E264" s="369">
        <f t="shared" si="26"/>
        <v>-301</v>
      </c>
      <c r="F264" s="415">
        <f t="shared" si="27"/>
        <v>-3.9516870158855195E-2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696</v>
      </c>
      <c r="C265" s="439">
        <f>IF(C264=0,0,C266/C264)</f>
        <v>1.0808632269922542</v>
      </c>
      <c r="D265" s="439">
        <f>IF(LN_IIA4=0,0,LN_IIA6/LN_IIA4)</f>
        <v>1.1123844723892837</v>
      </c>
      <c r="E265" s="439">
        <f t="shared" si="26"/>
        <v>3.1521245397029496E-2</v>
      </c>
      <c r="F265" s="415">
        <f t="shared" si="27"/>
        <v>2.9163028780935098E-2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697</v>
      </c>
      <c r="C266" s="376">
        <f>C20+C47+C193+C226</f>
        <v>8232.9351999999999</v>
      </c>
      <c r="D266" s="376">
        <f>LN_IA6+LN_IB6+LN_IF6+LN_IG5</f>
        <v>8138.2048000000004</v>
      </c>
      <c r="E266" s="376">
        <f t="shared" si="26"/>
        <v>-94.730399999999463</v>
      </c>
      <c r="F266" s="415">
        <f t="shared" si="27"/>
        <v>-1.1506272999695111E-2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698</v>
      </c>
      <c r="C267" s="361">
        <f>C27+C56+C203+C233</f>
        <v>215529941</v>
      </c>
      <c r="D267" s="361">
        <f>LN_IA11+LN_IB13+LN_IF14+LN_IG9</f>
        <v>213396856</v>
      </c>
      <c r="E267" s="361">
        <f t="shared" si="26"/>
        <v>-2133085</v>
      </c>
      <c r="F267" s="415">
        <f t="shared" si="27"/>
        <v>-9.8969312110561945E-3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619</v>
      </c>
      <c r="C268" s="366">
        <f>IF(C261=0,0,C267/C261)</f>
        <v>1.4738974354478496</v>
      </c>
      <c r="D268" s="366">
        <f>IF(LN_IIA1=0,0,LN_IIA7/LN_IIA1)</f>
        <v>1.6209576043078608</v>
      </c>
      <c r="E268" s="367">
        <f t="shared" si="26"/>
        <v>0.14706016886001128</v>
      </c>
      <c r="F268" s="371">
        <f t="shared" si="27"/>
        <v>9.9776392388746138E-2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699</v>
      </c>
      <c r="C269" s="361">
        <f>C28+C57+C204+C234</f>
        <v>63597779</v>
      </c>
      <c r="D269" s="361">
        <f>LN_IA12+LN_IB14+LN_IF15+LN_IG10</f>
        <v>62691694</v>
      </c>
      <c r="E269" s="361">
        <f t="shared" si="26"/>
        <v>-906085</v>
      </c>
      <c r="F269" s="415">
        <f t="shared" si="27"/>
        <v>-1.4247117025894882E-2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618</v>
      </c>
      <c r="C270" s="366">
        <f>IF(C267=0,0,C269/C267)</f>
        <v>0.29507630682272584</v>
      </c>
      <c r="D270" s="366">
        <f>IF(LN_IIA7=0,0,LN_IIA9/LN_IIA7)</f>
        <v>0.29377983900568805</v>
      </c>
      <c r="E270" s="367">
        <f t="shared" si="26"/>
        <v>-1.2964678170377941E-3</v>
      </c>
      <c r="F270" s="371">
        <f t="shared" si="27"/>
        <v>-4.3936696612401288E-3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700</v>
      </c>
      <c r="C271" s="353">
        <f>C261+C267</f>
        <v>361761243</v>
      </c>
      <c r="D271" s="353">
        <f>LN_IIA1+LN_IIA7</f>
        <v>345045491</v>
      </c>
      <c r="E271" s="353">
        <f t="shared" si="26"/>
        <v>-16715752</v>
      </c>
      <c r="F271" s="415">
        <f t="shared" si="27"/>
        <v>-4.6206586038294875E-2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701</v>
      </c>
      <c r="C272" s="353">
        <f>C262+C269</f>
        <v>118986898</v>
      </c>
      <c r="D272" s="353">
        <f>LN_IIA2+LN_IIA9</f>
        <v>115665856</v>
      </c>
      <c r="E272" s="353">
        <f t="shared" si="26"/>
        <v>-3321042</v>
      </c>
      <c r="F272" s="415">
        <f t="shared" si="27"/>
        <v>-2.7910988989728935E-2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702</v>
      </c>
      <c r="C273" s="366">
        <f>IF(C271=0,0,C272/C271)</f>
        <v>0.32891002091122296</v>
      </c>
      <c r="D273" s="366">
        <f>IF(LN_IIA11=0,0,LN_IIA12/LN_IIA11)</f>
        <v>0.33521914940775155</v>
      </c>
      <c r="E273" s="367">
        <f t="shared" si="26"/>
        <v>6.3091284965285932E-3</v>
      </c>
      <c r="F273" s="371">
        <f t="shared" si="27"/>
        <v>1.9181928477124473E-2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30673</v>
      </c>
      <c r="D274" s="421">
        <f>LN_IA8+LN_IB10+LN_IF11+LN_IG6</f>
        <v>28670</v>
      </c>
      <c r="E274" s="442">
        <f t="shared" si="26"/>
        <v>-2003</v>
      </c>
      <c r="F274" s="371">
        <f t="shared" si="27"/>
        <v>-6.5301731164216087E-2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703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704</v>
      </c>
      <c r="C277" s="361">
        <f>C15+C188+C221</f>
        <v>105989882</v>
      </c>
      <c r="D277" s="361">
        <f>LN_IA1+LN_IF1+LN_IG1</f>
        <v>95183061</v>
      </c>
      <c r="E277" s="361">
        <f t="shared" ref="E277:E291" si="28">D277-C277</f>
        <v>-10806821</v>
      </c>
      <c r="F277" s="415">
        <f t="shared" ref="F277:F291" si="29">IF(C277=0,0,E277/C277)</f>
        <v>-0.10196087396342228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705</v>
      </c>
      <c r="C278" s="361">
        <f>C16+C189+C222</f>
        <v>36667569</v>
      </c>
      <c r="D278" s="361">
        <f>LN_IA2+LN_IF2+LN_IG2</f>
        <v>35968005</v>
      </c>
      <c r="E278" s="361">
        <f t="shared" si="28"/>
        <v>-699564</v>
      </c>
      <c r="F278" s="415">
        <f t="shared" si="29"/>
        <v>-1.9078548676079398E-2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706</v>
      </c>
      <c r="C279" s="366">
        <f>IF(C277=0,0,C278/C277)</f>
        <v>0.34595348450336044</v>
      </c>
      <c r="D279" s="366">
        <f>IF(D277=0,0,LN_IIB2/D277)</f>
        <v>0.37788241544364704</v>
      </c>
      <c r="E279" s="367">
        <f t="shared" si="28"/>
        <v>3.1928930940286593E-2</v>
      </c>
      <c r="F279" s="371">
        <f t="shared" si="29"/>
        <v>9.2292554839049315E-2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707</v>
      </c>
      <c r="C280" s="369">
        <f>C18+C191+C224</f>
        <v>5131</v>
      </c>
      <c r="D280" s="369">
        <f>LN_IA4+LN_IF4+LN_IG3</f>
        <v>4996</v>
      </c>
      <c r="E280" s="369">
        <f t="shared" si="28"/>
        <v>-135</v>
      </c>
      <c r="F280" s="415">
        <f t="shared" si="29"/>
        <v>-2.6310660689923993E-2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708</v>
      </c>
      <c r="C281" s="439">
        <f>IF(C280=0,0,C282/C280)</f>
        <v>1.146011459754434</v>
      </c>
      <c r="D281" s="439">
        <f>IF(LN_IIB4=0,0,LN_IIB6/LN_IIB4)</f>
        <v>1.1764140912730185</v>
      </c>
      <c r="E281" s="439">
        <f t="shared" si="28"/>
        <v>3.0402631518584577E-2</v>
      </c>
      <c r="F281" s="415">
        <f t="shared" si="29"/>
        <v>2.6529081589724432E-2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709</v>
      </c>
      <c r="C282" s="376">
        <f>C20+C193+C226</f>
        <v>5880.1848000000009</v>
      </c>
      <c r="D282" s="376">
        <f>LN_IA6+LN_IF6+LN_IG5</f>
        <v>5877.3648000000003</v>
      </c>
      <c r="E282" s="376">
        <f t="shared" si="28"/>
        <v>-2.8200000000006185</v>
      </c>
      <c r="F282" s="415">
        <f t="shared" si="29"/>
        <v>-4.7957676432220601E-4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710</v>
      </c>
      <c r="C283" s="361">
        <f>C27+C203+C233</f>
        <v>118025925</v>
      </c>
      <c r="D283" s="361">
        <f>LN_IA11+LN_IF14+LN_IG9</f>
        <v>120450585</v>
      </c>
      <c r="E283" s="361">
        <f t="shared" si="28"/>
        <v>2424660</v>
      </c>
      <c r="F283" s="415">
        <f t="shared" si="29"/>
        <v>2.054345263551207E-2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711</v>
      </c>
      <c r="C284" s="366">
        <f>IF(C277=0,0,C283/C277)</f>
        <v>1.1135584149437963</v>
      </c>
      <c r="D284" s="366">
        <f>IF(D277=0,0,LN_IIB7/D277)</f>
        <v>1.2654624019708718</v>
      </c>
      <c r="E284" s="367">
        <f t="shared" si="28"/>
        <v>0.15190398702707553</v>
      </c>
      <c r="F284" s="371">
        <f t="shared" si="29"/>
        <v>0.13641312838962513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712</v>
      </c>
      <c r="C285" s="361">
        <f>C28+C204+C234</f>
        <v>27286667</v>
      </c>
      <c r="D285" s="361">
        <f>LN_IA12+LN_IF15+LN_IG10</f>
        <v>29624548</v>
      </c>
      <c r="E285" s="361">
        <f t="shared" si="28"/>
        <v>2337881</v>
      </c>
      <c r="F285" s="415">
        <f t="shared" si="29"/>
        <v>8.5678511047171863E-2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713</v>
      </c>
      <c r="C286" s="366">
        <f>IF(C283=0,0,C285/C283)</f>
        <v>0.23119214697957249</v>
      </c>
      <c r="D286" s="366">
        <f>IF(LN_IIB7=0,0,LN_IIB9/LN_IIB7)</f>
        <v>0.24594773034933787</v>
      </c>
      <c r="E286" s="367">
        <f t="shared" si="28"/>
        <v>1.4755583369765374E-2</v>
      </c>
      <c r="F286" s="371">
        <f t="shared" si="29"/>
        <v>6.3823895242726983E-2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714</v>
      </c>
      <c r="C287" s="353">
        <f>C277+C283</f>
        <v>224015807</v>
      </c>
      <c r="D287" s="353">
        <f>D277+LN_IIB7</f>
        <v>215633646</v>
      </c>
      <c r="E287" s="353">
        <f t="shared" si="28"/>
        <v>-8382161</v>
      </c>
      <c r="F287" s="415">
        <f t="shared" si="29"/>
        <v>-3.7417721152150661E-2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715</v>
      </c>
      <c r="C288" s="353">
        <f>C278+C285</f>
        <v>63954236</v>
      </c>
      <c r="D288" s="353">
        <f>LN_IIB2+LN_IIB9</f>
        <v>65592553</v>
      </c>
      <c r="E288" s="353">
        <f t="shared" si="28"/>
        <v>1638317</v>
      </c>
      <c r="F288" s="415">
        <f t="shared" si="29"/>
        <v>2.5617020896004448E-2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716</v>
      </c>
      <c r="C289" s="366">
        <f>IF(C287=0,0,C288/C287)</f>
        <v>0.28548983599179678</v>
      </c>
      <c r="D289" s="366">
        <f>IF(LN_IIB11=0,0,LN_IIB12/LN_IIB11)</f>
        <v>0.30418515021537967</v>
      </c>
      <c r="E289" s="367">
        <f t="shared" si="28"/>
        <v>1.8695314223582893E-2</v>
      </c>
      <c r="F289" s="371">
        <f t="shared" si="29"/>
        <v>6.5485043131693427E-2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22812</v>
      </c>
      <c r="D290" s="421">
        <f>LN_IA8+LN_IF11+LN_IG6</f>
        <v>21384</v>
      </c>
      <c r="E290" s="442">
        <f t="shared" si="28"/>
        <v>-1428</v>
      </c>
      <c r="F290" s="371">
        <f t="shared" si="29"/>
        <v>-6.2598632298790105E-2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717</v>
      </c>
      <c r="C291" s="361">
        <f>C287-C288</f>
        <v>160061571</v>
      </c>
      <c r="D291" s="429">
        <f>LN_IIB11-LN_IIB12</f>
        <v>150041093</v>
      </c>
      <c r="E291" s="353">
        <f t="shared" si="28"/>
        <v>-10020478</v>
      </c>
      <c r="F291" s="415">
        <f t="shared" si="29"/>
        <v>-6.260389634686267E-2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614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605</v>
      </c>
      <c r="C294" s="379">
        <f>IF(C18=0,0,C22/C18)</f>
        <v>5.0078809106830127</v>
      </c>
      <c r="D294" s="379">
        <f>IF(LN_IA4=0,0,LN_IA8/LN_IA4)</f>
        <v>4.6329188869153342</v>
      </c>
      <c r="E294" s="379">
        <f t="shared" ref="E294:E300" si="30">D294-C294</f>
        <v>-0.37496202376767851</v>
      </c>
      <c r="F294" s="415">
        <f t="shared" ref="F294:F300" si="31">IF(C294=0,0,E294/C294)</f>
        <v>-7.4874389078980391E-2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626</v>
      </c>
      <c r="C295" s="379">
        <f>IF(C45=0,0,C51/C45)</f>
        <v>3.162107803700724</v>
      </c>
      <c r="D295" s="379">
        <f>IF(LN_IB4=0,0,(LN_IB10)/(LN_IB4))</f>
        <v>3.1405172413793103</v>
      </c>
      <c r="E295" s="379">
        <f t="shared" si="30"/>
        <v>-2.1590562321413653E-2</v>
      </c>
      <c r="F295" s="415">
        <f t="shared" si="31"/>
        <v>-6.8279020393123453E-3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641</v>
      </c>
      <c r="C296" s="379">
        <f>IF(C86=0,0,C93/C86)</f>
        <v>3.765625</v>
      </c>
      <c r="D296" s="379">
        <f>IF(LN_IC4=0,0,LN_IC11/LN_IC4)</f>
        <v>4.1315789473684212</v>
      </c>
      <c r="E296" s="379">
        <f t="shared" si="30"/>
        <v>0.36595394736842124</v>
      </c>
      <c r="F296" s="415">
        <f t="shared" si="31"/>
        <v>9.7182791002402319E-2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3.1833962264150943</v>
      </c>
      <c r="D297" s="379">
        <f>IF(LN_ID4=0,0,LN_ID11/LN_ID4)</f>
        <v>3.5486503452605147</v>
      </c>
      <c r="E297" s="379">
        <f t="shared" si="30"/>
        <v>0.36525411884542036</v>
      </c>
      <c r="F297" s="415">
        <f t="shared" si="31"/>
        <v>0.11473724691090137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718</v>
      </c>
      <c r="C298" s="379">
        <f>IF(C156=0,0,C163/C156)</f>
        <v>3.588888888888889</v>
      </c>
      <c r="D298" s="379">
        <f>IF(LN_IE4=0,0,LN_IE11/LN_IE4)</f>
        <v>0</v>
      </c>
      <c r="E298" s="379">
        <f t="shared" si="30"/>
        <v>-3.588888888888889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7.25</v>
      </c>
      <c r="D299" s="379">
        <f>IF(LN_IG3=0,0,LN_IG6/LN_IG3)</f>
        <v>3.24</v>
      </c>
      <c r="E299" s="379">
        <f t="shared" si="30"/>
        <v>-4.01</v>
      </c>
      <c r="F299" s="415">
        <f t="shared" si="31"/>
        <v>-0.553103448275862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719</v>
      </c>
      <c r="C300" s="379">
        <f>IF(C264=0,0,C274/C264)</f>
        <v>4.0269134829985562</v>
      </c>
      <c r="D300" s="379">
        <f>IF(LN_IIA4=0,0,LN_IIA14/LN_IIA4)</f>
        <v>3.9188080918534718</v>
      </c>
      <c r="E300" s="379">
        <f t="shared" si="30"/>
        <v>-0.10810539114508444</v>
      </c>
      <c r="F300" s="415">
        <f t="shared" si="31"/>
        <v>-2.6845719830212503E-2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720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714</v>
      </c>
      <c r="C304" s="353">
        <f>C35+C66+C214+C221+C233</f>
        <v>361761243</v>
      </c>
      <c r="D304" s="353">
        <f>LN_IIA11</f>
        <v>345045491</v>
      </c>
      <c r="E304" s="353">
        <f t="shared" ref="E304:E316" si="32">D304-C304</f>
        <v>-16715752</v>
      </c>
      <c r="F304" s="362">
        <f>IF(C304=0,0,E304/C304)</f>
        <v>-4.6206586038294875E-2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717</v>
      </c>
      <c r="C305" s="353">
        <f>C291</f>
        <v>160061571</v>
      </c>
      <c r="D305" s="353">
        <f>LN_IIB14</f>
        <v>150041093</v>
      </c>
      <c r="E305" s="353">
        <f t="shared" si="32"/>
        <v>-10020478</v>
      </c>
      <c r="F305" s="362">
        <f>IF(C305=0,0,E305/C305)</f>
        <v>-6.260389634686267E-2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721</v>
      </c>
      <c r="C306" s="353">
        <f>C250</f>
        <v>11203451</v>
      </c>
      <c r="D306" s="353">
        <f>LN_IH6</f>
        <v>10070775</v>
      </c>
      <c r="E306" s="353">
        <f t="shared" si="32"/>
        <v>-1132676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722</v>
      </c>
      <c r="C307" s="353">
        <f>C73-C74</f>
        <v>68559188</v>
      </c>
      <c r="D307" s="353">
        <f>LN_IB32-LN_IB33</f>
        <v>64377873</v>
      </c>
      <c r="E307" s="353">
        <f t="shared" si="32"/>
        <v>-4181315</v>
      </c>
      <c r="F307" s="362">
        <f t="shared" ref="F307:F316" si="33">IF(C307=0,0,E307/C307)</f>
        <v>-6.0988397353830971E-2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723</v>
      </c>
      <c r="C308" s="353">
        <v>2950139</v>
      </c>
      <c r="D308" s="353">
        <v>2774243</v>
      </c>
      <c r="E308" s="353">
        <f t="shared" si="32"/>
        <v>-175896</v>
      </c>
      <c r="F308" s="362">
        <f t="shared" si="33"/>
        <v>-5.9622953359146809E-2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724</v>
      </c>
      <c r="C309" s="353">
        <f>C305+C307+C308+C306</f>
        <v>242774349</v>
      </c>
      <c r="D309" s="353">
        <f>LN_III2+LN_III3+LN_III4+LN_III5</f>
        <v>227263984</v>
      </c>
      <c r="E309" s="353">
        <f t="shared" si="32"/>
        <v>-15510365</v>
      </c>
      <c r="F309" s="362">
        <f t="shared" si="33"/>
        <v>-6.3887989253757618E-2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725</v>
      </c>
      <c r="C310" s="353">
        <f>C304-C309</f>
        <v>118986894</v>
      </c>
      <c r="D310" s="353">
        <f>LN_III1-LN_III6</f>
        <v>117781507</v>
      </c>
      <c r="E310" s="353">
        <f t="shared" si="32"/>
        <v>-1205387</v>
      </c>
      <c r="F310" s="362">
        <f t="shared" si="33"/>
        <v>-1.0130418229086642E-2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726</v>
      </c>
      <c r="C311" s="353">
        <f>C245</f>
        <v>624004</v>
      </c>
      <c r="D311" s="353">
        <f>LN_IH3</f>
        <v>0</v>
      </c>
      <c r="E311" s="353">
        <f t="shared" si="32"/>
        <v>-624004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727</v>
      </c>
      <c r="C312" s="353">
        <f>C310+C311</f>
        <v>119610898</v>
      </c>
      <c r="D312" s="353">
        <f>LN_III7+LN_III8</f>
        <v>117781507</v>
      </c>
      <c r="E312" s="353">
        <f t="shared" si="32"/>
        <v>-1829391</v>
      </c>
      <c r="F312" s="362">
        <f t="shared" si="33"/>
        <v>-1.5294517728643757E-2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728</v>
      </c>
      <c r="C313" s="448">
        <f>IF(C304=0,0,C312/C304)</f>
        <v>0.33063491547103069</v>
      </c>
      <c r="D313" s="448">
        <f>IF(LN_III1=0,0,LN_III9/LN_III1)</f>
        <v>0.34135066265798558</v>
      </c>
      <c r="E313" s="448">
        <f t="shared" si="32"/>
        <v>1.0715747186954894E-2</v>
      </c>
      <c r="F313" s="362">
        <f t="shared" si="33"/>
        <v>3.2409605536332951E-2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686</v>
      </c>
      <c r="C314" s="353">
        <f>C306*C313</f>
        <v>3704252.074368834</v>
      </c>
      <c r="D314" s="353">
        <f>D313*LN_III5</f>
        <v>3437665.7197294747</v>
      </c>
      <c r="E314" s="353">
        <f t="shared" si="32"/>
        <v>-266586.35463935928</v>
      </c>
      <c r="F314" s="362">
        <f t="shared" si="33"/>
        <v>-7.1967660215128001E-2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689</v>
      </c>
      <c r="C315" s="353">
        <f>(C214*C313)-C215</f>
        <v>5738268.4351769425</v>
      </c>
      <c r="D315" s="353">
        <f>D313*LN_IH8-LN_IH9</f>
        <v>4665858.5838627741</v>
      </c>
      <c r="E315" s="353">
        <f t="shared" si="32"/>
        <v>-1072409.8513141684</v>
      </c>
      <c r="F315" s="362">
        <f t="shared" si="33"/>
        <v>-0.18688736217707114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729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730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731</v>
      </c>
      <c r="C318" s="353">
        <f>C314+C315+C316</f>
        <v>9442520.509545777</v>
      </c>
      <c r="D318" s="353">
        <f>D314+D315+D316</f>
        <v>8103524.3035922488</v>
      </c>
      <c r="E318" s="353">
        <f>D318-C318</f>
        <v>-1338996.2059535282</v>
      </c>
      <c r="F318" s="362">
        <f>IF(C318=0,0,E318/C318)</f>
        <v>-0.14180495606018431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732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5925547.1674108012</v>
      </c>
      <c r="D322" s="353">
        <f>LN_ID22</f>
        <v>6062117.0485313674</v>
      </c>
      <c r="E322" s="353">
        <f>LN_IV2-C322</f>
        <v>136569.88112056628</v>
      </c>
      <c r="F322" s="362">
        <f>IF(C322=0,0,E322/C322)</f>
        <v>2.3047640540551331E-2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718</v>
      </c>
      <c r="C323" s="353">
        <f>C162+C176</f>
        <v>3330835.1245665066</v>
      </c>
      <c r="D323" s="353">
        <f>LN_IE10+LN_IE22</f>
        <v>0</v>
      </c>
      <c r="E323" s="353">
        <f>LN_IV3-C323</f>
        <v>-3330835.1245665066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733</v>
      </c>
      <c r="C324" s="353">
        <f>C92+C106</f>
        <v>2675046.433652699</v>
      </c>
      <c r="D324" s="353">
        <f>LN_IC10+LN_IC22</f>
        <v>1180011.1572540745</v>
      </c>
      <c r="E324" s="353">
        <f>LN_IV1-C324</f>
        <v>-1495035.2763986245</v>
      </c>
      <c r="F324" s="362">
        <f>IF(C324=0,0,E324/C324)</f>
        <v>-0.55888199082854684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734</v>
      </c>
      <c r="C325" s="429">
        <f>C324+C322+C323</f>
        <v>11931428.725630008</v>
      </c>
      <c r="D325" s="429">
        <f>LN_IV1+LN_IV2+LN_IV3</f>
        <v>7242128.2057854421</v>
      </c>
      <c r="E325" s="353">
        <f>LN_IV4-C325</f>
        <v>-4689300.5198445655</v>
      </c>
      <c r="F325" s="362">
        <f>IF(C325=0,0,E325/C325)</f>
        <v>-0.39302087182329115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735</v>
      </c>
      <c r="B327" s="446" t="s">
        <v>736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737</v>
      </c>
      <c r="C329" s="431">
        <v>4371872</v>
      </c>
      <c r="D329" s="431">
        <v>4277938</v>
      </c>
      <c r="E329" s="431">
        <f t="shared" ref="E329:E335" si="34">D329-C329</f>
        <v>-93934</v>
      </c>
      <c r="F329" s="462">
        <f t="shared" ref="F329:F335" si="35">IF(C329=0,0,E329/C329)</f>
        <v>-2.1485990440708237E-2</v>
      </c>
    </row>
    <row r="330" spans="1:22" s="333" customFormat="1" ht="11.25" customHeight="1" x14ac:dyDescent="0.2">
      <c r="A330" s="364">
        <v>2</v>
      </c>
      <c r="B330" s="360" t="s">
        <v>738</v>
      </c>
      <c r="C330" s="429">
        <v>8407994</v>
      </c>
      <c r="D330" s="429">
        <v>10275104</v>
      </c>
      <c r="E330" s="431">
        <f t="shared" si="34"/>
        <v>1867110</v>
      </c>
      <c r="F330" s="463">
        <f t="shared" si="35"/>
        <v>0.22206366940794678</v>
      </c>
    </row>
    <row r="331" spans="1:22" s="333" customFormat="1" ht="11.25" customHeight="1" x14ac:dyDescent="0.2">
      <c r="A331" s="339">
        <v>3</v>
      </c>
      <c r="B331" s="360" t="s">
        <v>739</v>
      </c>
      <c r="C331" s="429">
        <v>128018896</v>
      </c>
      <c r="D331" s="429">
        <v>125941019</v>
      </c>
      <c r="E331" s="431">
        <f t="shared" si="34"/>
        <v>-2077877</v>
      </c>
      <c r="F331" s="462">
        <f t="shared" si="35"/>
        <v>-1.623101795847388E-2</v>
      </c>
    </row>
    <row r="332" spans="1:22" s="333" customFormat="1" ht="11.25" customHeight="1" x14ac:dyDescent="0.2">
      <c r="A332" s="364">
        <v>4</v>
      </c>
      <c r="B332" s="360" t="s">
        <v>740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741</v>
      </c>
      <c r="C333" s="429">
        <v>361761109</v>
      </c>
      <c r="D333" s="429">
        <v>345045549</v>
      </c>
      <c r="E333" s="431">
        <f t="shared" si="34"/>
        <v>-16715560</v>
      </c>
      <c r="F333" s="462">
        <f t="shared" si="35"/>
        <v>-4.620607241670082E-2</v>
      </c>
    </row>
    <row r="334" spans="1:22" s="333" customFormat="1" ht="11.25" customHeight="1" x14ac:dyDescent="0.2">
      <c r="A334" s="339">
        <v>6</v>
      </c>
      <c r="B334" s="360" t="s">
        <v>742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743</v>
      </c>
      <c r="C335" s="429">
        <v>11203451</v>
      </c>
      <c r="D335" s="429">
        <v>10070775</v>
      </c>
      <c r="E335" s="429">
        <f t="shared" si="34"/>
        <v>-1132676</v>
      </c>
      <c r="F335" s="462">
        <f t="shared" si="35"/>
        <v>-0.10110063408140937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FILING&amp;RBRISTOL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596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744</v>
      </c>
      <c r="B5" s="710"/>
      <c r="C5" s="710"/>
      <c r="D5" s="710"/>
      <c r="E5" s="710"/>
    </row>
    <row r="6" spans="1:5" s="338" customFormat="1" ht="15.75" customHeight="1" x14ac:dyDescent="0.25">
      <c r="A6" s="710" t="s">
        <v>745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746</v>
      </c>
      <c r="D9" s="494" t="s">
        <v>747</v>
      </c>
      <c r="E9" s="495" t="s">
        <v>748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749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750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626</v>
      </c>
      <c r="C14" s="513">
        <v>40241420</v>
      </c>
      <c r="D14" s="513">
        <v>36465574</v>
      </c>
      <c r="E14" s="514">
        <f t="shared" ref="E14:E22" si="0">D14-C14</f>
        <v>-3775846</v>
      </c>
    </row>
    <row r="15" spans="1:5" s="506" customFormat="1" x14ac:dyDescent="0.2">
      <c r="A15" s="512">
        <v>2</v>
      </c>
      <c r="B15" s="511" t="s">
        <v>605</v>
      </c>
      <c r="C15" s="513">
        <v>82914358</v>
      </c>
      <c r="D15" s="515">
        <v>73322938</v>
      </c>
      <c r="E15" s="514">
        <f t="shared" si="0"/>
        <v>-9591420</v>
      </c>
    </row>
    <row r="16" spans="1:5" s="506" customFormat="1" x14ac:dyDescent="0.2">
      <c r="A16" s="512">
        <v>3</v>
      </c>
      <c r="B16" s="511" t="s">
        <v>751</v>
      </c>
      <c r="C16" s="513">
        <v>22453091</v>
      </c>
      <c r="D16" s="515">
        <v>21507928</v>
      </c>
      <c r="E16" s="514">
        <f t="shared" si="0"/>
        <v>-945163</v>
      </c>
    </row>
    <row r="17" spans="1:5" s="506" customFormat="1" x14ac:dyDescent="0.2">
      <c r="A17" s="512">
        <v>4</v>
      </c>
      <c r="B17" s="511" t="s">
        <v>114</v>
      </c>
      <c r="C17" s="513">
        <v>17535373</v>
      </c>
      <c r="D17" s="515">
        <v>21507928</v>
      </c>
      <c r="E17" s="514">
        <f t="shared" si="0"/>
        <v>3972555</v>
      </c>
    </row>
    <row r="18" spans="1:5" s="506" customFormat="1" x14ac:dyDescent="0.2">
      <c r="A18" s="512">
        <v>5</v>
      </c>
      <c r="B18" s="511" t="s">
        <v>718</v>
      </c>
      <c r="C18" s="513">
        <v>4917718</v>
      </c>
      <c r="D18" s="515">
        <v>0</v>
      </c>
      <c r="E18" s="514">
        <f t="shared" si="0"/>
        <v>-4917718</v>
      </c>
    </row>
    <row r="19" spans="1:5" s="506" customFormat="1" x14ac:dyDescent="0.2">
      <c r="A19" s="512">
        <v>6</v>
      </c>
      <c r="B19" s="511" t="s">
        <v>418</v>
      </c>
      <c r="C19" s="513">
        <v>622433</v>
      </c>
      <c r="D19" s="515">
        <v>352195</v>
      </c>
      <c r="E19" s="514">
        <f t="shared" si="0"/>
        <v>-270238</v>
      </c>
    </row>
    <row r="20" spans="1:5" s="506" customFormat="1" x14ac:dyDescent="0.2">
      <c r="A20" s="512">
        <v>7</v>
      </c>
      <c r="B20" s="511" t="s">
        <v>733</v>
      </c>
      <c r="C20" s="513">
        <v>778948</v>
      </c>
      <c r="D20" s="515">
        <v>814154</v>
      </c>
      <c r="E20" s="514">
        <f t="shared" si="0"/>
        <v>35206</v>
      </c>
    </row>
    <row r="21" spans="1:5" s="506" customFormat="1" x14ac:dyDescent="0.2">
      <c r="A21" s="512"/>
      <c r="B21" s="516" t="s">
        <v>752</v>
      </c>
      <c r="C21" s="517">
        <f>SUM(C15+C16+C19)</f>
        <v>105989882</v>
      </c>
      <c r="D21" s="517">
        <f>SUM(D15+D16+D19)</f>
        <v>95183061</v>
      </c>
      <c r="E21" s="517">
        <f t="shared" si="0"/>
        <v>-10806821</v>
      </c>
    </row>
    <row r="22" spans="1:5" s="506" customFormat="1" x14ac:dyDescent="0.2">
      <c r="A22" s="512"/>
      <c r="B22" s="516" t="s">
        <v>692</v>
      </c>
      <c r="C22" s="517">
        <f>SUM(C14+C21)</f>
        <v>146231302</v>
      </c>
      <c r="D22" s="517">
        <f>SUM(D14+D21)</f>
        <v>131648635</v>
      </c>
      <c r="E22" s="517">
        <f t="shared" si="0"/>
        <v>-14582667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753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626</v>
      </c>
      <c r="C25" s="513">
        <v>97504016</v>
      </c>
      <c r="D25" s="513">
        <v>92946271</v>
      </c>
      <c r="E25" s="514">
        <f t="shared" ref="E25:E33" si="1">D25-C25</f>
        <v>-4557745</v>
      </c>
    </row>
    <row r="26" spans="1:5" s="506" customFormat="1" x14ac:dyDescent="0.2">
      <c r="A26" s="512">
        <v>2</v>
      </c>
      <c r="B26" s="511" t="s">
        <v>605</v>
      </c>
      <c r="C26" s="513">
        <v>78569021</v>
      </c>
      <c r="D26" s="515">
        <v>74174392</v>
      </c>
      <c r="E26" s="514">
        <f t="shared" si="1"/>
        <v>-4394629</v>
      </c>
    </row>
    <row r="27" spans="1:5" s="506" customFormat="1" x14ac:dyDescent="0.2">
      <c r="A27" s="512">
        <v>3</v>
      </c>
      <c r="B27" s="511" t="s">
        <v>751</v>
      </c>
      <c r="C27" s="513">
        <v>38820554</v>
      </c>
      <c r="D27" s="515">
        <v>45610048</v>
      </c>
      <c r="E27" s="514">
        <f t="shared" si="1"/>
        <v>6789494</v>
      </c>
    </row>
    <row r="28" spans="1:5" s="506" customFormat="1" x14ac:dyDescent="0.2">
      <c r="A28" s="512">
        <v>4</v>
      </c>
      <c r="B28" s="511" t="s">
        <v>114</v>
      </c>
      <c r="C28" s="513">
        <v>31424389</v>
      </c>
      <c r="D28" s="515">
        <v>45610048</v>
      </c>
      <c r="E28" s="514">
        <f t="shared" si="1"/>
        <v>14185659</v>
      </c>
    </row>
    <row r="29" spans="1:5" s="506" customFormat="1" x14ac:dyDescent="0.2">
      <c r="A29" s="512">
        <v>5</v>
      </c>
      <c r="B29" s="511" t="s">
        <v>718</v>
      </c>
      <c r="C29" s="513">
        <v>7396165</v>
      </c>
      <c r="D29" s="515">
        <v>0</v>
      </c>
      <c r="E29" s="514">
        <f t="shared" si="1"/>
        <v>-7396165</v>
      </c>
    </row>
    <row r="30" spans="1:5" s="506" customFormat="1" x14ac:dyDescent="0.2">
      <c r="A30" s="512">
        <v>6</v>
      </c>
      <c r="B30" s="511" t="s">
        <v>418</v>
      </c>
      <c r="C30" s="513">
        <v>636350</v>
      </c>
      <c r="D30" s="515">
        <v>666145</v>
      </c>
      <c r="E30" s="514">
        <f t="shared" si="1"/>
        <v>29795</v>
      </c>
    </row>
    <row r="31" spans="1:5" s="506" customFormat="1" x14ac:dyDescent="0.2">
      <c r="A31" s="512">
        <v>7</v>
      </c>
      <c r="B31" s="511" t="s">
        <v>733</v>
      </c>
      <c r="C31" s="514">
        <v>5736491</v>
      </c>
      <c r="D31" s="518">
        <v>5148409</v>
      </c>
      <c r="E31" s="514">
        <f t="shared" si="1"/>
        <v>-588082</v>
      </c>
    </row>
    <row r="32" spans="1:5" s="506" customFormat="1" x14ac:dyDescent="0.2">
      <c r="A32" s="512"/>
      <c r="B32" s="516" t="s">
        <v>754</v>
      </c>
      <c r="C32" s="517">
        <f>SUM(C26+C27+C30)</f>
        <v>118025925</v>
      </c>
      <c r="D32" s="517">
        <f>SUM(D26+D27+D30)</f>
        <v>120450585</v>
      </c>
      <c r="E32" s="517">
        <f t="shared" si="1"/>
        <v>2424660</v>
      </c>
    </row>
    <row r="33" spans="1:5" s="506" customFormat="1" x14ac:dyDescent="0.2">
      <c r="A33" s="512"/>
      <c r="B33" s="516" t="s">
        <v>698</v>
      </c>
      <c r="C33" s="517">
        <f>SUM(C25+C32)</f>
        <v>215529941</v>
      </c>
      <c r="D33" s="517">
        <f>SUM(D25+D32)</f>
        <v>213396856</v>
      </c>
      <c r="E33" s="517">
        <f t="shared" si="1"/>
        <v>-2133085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623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755</v>
      </c>
      <c r="C36" s="514">
        <f t="shared" ref="C36:D42" si="2">C14+C25</f>
        <v>137745436</v>
      </c>
      <c r="D36" s="514">
        <f t="shared" si="2"/>
        <v>129411845</v>
      </c>
      <c r="E36" s="514">
        <f t="shared" ref="E36:E44" si="3">D36-C36</f>
        <v>-8333591</v>
      </c>
    </row>
    <row r="37" spans="1:5" s="506" customFormat="1" x14ac:dyDescent="0.2">
      <c r="A37" s="512">
        <v>2</v>
      </c>
      <c r="B37" s="511" t="s">
        <v>756</v>
      </c>
      <c r="C37" s="514">
        <f t="shared" si="2"/>
        <v>161483379</v>
      </c>
      <c r="D37" s="514">
        <f t="shared" si="2"/>
        <v>147497330</v>
      </c>
      <c r="E37" s="514">
        <f t="shared" si="3"/>
        <v>-13986049</v>
      </c>
    </row>
    <row r="38" spans="1:5" s="506" customFormat="1" x14ac:dyDescent="0.2">
      <c r="A38" s="512">
        <v>3</v>
      </c>
      <c r="B38" s="511" t="s">
        <v>757</v>
      </c>
      <c r="C38" s="514">
        <f t="shared" si="2"/>
        <v>61273645</v>
      </c>
      <c r="D38" s="514">
        <f t="shared" si="2"/>
        <v>67117976</v>
      </c>
      <c r="E38" s="514">
        <f t="shared" si="3"/>
        <v>5844331</v>
      </c>
    </row>
    <row r="39" spans="1:5" s="506" customFormat="1" x14ac:dyDescent="0.2">
      <c r="A39" s="512">
        <v>4</v>
      </c>
      <c r="B39" s="511" t="s">
        <v>758</v>
      </c>
      <c r="C39" s="514">
        <f t="shared" si="2"/>
        <v>48959762</v>
      </c>
      <c r="D39" s="514">
        <f t="shared" si="2"/>
        <v>67117976</v>
      </c>
      <c r="E39" s="514">
        <f t="shared" si="3"/>
        <v>18158214</v>
      </c>
    </row>
    <row r="40" spans="1:5" s="506" customFormat="1" x14ac:dyDescent="0.2">
      <c r="A40" s="512">
        <v>5</v>
      </c>
      <c r="B40" s="511" t="s">
        <v>759</v>
      </c>
      <c r="C40" s="514">
        <f t="shared" si="2"/>
        <v>12313883</v>
      </c>
      <c r="D40" s="514">
        <f t="shared" si="2"/>
        <v>0</v>
      </c>
      <c r="E40" s="514">
        <f t="shared" si="3"/>
        <v>-12313883</v>
      </c>
    </row>
    <row r="41" spans="1:5" s="506" customFormat="1" x14ac:dyDescent="0.2">
      <c r="A41" s="512">
        <v>6</v>
      </c>
      <c r="B41" s="511" t="s">
        <v>760</v>
      </c>
      <c r="C41" s="514">
        <f t="shared" si="2"/>
        <v>1258783</v>
      </c>
      <c r="D41" s="514">
        <f t="shared" si="2"/>
        <v>1018340</v>
      </c>
      <c r="E41" s="514">
        <f t="shared" si="3"/>
        <v>-240443</v>
      </c>
    </row>
    <row r="42" spans="1:5" s="506" customFormat="1" x14ac:dyDescent="0.2">
      <c r="A42" s="512">
        <v>7</v>
      </c>
      <c r="B42" s="511" t="s">
        <v>761</v>
      </c>
      <c r="C42" s="514">
        <f t="shared" si="2"/>
        <v>6515439</v>
      </c>
      <c r="D42" s="514">
        <f t="shared" si="2"/>
        <v>5962563</v>
      </c>
      <c r="E42" s="514">
        <f t="shared" si="3"/>
        <v>-552876</v>
      </c>
    </row>
    <row r="43" spans="1:5" s="506" customFormat="1" x14ac:dyDescent="0.2">
      <c r="A43" s="512"/>
      <c r="B43" s="516" t="s">
        <v>762</v>
      </c>
      <c r="C43" s="517">
        <f>SUM(C37+C38+C41)</f>
        <v>224015807</v>
      </c>
      <c r="D43" s="517">
        <f>SUM(D37+D38+D41)</f>
        <v>215633646</v>
      </c>
      <c r="E43" s="517">
        <f t="shared" si="3"/>
        <v>-8382161</v>
      </c>
    </row>
    <row r="44" spans="1:5" s="506" customFormat="1" x14ac:dyDescent="0.2">
      <c r="A44" s="512"/>
      <c r="B44" s="516" t="s">
        <v>700</v>
      </c>
      <c r="C44" s="517">
        <f>SUM(C36+C43)</f>
        <v>361761243</v>
      </c>
      <c r="D44" s="517">
        <f>SUM(D36+D43)</f>
        <v>345045491</v>
      </c>
      <c r="E44" s="517">
        <f t="shared" si="3"/>
        <v>-16715752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763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626</v>
      </c>
      <c r="C47" s="513">
        <v>18721550</v>
      </c>
      <c r="D47" s="513">
        <v>17006157</v>
      </c>
      <c r="E47" s="514">
        <f t="shared" ref="E47:E55" si="4">D47-C47</f>
        <v>-1715393</v>
      </c>
    </row>
    <row r="48" spans="1:5" s="506" customFormat="1" x14ac:dyDescent="0.2">
      <c r="A48" s="512">
        <v>2</v>
      </c>
      <c r="B48" s="511" t="s">
        <v>605</v>
      </c>
      <c r="C48" s="513">
        <v>30644675</v>
      </c>
      <c r="D48" s="515">
        <v>29190396</v>
      </c>
      <c r="E48" s="514">
        <f t="shared" si="4"/>
        <v>-1454279</v>
      </c>
    </row>
    <row r="49" spans="1:5" s="506" customFormat="1" x14ac:dyDescent="0.2">
      <c r="A49" s="512">
        <v>3</v>
      </c>
      <c r="B49" s="511" t="s">
        <v>751</v>
      </c>
      <c r="C49" s="513">
        <v>5860122</v>
      </c>
      <c r="D49" s="515">
        <v>6632224</v>
      </c>
      <c r="E49" s="514">
        <f t="shared" si="4"/>
        <v>772102</v>
      </c>
    </row>
    <row r="50" spans="1:5" s="506" customFormat="1" x14ac:dyDescent="0.2">
      <c r="A50" s="512">
        <v>4</v>
      </c>
      <c r="B50" s="511" t="s">
        <v>114</v>
      </c>
      <c r="C50" s="513">
        <v>4882557</v>
      </c>
      <c r="D50" s="515">
        <v>6632224</v>
      </c>
      <c r="E50" s="514">
        <f t="shared" si="4"/>
        <v>1749667</v>
      </c>
    </row>
    <row r="51" spans="1:5" s="506" customFormat="1" x14ac:dyDescent="0.2">
      <c r="A51" s="512">
        <v>5</v>
      </c>
      <c r="B51" s="511" t="s">
        <v>718</v>
      </c>
      <c r="C51" s="513">
        <v>977565</v>
      </c>
      <c r="D51" s="515">
        <v>0</v>
      </c>
      <c r="E51" s="514">
        <f t="shared" si="4"/>
        <v>-977565</v>
      </c>
    </row>
    <row r="52" spans="1:5" s="506" customFormat="1" x14ac:dyDescent="0.2">
      <c r="A52" s="512">
        <v>6</v>
      </c>
      <c r="B52" s="511" t="s">
        <v>418</v>
      </c>
      <c r="C52" s="513">
        <v>162772</v>
      </c>
      <c r="D52" s="515">
        <v>145385</v>
      </c>
      <c r="E52" s="514">
        <f t="shared" si="4"/>
        <v>-17387</v>
      </c>
    </row>
    <row r="53" spans="1:5" s="506" customFormat="1" x14ac:dyDescent="0.2">
      <c r="A53" s="512">
        <v>7</v>
      </c>
      <c r="B53" s="511" t="s">
        <v>733</v>
      </c>
      <c r="C53" s="513">
        <v>27969</v>
      </c>
      <c r="D53" s="515">
        <v>20077</v>
      </c>
      <c r="E53" s="514">
        <f t="shared" si="4"/>
        <v>-7892</v>
      </c>
    </row>
    <row r="54" spans="1:5" s="506" customFormat="1" x14ac:dyDescent="0.2">
      <c r="A54" s="512"/>
      <c r="B54" s="516" t="s">
        <v>764</v>
      </c>
      <c r="C54" s="517">
        <f>SUM(C48+C49+C52)</f>
        <v>36667569</v>
      </c>
      <c r="D54" s="517">
        <f>SUM(D48+D49+D52)</f>
        <v>35968005</v>
      </c>
      <c r="E54" s="517">
        <f t="shared" si="4"/>
        <v>-699564</v>
      </c>
    </row>
    <row r="55" spans="1:5" s="506" customFormat="1" x14ac:dyDescent="0.2">
      <c r="A55" s="512"/>
      <c r="B55" s="516" t="s">
        <v>693</v>
      </c>
      <c r="C55" s="517">
        <f>SUM(C47+C54)</f>
        <v>55389119</v>
      </c>
      <c r="D55" s="517">
        <f>SUM(D47+D54)</f>
        <v>52974162</v>
      </c>
      <c r="E55" s="517">
        <f t="shared" si="4"/>
        <v>-2414957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765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626</v>
      </c>
      <c r="C58" s="513">
        <v>36311112</v>
      </c>
      <c r="D58" s="513">
        <v>33067146</v>
      </c>
      <c r="E58" s="514">
        <f t="shared" ref="E58:E66" si="5">D58-C58</f>
        <v>-3243966</v>
      </c>
    </row>
    <row r="59" spans="1:5" s="506" customFormat="1" x14ac:dyDescent="0.2">
      <c r="A59" s="512">
        <v>2</v>
      </c>
      <c r="B59" s="511" t="s">
        <v>605</v>
      </c>
      <c r="C59" s="513">
        <v>18498947</v>
      </c>
      <c r="D59" s="515">
        <v>17879302</v>
      </c>
      <c r="E59" s="514">
        <f t="shared" si="5"/>
        <v>-619645</v>
      </c>
    </row>
    <row r="60" spans="1:5" s="506" customFormat="1" x14ac:dyDescent="0.2">
      <c r="A60" s="512">
        <v>3</v>
      </c>
      <c r="B60" s="511" t="s">
        <v>751</v>
      </c>
      <c r="C60" s="513">
        <f>C61+C62</f>
        <v>8660816</v>
      </c>
      <c r="D60" s="515">
        <f>D61+D62</f>
        <v>11612683</v>
      </c>
      <c r="E60" s="514">
        <f t="shared" si="5"/>
        <v>2951867</v>
      </c>
    </row>
    <row r="61" spans="1:5" s="506" customFormat="1" x14ac:dyDescent="0.2">
      <c r="A61" s="512">
        <v>4</v>
      </c>
      <c r="B61" s="511" t="s">
        <v>114</v>
      </c>
      <c r="C61" s="513">
        <v>7604701</v>
      </c>
      <c r="D61" s="515">
        <v>11612683</v>
      </c>
      <c r="E61" s="514">
        <f t="shared" si="5"/>
        <v>4007982</v>
      </c>
    </row>
    <row r="62" spans="1:5" s="506" customFormat="1" x14ac:dyDescent="0.2">
      <c r="A62" s="512">
        <v>5</v>
      </c>
      <c r="B62" s="511" t="s">
        <v>718</v>
      </c>
      <c r="C62" s="513">
        <v>1056115</v>
      </c>
      <c r="D62" s="515">
        <v>0</v>
      </c>
      <c r="E62" s="514">
        <f t="shared" si="5"/>
        <v>-1056115</v>
      </c>
    </row>
    <row r="63" spans="1:5" s="506" customFormat="1" x14ac:dyDescent="0.2">
      <c r="A63" s="512">
        <v>6</v>
      </c>
      <c r="B63" s="511" t="s">
        <v>418</v>
      </c>
      <c r="C63" s="513">
        <v>126904</v>
      </c>
      <c r="D63" s="515">
        <v>132563</v>
      </c>
      <c r="E63" s="514">
        <f t="shared" si="5"/>
        <v>5659</v>
      </c>
    </row>
    <row r="64" spans="1:5" s="506" customFormat="1" x14ac:dyDescent="0.2">
      <c r="A64" s="512">
        <v>7</v>
      </c>
      <c r="B64" s="511" t="s">
        <v>733</v>
      </c>
      <c r="C64" s="513">
        <v>379481</v>
      </c>
      <c r="D64" s="515">
        <v>267960</v>
      </c>
      <c r="E64" s="514">
        <f t="shared" si="5"/>
        <v>-111521</v>
      </c>
    </row>
    <row r="65" spans="1:5" s="506" customFormat="1" x14ac:dyDescent="0.2">
      <c r="A65" s="512"/>
      <c r="B65" s="516" t="s">
        <v>766</v>
      </c>
      <c r="C65" s="517">
        <f>SUM(C59+C60+C63)</f>
        <v>27286667</v>
      </c>
      <c r="D65" s="517">
        <f>SUM(D59+D60+D63)</f>
        <v>29624548</v>
      </c>
      <c r="E65" s="517">
        <f t="shared" si="5"/>
        <v>2337881</v>
      </c>
    </row>
    <row r="66" spans="1:5" s="506" customFormat="1" x14ac:dyDescent="0.2">
      <c r="A66" s="512"/>
      <c r="B66" s="516" t="s">
        <v>699</v>
      </c>
      <c r="C66" s="517">
        <f>SUM(C58+C65)</f>
        <v>63597779</v>
      </c>
      <c r="D66" s="517">
        <f>SUM(D58+D65)</f>
        <v>62691694</v>
      </c>
      <c r="E66" s="517">
        <f t="shared" si="5"/>
        <v>-906085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624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755</v>
      </c>
      <c r="C69" s="514">
        <f t="shared" ref="C69:D75" si="6">C47+C58</f>
        <v>55032662</v>
      </c>
      <c r="D69" s="514">
        <f t="shared" si="6"/>
        <v>50073303</v>
      </c>
      <c r="E69" s="514">
        <f t="shared" ref="E69:E77" si="7">D69-C69</f>
        <v>-4959359</v>
      </c>
    </row>
    <row r="70" spans="1:5" s="506" customFormat="1" x14ac:dyDescent="0.2">
      <c r="A70" s="512">
        <v>2</v>
      </c>
      <c r="B70" s="511" t="s">
        <v>756</v>
      </c>
      <c r="C70" s="514">
        <f t="shared" si="6"/>
        <v>49143622</v>
      </c>
      <c r="D70" s="514">
        <f t="shared" si="6"/>
        <v>47069698</v>
      </c>
      <c r="E70" s="514">
        <f t="shared" si="7"/>
        <v>-2073924</v>
      </c>
    </row>
    <row r="71" spans="1:5" s="506" customFormat="1" x14ac:dyDescent="0.2">
      <c r="A71" s="512">
        <v>3</v>
      </c>
      <c r="B71" s="511" t="s">
        <v>757</v>
      </c>
      <c r="C71" s="514">
        <f t="shared" si="6"/>
        <v>14520938</v>
      </c>
      <c r="D71" s="514">
        <f t="shared" si="6"/>
        <v>18244907</v>
      </c>
      <c r="E71" s="514">
        <f t="shared" si="7"/>
        <v>3723969</v>
      </c>
    </row>
    <row r="72" spans="1:5" s="506" customFormat="1" x14ac:dyDescent="0.2">
      <c r="A72" s="512">
        <v>4</v>
      </c>
      <c r="B72" s="511" t="s">
        <v>758</v>
      </c>
      <c r="C72" s="514">
        <f t="shared" si="6"/>
        <v>12487258</v>
      </c>
      <c r="D72" s="514">
        <f t="shared" si="6"/>
        <v>18244907</v>
      </c>
      <c r="E72" s="514">
        <f t="shared" si="7"/>
        <v>5757649</v>
      </c>
    </row>
    <row r="73" spans="1:5" s="506" customFormat="1" x14ac:dyDescent="0.2">
      <c r="A73" s="512">
        <v>5</v>
      </c>
      <c r="B73" s="511" t="s">
        <v>759</v>
      </c>
      <c r="C73" s="514">
        <f t="shared" si="6"/>
        <v>2033680</v>
      </c>
      <c r="D73" s="514">
        <f t="shared" si="6"/>
        <v>0</v>
      </c>
      <c r="E73" s="514">
        <f t="shared" si="7"/>
        <v>-2033680</v>
      </c>
    </row>
    <row r="74" spans="1:5" s="506" customFormat="1" x14ac:dyDescent="0.2">
      <c r="A74" s="512">
        <v>6</v>
      </c>
      <c r="B74" s="511" t="s">
        <v>760</v>
      </c>
      <c r="C74" s="514">
        <f t="shared" si="6"/>
        <v>289676</v>
      </c>
      <c r="D74" s="514">
        <f t="shared" si="6"/>
        <v>277948</v>
      </c>
      <c r="E74" s="514">
        <f t="shared" si="7"/>
        <v>-11728</v>
      </c>
    </row>
    <row r="75" spans="1:5" s="506" customFormat="1" x14ac:dyDescent="0.2">
      <c r="A75" s="512">
        <v>7</v>
      </c>
      <c r="B75" s="511" t="s">
        <v>761</v>
      </c>
      <c r="C75" s="514">
        <f t="shared" si="6"/>
        <v>407450</v>
      </c>
      <c r="D75" s="514">
        <f t="shared" si="6"/>
        <v>288037</v>
      </c>
      <c r="E75" s="514">
        <f t="shared" si="7"/>
        <v>-119413</v>
      </c>
    </row>
    <row r="76" spans="1:5" s="506" customFormat="1" x14ac:dyDescent="0.2">
      <c r="A76" s="512"/>
      <c r="B76" s="516" t="s">
        <v>767</v>
      </c>
      <c r="C76" s="517">
        <f>SUM(C70+C71+C74)</f>
        <v>63954236</v>
      </c>
      <c r="D76" s="517">
        <f>SUM(D70+D71+D74)</f>
        <v>65592553</v>
      </c>
      <c r="E76" s="517">
        <f t="shared" si="7"/>
        <v>1638317</v>
      </c>
    </row>
    <row r="77" spans="1:5" s="506" customFormat="1" x14ac:dyDescent="0.2">
      <c r="A77" s="512"/>
      <c r="B77" s="516" t="s">
        <v>701</v>
      </c>
      <c r="C77" s="517">
        <f>SUM(C69+C76)</f>
        <v>118986898</v>
      </c>
      <c r="D77" s="517">
        <f>SUM(D69+D76)</f>
        <v>115665856</v>
      </c>
      <c r="E77" s="517">
        <f t="shared" si="7"/>
        <v>-3321042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768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769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626</v>
      </c>
      <c r="C83" s="523">
        <f t="shared" ref="C83:D89" si="8">IF(C$44=0,0,C14/C$44)</f>
        <v>0.11123751031560891</v>
      </c>
      <c r="D83" s="523">
        <f t="shared" si="8"/>
        <v>0.10568338074587388</v>
      </c>
      <c r="E83" s="523">
        <f t="shared" ref="E83:E91" si="9">D83-C83</f>
        <v>-5.5541295697350279E-3</v>
      </c>
    </row>
    <row r="84" spans="1:5" s="506" customFormat="1" x14ac:dyDescent="0.2">
      <c r="A84" s="512">
        <v>2</v>
      </c>
      <c r="B84" s="511" t="s">
        <v>605</v>
      </c>
      <c r="C84" s="523">
        <f t="shared" si="8"/>
        <v>0.22919635423742726</v>
      </c>
      <c r="D84" s="523">
        <f t="shared" si="8"/>
        <v>0.21250223495892603</v>
      </c>
      <c r="E84" s="523">
        <f t="shared" si="9"/>
        <v>-1.6694119278501229E-2</v>
      </c>
    </row>
    <row r="85" spans="1:5" s="506" customFormat="1" x14ac:dyDescent="0.2">
      <c r="A85" s="512">
        <v>3</v>
      </c>
      <c r="B85" s="511" t="s">
        <v>751</v>
      </c>
      <c r="C85" s="523">
        <f t="shared" si="8"/>
        <v>6.2066048905078539E-2</v>
      </c>
      <c r="D85" s="523">
        <f t="shared" si="8"/>
        <v>6.2333601107686987E-2</v>
      </c>
      <c r="E85" s="523">
        <f t="shared" si="9"/>
        <v>2.6755220260844814E-4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4.8472226749840086E-2</v>
      </c>
      <c r="D86" s="523">
        <f t="shared" si="8"/>
        <v>6.2333601107686987E-2</v>
      </c>
      <c r="E86" s="523">
        <f t="shared" si="9"/>
        <v>1.3861374357846901E-2</v>
      </c>
    </row>
    <row r="87" spans="1:5" s="506" customFormat="1" x14ac:dyDescent="0.2">
      <c r="A87" s="512">
        <v>5</v>
      </c>
      <c r="B87" s="511" t="s">
        <v>718</v>
      </c>
      <c r="C87" s="523">
        <f t="shared" si="8"/>
        <v>1.3593822155238449E-2</v>
      </c>
      <c r="D87" s="523">
        <f t="shared" si="8"/>
        <v>0</v>
      </c>
      <c r="E87" s="523">
        <f t="shared" si="9"/>
        <v>-1.3593822155238449E-2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1.7205629736295439E-3</v>
      </c>
      <c r="D88" s="523">
        <f t="shared" si="8"/>
        <v>1.0207204823319948E-3</v>
      </c>
      <c r="E88" s="523">
        <f t="shared" si="9"/>
        <v>-6.9984249129754908E-4</v>
      </c>
    </row>
    <row r="89" spans="1:5" s="506" customFormat="1" x14ac:dyDescent="0.2">
      <c r="A89" s="512">
        <v>7</v>
      </c>
      <c r="B89" s="511" t="s">
        <v>733</v>
      </c>
      <c r="C89" s="523">
        <f t="shared" si="8"/>
        <v>2.1532102044441504E-3</v>
      </c>
      <c r="D89" s="523">
        <f t="shared" si="8"/>
        <v>2.3595555404606057E-3</v>
      </c>
      <c r="E89" s="523">
        <f t="shared" si="9"/>
        <v>2.0634533601645525E-4</v>
      </c>
    </row>
    <row r="90" spans="1:5" s="506" customFormat="1" x14ac:dyDescent="0.2">
      <c r="A90" s="512"/>
      <c r="B90" s="516" t="s">
        <v>770</v>
      </c>
      <c r="C90" s="524">
        <f>SUM(C84+C85+C88)</f>
        <v>0.29298296611613533</v>
      </c>
      <c r="D90" s="524">
        <f>SUM(D84+D85+D88)</f>
        <v>0.27585655654894498</v>
      </c>
      <c r="E90" s="525">
        <f t="shared" si="9"/>
        <v>-1.7126409567190359E-2</v>
      </c>
    </row>
    <row r="91" spans="1:5" s="506" customFormat="1" x14ac:dyDescent="0.2">
      <c r="A91" s="512"/>
      <c r="B91" s="516" t="s">
        <v>771</v>
      </c>
      <c r="C91" s="524">
        <f>SUM(C83+C90)</f>
        <v>0.40422047643174425</v>
      </c>
      <c r="D91" s="524">
        <f>SUM(D83+D90)</f>
        <v>0.38153993729481883</v>
      </c>
      <c r="E91" s="525">
        <f t="shared" si="9"/>
        <v>-2.2680539136925415E-2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772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626</v>
      </c>
      <c r="C95" s="523">
        <f t="shared" ref="C95:D101" si="10">IF(C$44=0,0,C25/C$44)</f>
        <v>0.26952587621444013</v>
      </c>
      <c r="D95" s="523">
        <f t="shared" si="10"/>
        <v>0.26937396205533953</v>
      </c>
      <c r="E95" s="523">
        <f t="shared" ref="E95:E103" si="11">D95-C95</f>
        <v>-1.519141591005968E-4</v>
      </c>
    </row>
    <row r="96" spans="1:5" s="506" customFormat="1" x14ac:dyDescent="0.2">
      <c r="A96" s="512">
        <v>2</v>
      </c>
      <c r="B96" s="511" t="s">
        <v>605</v>
      </c>
      <c r="C96" s="523">
        <f t="shared" si="10"/>
        <v>0.21718473860949222</v>
      </c>
      <c r="D96" s="523">
        <f t="shared" si="10"/>
        <v>0.21496989218734638</v>
      </c>
      <c r="E96" s="523">
        <f t="shared" si="11"/>
        <v>-2.2148464221458386E-3</v>
      </c>
    </row>
    <row r="97" spans="1:5" s="506" customFormat="1" x14ac:dyDescent="0.2">
      <c r="A97" s="512">
        <v>3</v>
      </c>
      <c r="B97" s="511" t="s">
        <v>751</v>
      </c>
      <c r="C97" s="523">
        <f t="shared" si="10"/>
        <v>0.10730987564635275</v>
      </c>
      <c r="D97" s="523">
        <f t="shared" si="10"/>
        <v>0.13218560795509715</v>
      </c>
      <c r="E97" s="523">
        <f t="shared" si="11"/>
        <v>2.4875732308744403E-2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8.6864996204140094E-2</v>
      </c>
      <c r="D98" s="523">
        <f t="shared" si="10"/>
        <v>0.13218560795509715</v>
      </c>
      <c r="E98" s="523">
        <f t="shared" si="11"/>
        <v>4.5320611750957057E-2</v>
      </c>
    </row>
    <row r="99" spans="1:5" s="506" customFormat="1" x14ac:dyDescent="0.2">
      <c r="A99" s="512">
        <v>5</v>
      </c>
      <c r="B99" s="511" t="s">
        <v>718</v>
      </c>
      <c r="C99" s="523">
        <f t="shared" si="10"/>
        <v>2.0444879442212665E-2</v>
      </c>
      <c r="D99" s="523">
        <f t="shared" si="10"/>
        <v>0</v>
      </c>
      <c r="E99" s="523">
        <f t="shared" si="11"/>
        <v>-2.0444879442212665E-2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1.7590330979706413E-3</v>
      </c>
      <c r="D100" s="523">
        <f t="shared" si="10"/>
        <v>1.9306005073980231E-3</v>
      </c>
      <c r="E100" s="523">
        <f t="shared" si="11"/>
        <v>1.7156740942738183E-4</v>
      </c>
    </row>
    <row r="101" spans="1:5" s="506" customFormat="1" x14ac:dyDescent="0.2">
      <c r="A101" s="512">
        <v>7</v>
      </c>
      <c r="B101" s="511" t="s">
        <v>733</v>
      </c>
      <c r="C101" s="523">
        <f t="shared" si="10"/>
        <v>1.5857118779304947E-2</v>
      </c>
      <c r="D101" s="523">
        <f t="shared" si="10"/>
        <v>1.4920957190540421E-2</v>
      </c>
      <c r="E101" s="523">
        <f t="shared" si="11"/>
        <v>-9.3616158876452631E-4</v>
      </c>
    </row>
    <row r="102" spans="1:5" s="506" customFormat="1" x14ac:dyDescent="0.2">
      <c r="A102" s="512"/>
      <c r="B102" s="516" t="s">
        <v>773</v>
      </c>
      <c r="C102" s="524">
        <f>SUM(C96+C97+C100)</f>
        <v>0.32625364735381562</v>
      </c>
      <c r="D102" s="524">
        <f>SUM(D96+D97+D100)</f>
        <v>0.34908610064984158</v>
      </c>
      <c r="E102" s="525">
        <f t="shared" si="11"/>
        <v>2.2832453296025956E-2</v>
      </c>
    </row>
    <row r="103" spans="1:5" s="506" customFormat="1" x14ac:dyDescent="0.2">
      <c r="A103" s="512"/>
      <c r="B103" s="516" t="s">
        <v>774</v>
      </c>
      <c r="C103" s="524">
        <f>SUM(C95+C102)</f>
        <v>0.5957795235682557</v>
      </c>
      <c r="D103" s="524">
        <f>SUM(D95+D102)</f>
        <v>0.61846006270518106</v>
      </c>
      <c r="E103" s="525">
        <f t="shared" si="11"/>
        <v>2.268053913692536E-2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775</v>
      </c>
      <c r="C105" s="525">
        <f>C91+C103</f>
        <v>1</v>
      </c>
      <c r="D105" s="525">
        <f>D91+D103</f>
        <v>0.99999999999999989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776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626</v>
      </c>
      <c r="C109" s="523">
        <f t="shared" ref="C109:D115" si="12">IF(C$77=0,0,C47/C$77)</f>
        <v>0.15734127298620726</v>
      </c>
      <c r="D109" s="523">
        <f t="shared" si="12"/>
        <v>0.14702832441753597</v>
      </c>
      <c r="E109" s="523">
        <f t="shared" ref="E109:E117" si="13">D109-C109</f>
        <v>-1.0312948568671293E-2</v>
      </c>
    </row>
    <row r="110" spans="1:5" s="506" customFormat="1" x14ac:dyDescent="0.2">
      <c r="A110" s="512">
        <v>2</v>
      </c>
      <c r="B110" s="511" t="s">
        <v>605</v>
      </c>
      <c r="C110" s="523">
        <f t="shared" si="12"/>
        <v>0.25754663341168876</v>
      </c>
      <c r="D110" s="523">
        <f t="shared" si="12"/>
        <v>0.25236830478304678</v>
      </c>
      <c r="E110" s="523">
        <f t="shared" si="13"/>
        <v>-5.1783286286419816E-3</v>
      </c>
    </row>
    <row r="111" spans="1:5" s="506" customFormat="1" x14ac:dyDescent="0.2">
      <c r="A111" s="512">
        <v>3</v>
      </c>
      <c r="B111" s="511" t="s">
        <v>751</v>
      </c>
      <c r="C111" s="523">
        <f t="shared" si="12"/>
        <v>4.9250145171445686E-2</v>
      </c>
      <c r="D111" s="523">
        <f t="shared" si="12"/>
        <v>5.7339514264261357E-2</v>
      </c>
      <c r="E111" s="523">
        <f t="shared" si="13"/>
        <v>8.0893690928156708E-3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4.1034408679180796E-2</v>
      </c>
      <c r="D112" s="523">
        <f t="shared" si="12"/>
        <v>5.7339514264261357E-2</v>
      </c>
      <c r="E112" s="523">
        <f t="shared" si="13"/>
        <v>1.6305105585080561E-2</v>
      </c>
    </row>
    <row r="113" spans="1:5" s="506" customFormat="1" x14ac:dyDescent="0.2">
      <c r="A113" s="512">
        <v>5</v>
      </c>
      <c r="B113" s="511" t="s">
        <v>718</v>
      </c>
      <c r="C113" s="523">
        <f t="shared" si="12"/>
        <v>8.2157364922648881E-3</v>
      </c>
      <c r="D113" s="523">
        <f t="shared" si="12"/>
        <v>0</v>
      </c>
      <c r="E113" s="523">
        <f t="shared" si="13"/>
        <v>-8.2157364922648881E-3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1.3679825488012974E-3</v>
      </c>
      <c r="D114" s="523">
        <f t="shared" si="12"/>
        <v>1.2569396451792998E-3</v>
      </c>
      <c r="E114" s="523">
        <f t="shared" si="13"/>
        <v>-1.1104290362199754E-4</v>
      </c>
    </row>
    <row r="115" spans="1:5" s="506" customFormat="1" x14ac:dyDescent="0.2">
      <c r="A115" s="512">
        <v>7</v>
      </c>
      <c r="B115" s="511" t="s">
        <v>733</v>
      </c>
      <c r="C115" s="523">
        <f t="shared" si="12"/>
        <v>2.3505949369316277E-4</v>
      </c>
      <c r="D115" s="523">
        <f t="shared" si="12"/>
        <v>1.7357758541984941E-4</v>
      </c>
      <c r="E115" s="523">
        <f t="shared" si="13"/>
        <v>-6.1481908273313361E-5</v>
      </c>
    </row>
    <row r="116" spans="1:5" s="506" customFormat="1" x14ac:dyDescent="0.2">
      <c r="A116" s="512"/>
      <c r="B116" s="516" t="s">
        <v>770</v>
      </c>
      <c r="C116" s="524">
        <f>SUM(C110+C111+C114)</f>
        <v>0.30816476113193575</v>
      </c>
      <c r="D116" s="524">
        <f>SUM(D110+D111+D114)</f>
        <v>0.31096475869248746</v>
      </c>
      <c r="E116" s="525">
        <f t="shared" si="13"/>
        <v>2.7999975605517147E-3</v>
      </c>
    </row>
    <row r="117" spans="1:5" s="506" customFormat="1" x14ac:dyDescent="0.2">
      <c r="A117" s="512"/>
      <c r="B117" s="516" t="s">
        <v>771</v>
      </c>
      <c r="C117" s="524">
        <f>SUM(C109+C116)</f>
        <v>0.46550603411814301</v>
      </c>
      <c r="D117" s="524">
        <f>SUM(D109+D116)</f>
        <v>0.4579930831100234</v>
      </c>
      <c r="E117" s="525">
        <f t="shared" si="13"/>
        <v>-7.512951008119606E-3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777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626</v>
      </c>
      <c r="C121" s="523">
        <f t="shared" ref="C121:D127" si="14">IF(C$77=0,0,C58/C$77)</f>
        <v>0.30516899432070244</v>
      </c>
      <c r="D121" s="523">
        <f t="shared" si="14"/>
        <v>0.28588511029564334</v>
      </c>
      <c r="E121" s="523">
        <f t="shared" ref="E121:E129" si="15">D121-C121</f>
        <v>-1.9283884025059095E-2</v>
      </c>
    </row>
    <row r="122" spans="1:5" s="506" customFormat="1" x14ac:dyDescent="0.2">
      <c r="A122" s="512">
        <v>2</v>
      </c>
      <c r="B122" s="511" t="s">
        <v>605</v>
      </c>
      <c r="C122" s="523">
        <f t="shared" si="14"/>
        <v>0.1554704535620384</v>
      </c>
      <c r="D122" s="523">
        <f t="shared" si="14"/>
        <v>0.15457718135938059</v>
      </c>
      <c r="E122" s="523">
        <f t="shared" si="15"/>
        <v>-8.9327220265780771E-4</v>
      </c>
    </row>
    <row r="123" spans="1:5" s="506" customFormat="1" x14ac:dyDescent="0.2">
      <c r="A123" s="512">
        <v>3</v>
      </c>
      <c r="B123" s="511" t="s">
        <v>751</v>
      </c>
      <c r="C123" s="523">
        <f t="shared" si="14"/>
        <v>7.2787980404363517E-2</v>
      </c>
      <c r="D123" s="523">
        <f t="shared" si="14"/>
        <v>0.10039853939264497</v>
      </c>
      <c r="E123" s="523">
        <f t="shared" si="15"/>
        <v>2.761055898828145E-2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6.3912087194675837E-2</v>
      </c>
      <c r="D124" s="523">
        <f t="shared" si="14"/>
        <v>0.10039853939264497</v>
      </c>
      <c r="E124" s="523">
        <f t="shared" si="15"/>
        <v>3.648645219796913E-2</v>
      </c>
    </row>
    <row r="125" spans="1:5" s="506" customFormat="1" x14ac:dyDescent="0.2">
      <c r="A125" s="512">
        <v>5</v>
      </c>
      <c r="B125" s="511" t="s">
        <v>718</v>
      </c>
      <c r="C125" s="523">
        <f t="shared" si="14"/>
        <v>8.8758932096876745E-3</v>
      </c>
      <c r="D125" s="523">
        <f t="shared" si="14"/>
        <v>0</v>
      </c>
      <c r="E125" s="523">
        <f t="shared" si="15"/>
        <v>-8.8758932096876745E-3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1.0665375947526592E-3</v>
      </c>
      <c r="D126" s="523">
        <f t="shared" si="14"/>
        <v>1.1460858423076902E-3</v>
      </c>
      <c r="E126" s="523">
        <f t="shared" si="15"/>
        <v>7.9548247555030977E-5</v>
      </c>
    </row>
    <row r="127" spans="1:5" s="506" customFormat="1" x14ac:dyDescent="0.2">
      <c r="A127" s="512">
        <v>7</v>
      </c>
      <c r="B127" s="511" t="s">
        <v>733</v>
      </c>
      <c r="C127" s="523">
        <f t="shared" si="14"/>
        <v>3.1892671073751331E-3</v>
      </c>
      <c r="D127" s="523">
        <f t="shared" si="14"/>
        <v>2.3166732972606887E-3</v>
      </c>
      <c r="E127" s="523">
        <f t="shared" si="15"/>
        <v>-8.7259381011444434E-4</v>
      </c>
    </row>
    <row r="128" spans="1:5" s="506" customFormat="1" x14ac:dyDescent="0.2">
      <c r="A128" s="512"/>
      <c r="B128" s="516" t="s">
        <v>773</v>
      </c>
      <c r="C128" s="524">
        <f>SUM(C122+C123+C126)</f>
        <v>0.22932497156115458</v>
      </c>
      <c r="D128" s="524">
        <f>SUM(D122+D123+D126)</f>
        <v>0.25612180659433326</v>
      </c>
      <c r="E128" s="525">
        <f t="shared" si="15"/>
        <v>2.6796835033178673E-2</v>
      </c>
    </row>
    <row r="129" spans="1:5" s="506" customFormat="1" x14ac:dyDescent="0.2">
      <c r="A129" s="512"/>
      <c r="B129" s="516" t="s">
        <v>774</v>
      </c>
      <c r="C129" s="524">
        <f>SUM(C121+C128)</f>
        <v>0.53449396588185705</v>
      </c>
      <c r="D129" s="524">
        <f>SUM(D121+D128)</f>
        <v>0.5420069168899766</v>
      </c>
      <c r="E129" s="525">
        <f t="shared" si="15"/>
        <v>7.5129510081195505E-3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778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779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780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626</v>
      </c>
      <c r="C137" s="530">
        <v>2486</v>
      </c>
      <c r="D137" s="530">
        <v>2320</v>
      </c>
      <c r="E137" s="531">
        <f t="shared" ref="E137:E145" si="16">D137-C137</f>
        <v>-166</v>
      </c>
    </row>
    <row r="138" spans="1:5" s="506" customFormat="1" x14ac:dyDescent="0.2">
      <c r="A138" s="512">
        <v>2</v>
      </c>
      <c r="B138" s="511" t="s">
        <v>605</v>
      </c>
      <c r="C138" s="530">
        <v>3426</v>
      </c>
      <c r="D138" s="530">
        <v>3378</v>
      </c>
      <c r="E138" s="531">
        <f t="shared" si="16"/>
        <v>-48</v>
      </c>
    </row>
    <row r="139" spans="1:5" s="506" customFormat="1" x14ac:dyDescent="0.2">
      <c r="A139" s="512">
        <v>3</v>
      </c>
      <c r="B139" s="511" t="s">
        <v>751</v>
      </c>
      <c r="C139" s="530">
        <f>C140+C141</f>
        <v>1685</v>
      </c>
      <c r="D139" s="530">
        <f>D140+D141</f>
        <v>1593</v>
      </c>
      <c r="E139" s="531">
        <f t="shared" si="16"/>
        <v>-92</v>
      </c>
    </row>
    <row r="140" spans="1:5" s="506" customFormat="1" x14ac:dyDescent="0.2">
      <c r="A140" s="512">
        <v>4</v>
      </c>
      <c r="B140" s="511" t="s">
        <v>114</v>
      </c>
      <c r="C140" s="530">
        <v>1325</v>
      </c>
      <c r="D140" s="530">
        <v>1593</v>
      </c>
      <c r="E140" s="531">
        <f t="shared" si="16"/>
        <v>268</v>
      </c>
    </row>
    <row r="141" spans="1:5" s="506" customFormat="1" x14ac:dyDescent="0.2">
      <c r="A141" s="512">
        <v>5</v>
      </c>
      <c r="B141" s="511" t="s">
        <v>718</v>
      </c>
      <c r="C141" s="530">
        <v>360</v>
      </c>
      <c r="D141" s="530">
        <v>0</v>
      </c>
      <c r="E141" s="531">
        <f t="shared" si="16"/>
        <v>-360</v>
      </c>
    </row>
    <row r="142" spans="1:5" s="506" customFormat="1" x14ac:dyDescent="0.2">
      <c r="A142" s="512">
        <v>6</v>
      </c>
      <c r="B142" s="511" t="s">
        <v>418</v>
      </c>
      <c r="C142" s="530">
        <v>20</v>
      </c>
      <c r="D142" s="530">
        <v>25</v>
      </c>
      <c r="E142" s="531">
        <f t="shared" si="16"/>
        <v>5</v>
      </c>
    </row>
    <row r="143" spans="1:5" s="506" customFormat="1" x14ac:dyDescent="0.2">
      <c r="A143" s="512">
        <v>7</v>
      </c>
      <c r="B143" s="511" t="s">
        <v>733</v>
      </c>
      <c r="C143" s="530">
        <v>64</v>
      </c>
      <c r="D143" s="530">
        <v>38</v>
      </c>
      <c r="E143" s="531">
        <f t="shared" si="16"/>
        <v>-26</v>
      </c>
    </row>
    <row r="144" spans="1:5" s="506" customFormat="1" x14ac:dyDescent="0.2">
      <c r="A144" s="512"/>
      <c r="B144" s="516" t="s">
        <v>781</v>
      </c>
      <c r="C144" s="532">
        <f>SUM(C138+C139+C142)</f>
        <v>5131</v>
      </c>
      <c r="D144" s="532">
        <f>SUM(D138+D139+D142)</f>
        <v>4996</v>
      </c>
      <c r="E144" s="533">
        <f t="shared" si="16"/>
        <v>-135</v>
      </c>
    </row>
    <row r="145" spans="1:5" s="506" customFormat="1" x14ac:dyDescent="0.2">
      <c r="A145" s="512"/>
      <c r="B145" s="516" t="s">
        <v>695</v>
      </c>
      <c r="C145" s="532">
        <f>SUM(C137+C144)</f>
        <v>7617</v>
      </c>
      <c r="D145" s="532">
        <f>SUM(D137+D144)</f>
        <v>7316</v>
      </c>
      <c r="E145" s="533">
        <f t="shared" si="16"/>
        <v>-301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626</v>
      </c>
      <c r="C149" s="534">
        <v>7861</v>
      </c>
      <c r="D149" s="534">
        <v>7286</v>
      </c>
      <c r="E149" s="531">
        <f t="shared" ref="E149:E157" si="17">D149-C149</f>
        <v>-575</v>
      </c>
    </row>
    <row r="150" spans="1:5" s="506" customFormat="1" x14ac:dyDescent="0.2">
      <c r="A150" s="512">
        <v>2</v>
      </c>
      <c r="B150" s="511" t="s">
        <v>605</v>
      </c>
      <c r="C150" s="534">
        <v>17157</v>
      </c>
      <c r="D150" s="534">
        <v>15650</v>
      </c>
      <c r="E150" s="531">
        <f t="shared" si="17"/>
        <v>-1507</v>
      </c>
    </row>
    <row r="151" spans="1:5" s="506" customFormat="1" x14ac:dyDescent="0.2">
      <c r="A151" s="512">
        <v>3</v>
      </c>
      <c r="B151" s="511" t="s">
        <v>751</v>
      </c>
      <c r="C151" s="534">
        <f>C152+C153</f>
        <v>5510</v>
      </c>
      <c r="D151" s="534">
        <f>D152+D153</f>
        <v>5653</v>
      </c>
      <c r="E151" s="531">
        <f t="shared" si="17"/>
        <v>143</v>
      </c>
    </row>
    <row r="152" spans="1:5" s="506" customFormat="1" x14ac:dyDescent="0.2">
      <c r="A152" s="512">
        <v>4</v>
      </c>
      <c r="B152" s="511" t="s">
        <v>114</v>
      </c>
      <c r="C152" s="534">
        <v>4218</v>
      </c>
      <c r="D152" s="534">
        <v>5653</v>
      </c>
      <c r="E152" s="531">
        <f t="shared" si="17"/>
        <v>1435</v>
      </c>
    </row>
    <row r="153" spans="1:5" s="506" customFormat="1" x14ac:dyDescent="0.2">
      <c r="A153" s="512">
        <v>5</v>
      </c>
      <c r="B153" s="511" t="s">
        <v>718</v>
      </c>
      <c r="C153" s="535">
        <v>1292</v>
      </c>
      <c r="D153" s="534">
        <v>0</v>
      </c>
      <c r="E153" s="531">
        <f t="shared" si="17"/>
        <v>-1292</v>
      </c>
    </row>
    <row r="154" spans="1:5" s="506" customFormat="1" x14ac:dyDescent="0.2">
      <c r="A154" s="512">
        <v>6</v>
      </c>
      <c r="B154" s="511" t="s">
        <v>418</v>
      </c>
      <c r="C154" s="534">
        <v>145</v>
      </c>
      <c r="D154" s="534">
        <v>81</v>
      </c>
      <c r="E154" s="531">
        <f t="shared" si="17"/>
        <v>-64</v>
      </c>
    </row>
    <row r="155" spans="1:5" s="506" customFormat="1" x14ac:dyDescent="0.2">
      <c r="A155" s="512">
        <v>7</v>
      </c>
      <c r="B155" s="511" t="s">
        <v>733</v>
      </c>
      <c r="C155" s="534">
        <v>241</v>
      </c>
      <c r="D155" s="534">
        <v>157</v>
      </c>
      <c r="E155" s="531">
        <f t="shared" si="17"/>
        <v>-84</v>
      </c>
    </row>
    <row r="156" spans="1:5" s="506" customFormat="1" x14ac:dyDescent="0.2">
      <c r="A156" s="512"/>
      <c r="B156" s="516" t="s">
        <v>782</v>
      </c>
      <c r="C156" s="532">
        <f>SUM(C150+C151+C154)</f>
        <v>22812</v>
      </c>
      <c r="D156" s="532">
        <f>SUM(D150+D151+D154)</f>
        <v>21384</v>
      </c>
      <c r="E156" s="533">
        <f t="shared" si="17"/>
        <v>-1428</v>
      </c>
    </row>
    <row r="157" spans="1:5" s="506" customFormat="1" x14ac:dyDescent="0.2">
      <c r="A157" s="512"/>
      <c r="B157" s="516" t="s">
        <v>783</v>
      </c>
      <c r="C157" s="532">
        <f>SUM(C149+C156)</f>
        <v>30673</v>
      </c>
      <c r="D157" s="532">
        <f>SUM(D149+D156)</f>
        <v>28670</v>
      </c>
      <c r="E157" s="533">
        <f t="shared" si="17"/>
        <v>-2003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784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626</v>
      </c>
      <c r="C161" s="536">
        <f t="shared" ref="C161:D169" si="18">IF(C137=0,0,C149/C137)</f>
        <v>3.162107803700724</v>
      </c>
      <c r="D161" s="536">
        <f t="shared" si="18"/>
        <v>3.1405172413793103</v>
      </c>
      <c r="E161" s="537">
        <f t="shared" ref="E161:E169" si="19">D161-C161</f>
        <v>-2.1590562321413653E-2</v>
      </c>
    </row>
    <row r="162" spans="1:5" s="506" customFormat="1" x14ac:dyDescent="0.2">
      <c r="A162" s="512">
        <v>2</v>
      </c>
      <c r="B162" s="511" t="s">
        <v>605</v>
      </c>
      <c r="C162" s="536">
        <f t="shared" si="18"/>
        <v>5.0078809106830127</v>
      </c>
      <c r="D162" s="536">
        <f t="shared" si="18"/>
        <v>4.6329188869153342</v>
      </c>
      <c r="E162" s="537">
        <f t="shared" si="19"/>
        <v>-0.37496202376767851</v>
      </c>
    </row>
    <row r="163" spans="1:5" s="506" customFormat="1" x14ac:dyDescent="0.2">
      <c r="A163" s="512">
        <v>3</v>
      </c>
      <c r="B163" s="511" t="s">
        <v>751</v>
      </c>
      <c r="C163" s="536">
        <f t="shared" si="18"/>
        <v>3.2700296735905043</v>
      </c>
      <c r="D163" s="536">
        <f t="shared" si="18"/>
        <v>3.5486503452605147</v>
      </c>
      <c r="E163" s="537">
        <f t="shared" si="19"/>
        <v>0.27862067167001037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3.1833962264150943</v>
      </c>
      <c r="D164" s="536">
        <f t="shared" si="18"/>
        <v>3.5486503452605147</v>
      </c>
      <c r="E164" s="537">
        <f t="shared" si="19"/>
        <v>0.36525411884542036</v>
      </c>
    </row>
    <row r="165" spans="1:5" s="506" customFormat="1" x14ac:dyDescent="0.2">
      <c r="A165" s="512">
        <v>5</v>
      </c>
      <c r="B165" s="511" t="s">
        <v>718</v>
      </c>
      <c r="C165" s="536">
        <f t="shared" si="18"/>
        <v>3.588888888888889</v>
      </c>
      <c r="D165" s="536">
        <f t="shared" si="18"/>
        <v>0</v>
      </c>
      <c r="E165" s="537">
        <f t="shared" si="19"/>
        <v>-3.588888888888889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7.25</v>
      </c>
      <c r="D166" s="536">
        <f t="shared" si="18"/>
        <v>3.24</v>
      </c>
      <c r="E166" s="537">
        <f t="shared" si="19"/>
        <v>-4.01</v>
      </c>
    </row>
    <row r="167" spans="1:5" s="506" customFormat="1" x14ac:dyDescent="0.2">
      <c r="A167" s="512">
        <v>7</v>
      </c>
      <c r="B167" s="511" t="s">
        <v>733</v>
      </c>
      <c r="C167" s="536">
        <f t="shared" si="18"/>
        <v>3.765625</v>
      </c>
      <c r="D167" s="536">
        <f t="shared" si="18"/>
        <v>4.1315789473684212</v>
      </c>
      <c r="E167" s="537">
        <f t="shared" si="19"/>
        <v>0.36595394736842124</v>
      </c>
    </row>
    <row r="168" spans="1:5" s="506" customFormat="1" x14ac:dyDescent="0.2">
      <c r="A168" s="512"/>
      <c r="B168" s="516" t="s">
        <v>785</v>
      </c>
      <c r="C168" s="538">
        <f t="shared" si="18"/>
        <v>4.4459169752484895</v>
      </c>
      <c r="D168" s="538">
        <f t="shared" si="18"/>
        <v>4.2802241793434748</v>
      </c>
      <c r="E168" s="539">
        <f t="shared" si="19"/>
        <v>-0.16569279590501473</v>
      </c>
    </row>
    <row r="169" spans="1:5" s="506" customFormat="1" x14ac:dyDescent="0.2">
      <c r="A169" s="512"/>
      <c r="B169" s="516" t="s">
        <v>719</v>
      </c>
      <c r="C169" s="538">
        <f t="shared" si="18"/>
        <v>4.0269134829985562</v>
      </c>
      <c r="D169" s="538">
        <f t="shared" si="18"/>
        <v>3.9188080918534718</v>
      </c>
      <c r="E169" s="539">
        <f t="shared" si="19"/>
        <v>-0.10810539114508444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786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626</v>
      </c>
      <c r="C173" s="541">
        <f t="shared" ref="C173:D181" si="20">IF(C137=0,0,C203/C137)</f>
        <v>0.94639999999999991</v>
      </c>
      <c r="D173" s="541">
        <f t="shared" si="20"/>
        <v>0.97450000000000003</v>
      </c>
      <c r="E173" s="542">
        <f t="shared" ref="E173:E181" si="21">D173-C173</f>
        <v>2.8100000000000125E-2</v>
      </c>
    </row>
    <row r="174" spans="1:5" s="506" customFormat="1" x14ac:dyDescent="0.2">
      <c r="A174" s="512">
        <v>2</v>
      </c>
      <c r="B174" s="511" t="s">
        <v>605</v>
      </c>
      <c r="C174" s="541">
        <f t="shared" si="20"/>
        <v>1.2873000000000001</v>
      </c>
      <c r="D174" s="541">
        <f t="shared" si="20"/>
        <v>1.2924</v>
      </c>
      <c r="E174" s="542">
        <f t="shared" si="21"/>
        <v>5.0999999999998824E-3</v>
      </c>
    </row>
    <row r="175" spans="1:5" s="506" customFormat="1" x14ac:dyDescent="0.2">
      <c r="A175" s="512">
        <v>0</v>
      </c>
      <c r="B175" s="511" t="s">
        <v>751</v>
      </c>
      <c r="C175" s="541">
        <f t="shared" si="20"/>
        <v>0.85442551928783372</v>
      </c>
      <c r="D175" s="541">
        <f t="shared" si="20"/>
        <v>0.93069999999999997</v>
      </c>
      <c r="E175" s="542">
        <f t="shared" si="21"/>
        <v>7.6274480712166248E-2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0.83899999999999997</v>
      </c>
      <c r="D176" s="541">
        <f t="shared" si="20"/>
        <v>0.93069999999999997</v>
      </c>
      <c r="E176" s="542">
        <f t="shared" si="21"/>
        <v>9.1700000000000004E-2</v>
      </c>
    </row>
    <row r="177" spans="1:5" s="506" customFormat="1" x14ac:dyDescent="0.2">
      <c r="A177" s="512">
        <v>5</v>
      </c>
      <c r="B177" s="511" t="s">
        <v>718</v>
      </c>
      <c r="C177" s="541">
        <f t="shared" si="20"/>
        <v>0.9111999999999999</v>
      </c>
      <c r="D177" s="541">
        <f t="shared" si="20"/>
        <v>0</v>
      </c>
      <c r="E177" s="542">
        <f t="shared" si="21"/>
        <v>-0.9111999999999999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1.5094000000000001</v>
      </c>
      <c r="D178" s="541">
        <f t="shared" si="20"/>
        <v>1.1613</v>
      </c>
      <c r="E178" s="542">
        <f t="shared" si="21"/>
        <v>-0.34810000000000008</v>
      </c>
    </row>
    <row r="179" spans="1:5" s="506" customFormat="1" x14ac:dyDescent="0.2">
      <c r="A179" s="512">
        <v>7</v>
      </c>
      <c r="B179" s="511" t="s">
        <v>733</v>
      </c>
      <c r="C179" s="541">
        <f t="shared" si="20"/>
        <v>0.89229999999999998</v>
      </c>
      <c r="D179" s="541">
        <f t="shared" si="20"/>
        <v>0.8296</v>
      </c>
      <c r="E179" s="542">
        <f t="shared" si="21"/>
        <v>-6.2699999999999978E-2</v>
      </c>
    </row>
    <row r="180" spans="1:5" s="506" customFormat="1" x14ac:dyDescent="0.2">
      <c r="A180" s="512"/>
      <c r="B180" s="516" t="s">
        <v>787</v>
      </c>
      <c r="C180" s="543">
        <f t="shared" si="20"/>
        <v>1.146011459754434</v>
      </c>
      <c r="D180" s="543">
        <f t="shared" si="20"/>
        <v>1.1764140912730185</v>
      </c>
      <c r="E180" s="544">
        <f t="shared" si="21"/>
        <v>3.0402631518584577E-2</v>
      </c>
    </row>
    <row r="181" spans="1:5" s="506" customFormat="1" x14ac:dyDescent="0.2">
      <c r="A181" s="512"/>
      <c r="B181" s="516" t="s">
        <v>696</v>
      </c>
      <c r="C181" s="543">
        <f t="shared" si="20"/>
        <v>1.0808632269922542</v>
      </c>
      <c r="D181" s="543">
        <f t="shared" si="20"/>
        <v>1.1123844723892837</v>
      </c>
      <c r="E181" s="544">
        <f t="shared" si="21"/>
        <v>3.1521245397029496E-2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788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789</v>
      </c>
      <c r="C185" s="513">
        <v>121599557</v>
      </c>
      <c r="D185" s="513">
        <v>122450596</v>
      </c>
      <c r="E185" s="514">
        <f>D185-C185</f>
        <v>851039</v>
      </c>
    </row>
    <row r="186" spans="1:5" s="506" customFormat="1" ht="25.5" x14ac:dyDescent="0.2">
      <c r="A186" s="512">
        <v>2</v>
      </c>
      <c r="B186" s="511" t="s">
        <v>790</v>
      </c>
      <c r="C186" s="513">
        <v>53040369</v>
      </c>
      <c r="D186" s="513">
        <v>58072723</v>
      </c>
      <c r="E186" s="514">
        <f>D186-C186</f>
        <v>5032354</v>
      </c>
    </row>
    <row r="187" spans="1:5" s="506" customFormat="1" x14ac:dyDescent="0.2">
      <c r="A187" s="512"/>
      <c r="B187" s="511" t="s">
        <v>638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722</v>
      </c>
      <c r="C188" s="546">
        <f>+C185-C186</f>
        <v>68559188</v>
      </c>
      <c r="D188" s="546">
        <f>+D185-D186</f>
        <v>64377873</v>
      </c>
      <c r="E188" s="514">
        <f t="shared" ref="E188:E197" si="22">D188-C188</f>
        <v>-4181315</v>
      </c>
    </row>
    <row r="189" spans="1:5" s="506" customFormat="1" x14ac:dyDescent="0.2">
      <c r="A189" s="512">
        <v>4</v>
      </c>
      <c r="B189" s="511" t="s">
        <v>640</v>
      </c>
      <c r="C189" s="547">
        <f>IF(C185=0,0,+C188/C185)</f>
        <v>0.56381116585811242</v>
      </c>
      <c r="D189" s="547">
        <f>IF(D185=0,0,+D188/D185)</f>
        <v>0.52574568930640397</v>
      </c>
      <c r="E189" s="523">
        <f t="shared" si="22"/>
        <v>-3.8065476551708444E-2</v>
      </c>
    </row>
    <row r="190" spans="1:5" s="506" customFormat="1" x14ac:dyDescent="0.2">
      <c r="A190" s="512">
        <v>5</v>
      </c>
      <c r="B190" s="511" t="s">
        <v>737</v>
      </c>
      <c r="C190" s="513">
        <v>4371872</v>
      </c>
      <c r="D190" s="513">
        <v>4277938</v>
      </c>
      <c r="E190" s="546">
        <f t="shared" si="22"/>
        <v>-93934</v>
      </c>
    </row>
    <row r="191" spans="1:5" s="506" customFormat="1" x14ac:dyDescent="0.2">
      <c r="A191" s="512">
        <v>6</v>
      </c>
      <c r="B191" s="511" t="s">
        <v>723</v>
      </c>
      <c r="C191" s="513">
        <v>2950139</v>
      </c>
      <c r="D191" s="513">
        <v>2774243</v>
      </c>
      <c r="E191" s="546">
        <f t="shared" si="22"/>
        <v>-175896</v>
      </c>
    </row>
    <row r="192" spans="1:5" ht="29.25" x14ac:dyDescent="0.2">
      <c r="A192" s="512">
        <v>7</v>
      </c>
      <c r="B192" s="548" t="s">
        <v>791</v>
      </c>
      <c r="C192" s="513">
        <v>624004</v>
      </c>
      <c r="D192" s="513">
        <v>0</v>
      </c>
      <c r="E192" s="546">
        <f t="shared" si="22"/>
        <v>-624004</v>
      </c>
    </row>
    <row r="193" spans="1:5" s="506" customFormat="1" x14ac:dyDescent="0.2">
      <c r="A193" s="512">
        <v>8</v>
      </c>
      <c r="B193" s="511" t="s">
        <v>792</v>
      </c>
      <c r="C193" s="513">
        <v>259103</v>
      </c>
      <c r="D193" s="513">
        <v>223751</v>
      </c>
      <c r="E193" s="546">
        <f t="shared" si="22"/>
        <v>-35352</v>
      </c>
    </row>
    <row r="194" spans="1:5" s="506" customFormat="1" x14ac:dyDescent="0.2">
      <c r="A194" s="512">
        <v>9</v>
      </c>
      <c r="B194" s="511" t="s">
        <v>793</v>
      </c>
      <c r="C194" s="513">
        <v>10944348</v>
      </c>
      <c r="D194" s="513">
        <v>9847024</v>
      </c>
      <c r="E194" s="546">
        <f t="shared" si="22"/>
        <v>-1097324</v>
      </c>
    </row>
    <row r="195" spans="1:5" s="506" customFormat="1" x14ac:dyDescent="0.2">
      <c r="A195" s="512">
        <v>10</v>
      </c>
      <c r="B195" s="511" t="s">
        <v>794</v>
      </c>
      <c r="C195" s="513">
        <f>+C193+C194</f>
        <v>11203451</v>
      </c>
      <c r="D195" s="513">
        <f>+D193+D194</f>
        <v>10070775</v>
      </c>
      <c r="E195" s="549">
        <f t="shared" si="22"/>
        <v>-1132676</v>
      </c>
    </row>
    <row r="196" spans="1:5" s="506" customFormat="1" x14ac:dyDescent="0.2">
      <c r="A196" s="512">
        <v>11</v>
      </c>
      <c r="B196" s="511" t="s">
        <v>795</v>
      </c>
      <c r="C196" s="513">
        <v>121599557</v>
      </c>
      <c r="D196" s="513">
        <v>122450596</v>
      </c>
      <c r="E196" s="546">
        <f t="shared" si="22"/>
        <v>851039</v>
      </c>
    </row>
    <row r="197" spans="1:5" s="506" customFormat="1" x14ac:dyDescent="0.2">
      <c r="A197" s="512">
        <v>12</v>
      </c>
      <c r="B197" s="511" t="s">
        <v>680</v>
      </c>
      <c r="C197" s="513">
        <v>130987633</v>
      </c>
      <c r="D197" s="513">
        <v>131894527</v>
      </c>
      <c r="E197" s="546">
        <f t="shared" si="22"/>
        <v>906894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796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797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626</v>
      </c>
      <c r="C203" s="553">
        <v>2352.7503999999999</v>
      </c>
      <c r="D203" s="553">
        <v>2260.84</v>
      </c>
      <c r="E203" s="554">
        <f t="shared" ref="E203:E211" si="23">D203-C203</f>
        <v>-91.910399999999754</v>
      </c>
    </row>
    <row r="204" spans="1:5" s="506" customFormat="1" x14ac:dyDescent="0.2">
      <c r="A204" s="512">
        <v>2</v>
      </c>
      <c r="B204" s="511" t="s">
        <v>605</v>
      </c>
      <c r="C204" s="553">
        <v>4410.2898000000005</v>
      </c>
      <c r="D204" s="553">
        <v>4365.7272000000003</v>
      </c>
      <c r="E204" s="554">
        <f t="shared" si="23"/>
        <v>-44.562600000000202</v>
      </c>
    </row>
    <row r="205" spans="1:5" s="506" customFormat="1" x14ac:dyDescent="0.2">
      <c r="A205" s="512">
        <v>3</v>
      </c>
      <c r="B205" s="511" t="s">
        <v>751</v>
      </c>
      <c r="C205" s="553">
        <f>C206+C207</f>
        <v>1439.7069999999999</v>
      </c>
      <c r="D205" s="553">
        <f>D206+D207</f>
        <v>1482.6051</v>
      </c>
      <c r="E205" s="554">
        <f t="shared" si="23"/>
        <v>42.898100000000113</v>
      </c>
    </row>
    <row r="206" spans="1:5" s="506" customFormat="1" x14ac:dyDescent="0.2">
      <c r="A206" s="512">
        <v>4</v>
      </c>
      <c r="B206" s="511" t="s">
        <v>114</v>
      </c>
      <c r="C206" s="553">
        <v>1111.675</v>
      </c>
      <c r="D206" s="553">
        <v>1482.6051</v>
      </c>
      <c r="E206" s="554">
        <f t="shared" si="23"/>
        <v>370.93010000000004</v>
      </c>
    </row>
    <row r="207" spans="1:5" s="506" customFormat="1" x14ac:dyDescent="0.2">
      <c r="A207" s="512">
        <v>5</v>
      </c>
      <c r="B207" s="511" t="s">
        <v>718</v>
      </c>
      <c r="C207" s="553">
        <v>328.03199999999998</v>
      </c>
      <c r="D207" s="553">
        <v>0</v>
      </c>
      <c r="E207" s="554">
        <f t="shared" si="23"/>
        <v>-328.03199999999998</v>
      </c>
    </row>
    <row r="208" spans="1:5" s="506" customFormat="1" x14ac:dyDescent="0.2">
      <c r="A208" s="512">
        <v>6</v>
      </c>
      <c r="B208" s="511" t="s">
        <v>418</v>
      </c>
      <c r="C208" s="553">
        <v>30.188000000000002</v>
      </c>
      <c r="D208" s="553">
        <v>29.032499999999999</v>
      </c>
      <c r="E208" s="554">
        <f t="shared" si="23"/>
        <v>-1.1555000000000035</v>
      </c>
    </row>
    <row r="209" spans="1:5" s="506" customFormat="1" x14ac:dyDescent="0.2">
      <c r="A209" s="512">
        <v>7</v>
      </c>
      <c r="B209" s="511" t="s">
        <v>733</v>
      </c>
      <c r="C209" s="553">
        <v>57.107199999999999</v>
      </c>
      <c r="D209" s="553">
        <v>31.524799999999999</v>
      </c>
      <c r="E209" s="554">
        <f t="shared" si="23"/>
        <v>-25.5824</v>
      </c>
    </row>
    <row r="210" spans="1:5" s="506" customFormat="1" x14ac:dyDescent="0.2">
      <c r="A210" s="512"/>
      <c r="B210" s="516" t="s">
        <v>798</v>
      </c>
      <c r="C210" s="555">
        <f>C204+C205+C208</f>
        <v>5880.1848000000009</v>
      </c>
      <c r="D210" s="555">
        <f>D204+D205+D208</f>
        <v>5877.3648000000003</v>
      </c>
      <c r="E210" s="556">
        <f t="shared" si="23"/>
        <v>-2.8200000000006185</v>
      </c>
    </row>
    <row r="211" spans="1:5" s="506" customFormat="1" x14ac:dyDescent="0.2">
      <c r="A211" s="512"/>
      <c r="B211" s="516" t="s">
        <v>697</v>
      </c>
      <c r="C211" s="555">
        <f>C210+C203</f>
        <v>8232.9351999999999</v>
      </c>
      <c r="D211" s="555">
        <f>D210+D203</f>
        <v>8138.2048000000004</v>
      </c>
      <c r="E211" s="556">
        <f t="shared" si="23"/>
        <v>-94.730399999999463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799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626</v>
      </c>
      <c r="C215" s="557">
        <f>IF(C14*C137=0,0,C25/C14*C137)</f>
        <v>6023.519641603104</v>
      </c>
      <c r="D215" s="557">
        <f>IF(D14*D137=0,0,D25/D14*D137)</f>
        <v>5913.3951578549122</v>
      </c>
      <c r="E215" s="557">
        <f t="shared" ref="E215:E223" si="24">D215-C215</f>
        <v>-110.12448374819178</v>
      </c>
    </row>
    <row r="216" spans="1:5" s="506" customFormat="1" x14ac:dyDescent="0.2">
      <c r="A216" s="512">
        <v>2</v>
      </c>
      <c r="B216" s="511" t="s">
        <v>605</v>
      </c>
      <c r="C216" s="557">
        <f>IF(C15*C138=0,0,C26/C15*C138)</f>
        <v>3246.4517900024025</v>
      </c>
      <c r="D216" s="557">
        <f>IF(D15*D138=0,0,D26/D15*D138)</f>
        <v>3417.2266279891837</v>
      </c>
      <c r="E216" s="557">
        <f t="shared" si="24"/>
        <v>170.77483798678122</v>
      </c>
    </row>
    <row r="217" spans="1:5" s="506" customFormat="1" x14ac:dyDescent="0.2">
      <c r="A217" s="512">
        <v>3</v>
      </c>
      <c r="B217" s="511" t="s">
        <v>751</v>
      </c>
      <c r="C217" s="557">
        <f>C218+C219</f>
        <v>2915.909539061312</v>
      </c>
      <c r="D217" s="557">
        <f>D218+D219</f>
        <v>3378.1406774283419</v>
      </c>
      <c r="E217" s="557">
        <f t="shared" si="24"/>
        <v>462.23113836702987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2374.4756056800161</v>
      </c>
      <c r="D218" s="557">
        <f t="shared" si="25"/>
        <v>3378.1406774283419</v>
      </c>
      <c r="E218" s="557">
        <f t="shared" si="24"/>
        <v>1003.6650717483258</v>
      </c>
    </row>
    <row r="219" spans="1:5" s="506" customFormat="1" x14ac:dyDescent="0.2">
      <c r="A219" s="512">
        <v>5</v>
      </c>
      <c r="B219" s="511" t="s">
        <v>718</v>
      </c>
      <c r="C219" s="557">
        <f t="shared" si="25"/>
        <v>541.43393338129601</v>
      </c>
      <c r="D219" s="557">
        <f t="shared" si="25"/>
        <v>0</v>
      </c>
      <c r="E219" s="557">
        <f t="shared" si="24"/>
        <v>-541.43393338129601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20.447180660408431</v>
      </c>
      <c r="D220" s="557">
        <f t="shared" si="25"/>
        <v>47.28523971095558</v>
      </c>
      <c r="E220" s="557">
        <f t="shared" si="24"/>
        <v>26.838059050547148</v>
      </c>
    </row>
    <row r="221" spans="1:5" s="506" customFormat="1" x14ac:dyDescent="0.2">
      <c r="A221" s="512">
        <v>7</v>
      </c>
      <c r="B221" s="511" t="s">
        <v>733</v>
      </c>
      <c r="C221" s="557">
        <f t="shared" si="25"/>
        <v>471.32212163071222</v>
      </c>
      <c r="D221" s="557">
        <f t="shared" si="25"/>
        <v>240.29795591497432</v>
      </c>
      <c r="E221" s="557">
        <f t="shared" si="24"/>
        <v>-231.02416571573789</v>
      </c>
    </row>
    <row r="222" spans="1:5" s="506" customFormat="1" x14ac:dyDescent="0.2">
      <c r="A222" s="512"/>
      <c r="B222" s="516" t="s">
        <v>800</v>
      </c>
      <c r="C222" s="558">
        <f>C216+C218+C219+C220</f>
        <v>6182.8085097241228</v>
      </c>
      <c r="D222" s="558">
        <f>D216+D218+D219+D220</f>
        <v>6842.6525451284806</v>
      </c>
      <c r="E222" s="558">
        <f t="shared" si="24"/>
        <v>659.84403540435778</v>
      </c>
    </row>
    <row r="223" spans="1:5" s="506" customFormat="1" x14ac:dyDescent="0.2">
      <c r="A223" s="512"/>
      <c r="B223" s="516" t="s">
        <v>801</v>
      </c>
      <c r="C223" s="558">
        <f>C215+C222</f>
        <v>12206.328151327227</v>
      </c>
      <c r="D223" s="558">
        <f>D215+D222</f>
        <v>12756.047702983393</v>
      </c>
      <c r="E223" s="558">
        <f t="shared" si="24"/>
        <v>549.719551656166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802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626</v>
      </c>
      <c r="C227" s="560">
        <f t="shared" ref="C227:D235" si="26">IF(C203=0,0,C47/C203)</f>
        <v>7957.3039282024993</v>
      </c>
      <c r="D227" s="560">
        <f t="shared" si="26"/>
        <v>7522.0524229932234</v>
      </c>
      <c r="E227" s="560">
        <f t="shared" ref="E227:E235" si="27">D227-C227</f>
        <v>-435.25150520927582</v>
      </c>
    </row>
    <row r="228" spans="1:5" s="506" customFormat="1" x14ac:dyDescent="0.2">
      <c r="A228" s="512">
        <v>2</v>
      </c>
      <c r="B228" s="511" t="s">
        <v>605</v>
      </c>
      <c r="C228" s="560">
        <f t="shared" si="26"/>
        <v>6948.4492833101349</v>
      </c>
      <c r="D228" s="560">
        <f t="shared" si="26"/>
        <v>6686.2620275494992</v>
      </c>
      <c r="E228" s="560">
        <f t="shared" si="27"/>
        <v>-262.18725576063571</v>
      </c>
    </row>
    <row r="229" spans="1:5" s="506" customFormat="1" x14ac:dyDescent="0.2">
      <c r="A229" s="512">
        <v>3</v>
      </c>
      <c r="B229" s="511" t="s">
        <v>751</v>
      </c>
      <c r="C229" s="560">
        <f t="shared" si="26"/>
        <v>4070.3573713262494</v>
      </c>
      <c r="D229" s="560">
        <f t="shared" si="26"/>
        <v>4473.3584148604368</v>
      </c>
      <c r="E229" s="560">
        <f t="shared" si="27"/>
        <v>403.00104353418737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4392.0723232959272</v>
      </c>
      <c r="D230" s="560">
        <f t="shared" si="26"/>
        <v>4473.3584148604368</v>
      </c>
      <c r="E230" s="560">
        <f t="shared" si="27"/>
        <v>81.286091564509661</v>
      </c>
    </row>
    <row r="231" spans="1:5" s="506" customFormat="1" x14ac:dyDescent="0.2">
      <c r="A231" s="512">
        <v>5</v>
      </c>
      <c r="B231" s="511" t="s">
        <v>718</v>
      </c>
      <c r="C231" s="560">
        <f t="shared" si="26"/>
        <v>2980.090357038338</v>
      </c>
      <c r="D231" s="560">
        <f t="shared" si="26"/>
        <v>0</v>
      </c>
      <c r="E231" s="560">
        <f t="shared" si="27"/>
        <v>-2980.090357038338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5391.943818735921</v>
      </c>
      <c r="D232" s="560">
        <f t="shared" si="26"/>
        <v>5007.6638250236801</v>
      </c>
      <c r="E232" s="560">
        <f t="shared" si="27"/>
        <v>-384.27999371224087</v>
      </c>
    </row>
    <row r="233" spans="1:5" s="506" customFormat="1" x14ac:dyDescent="0.2">
      <c r="A233" s="512">
        <v>7</v>
      </c>
      <c r="B233" s="511" t="s">
        <v>733</v>
      </c>
      <c r="C233" s="560">
        <f t="shared" si="26"/>
        <v>489.76311218200158</v>
      </c>
      <c r="D233" s="560">
        <f t="shared" si="26"/>
        <v>636.86367558239863</v>
      </c>
      <c r="E233" s="560">
        <f t="shared" si="27"/>
        <v>147.10056340039705</v>
      </c>
    </row>
    <row r="234" spans="1:5" x14ac:dyDescent="0.2">
      <c r="A234" s="512"/>
      <c r="B234" s="516" t="s">
        <v>803</v>
      </c>
      <c r="C234" s="561">
        <f t="shared" si="26"/>
        <v>6235.7851406302734</v>
      </c>
      <c r="D234" s="561">
        <f t="shared" si="26"/>
        <v>6119.7503003386819</v>
      </c>
      <c r="E234" s="561">
        <f t="shared" si="27"/>
        <v>-116.03484029159154</v>
      </c>
    </row>
    <row r="235" spans="1:5" s="506" customFormat="1" x14ac:dyDescent="0.2">
      <c r="A235" s="512"/>
      <c r="B235" s="516" t="s">
        <v>804</v>
      </c>
      <c r="C235" s="561">
        <f t="shared" si="26"/>
        <v>6727.7486891916751</v>
      </c>
      <c r="D235" s="561">
        <f t="shared" si="26"/>
        <v>6509.3178780656881</v>
      </c>
      <c r="E235" s="561">
        <f t="shared" si="27"/>
        <v>-218.43081112598702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805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626</v>
      </c>
      <c r="C239" s="560">
        <f t="shared" ref="C239:D247" si="28">IF(C215=0,0,C58/C215)</f>
        <v>6028.2217308975414</v>
      </c>
      <c r="D239" s="560">
        <f t="shared" si="28"/>
        <v>5591.9053466393289</v>
      </c>
      <c r="E239" s="562">
        <f t="shared" ref="E239:E247" si="29">D239-C239</f>
        <v>-436.31638425821257</v>
      </c>
    </row>
    <row r="240" spans="1:5" s="506" customFormat="1" x14ac:dyDescent="0.2">
      <c r="A240" s="512">
        <v>2</v>
      </c>
      <c r="B240" s="511" t="s">
        <v>605</v>
      </c>
      <c r="C240" s="560">
        <f t="shared" si="28"/>
        <v>5698.2047467848924</v>
      </c>
      <c r="D240" s="560">
        <f t="shared" si="28"/>
        <v>5232.1089428361411</v>
      </c>
      <c r="E240" s="562">
        <f t="shared" si="29"/>
        <v>-466.09580394875138</v>
      </c>
    </row>
    <row r="241" spans="1:5" x14ac:dyDescent="0.2">
      <c r="A241" s="512">
        <v>3</v>
      </c>
      <c r="B241" s="511" t="s">
        <v>751</v>
      </c>
      <c r="C241" s="560">
        <f t="shared" si="28"/>
        <v>2970.1936510650758</v>
      </c>
      <c r="D241" s="560">
        <f t="shared" si="28"/>
        <v>3437.5960354736681</v>
      </c>
      <c r="E241" s="562">
        <f t="shared" si="29"/>
        <v>467.4023844085923</v>
      </c>
    </row>
    <row r="242" spans="1:5" x14ac:dyDescent="0.2">
      <c r="A242" s="512">
        <v>4</v>
      </c>
      <c r="B242" s="511" t="s">
        <v>114</v>
      </c>
      <c r="C242" s="560">
        <f t="shared" si="28"/>
        <v>3202.6865139438319</v>
      </c>
      <c r="D242" s="560">
        <f t="shared" si="28"/>
        <v>3437.5960354736681</v>
      </c>
      <c r="E242" s="562">
        <f t="shared" si="29"/>
        <v>234.90952152983618</v>
      </c>
    </row>
    <row r="243" spans="1:5" x14ac:dyDescent="0.2">
      <c r="A243" s="512">
        <v>5</v>
      </c>
      <c r="B243" s="511" t="s">
        <v>718</v>
      </c>
      <c r="C243" s="560">
        <f t="shared" si="28"/>
        <v>1950.5888620694341</v>
      </c>
      <c r="D243" s="560">
        <f t="shared" si="28"/>
        <v>0</v>
      </c>
      <c r="E243" s="562">
        <f t="shared" si="29"/>
        <v>-1950.5888620694341</v>
      </c>
    </row>
    <row r="244" spans="1:5" x14ac:dyDescent="0.2">
      <c r="A244" s="512">
        <v>6</v>
      </c>
      <c r="B244" s="511" t="s">
        <v>418</v>
      </c>
      <c r="C244" s="560">
        <f t="shared" si="28"/>
        <v>6206.4302217333225</v>
      </c>
      <c r="D244" s="560">
        <f t="shared" si="28"/>
        <v>2803.4752664960329</v>
      </c>
      <c r="E244" s="562">
        <f t="shared" si="29"/>
        <v>-3402.9549552372896</v>
      </c>
    </row>
    <row r="245" spans="1:5" x14ac:dyDescent="0.2">
      <c r="A245" s="512">
        <v>7</v>
      </c>
      <c r="B245" s="511" t="s">
        <v>733</v>
      </c>
      <c r="C245" s="560">
        <f t="shared" si="28"/>
        <v>805.14150001499172</v>
      </c>
      <c r="D245" s="560">
        <f t="shared" si="28"/>
        <v>1115.1156029592423</v>
      </c>
      <c r="E245" s="562">
        <f t="shared" si="29"/>
        <v>309.9741029442506</v>
      </c>
    </row>
    <row r="246" spans="1:5" ht="25.5" x14ac:dyDescent="0.2">
      <c r="A246" s="512"/>
      <c r="B246" s="516" t="s">
        <v>806</v>
      </c>
      <c r="C246" s="561">
        <f t="shared" si="28"/>
        <v>4413.3126486263327</v>
      </c>
      <c r="D246" s="561">
        <f t="shared" si="28"/>
        <v>4329.3953338447282</v>
      </c>
      <c r="E246" s="563">
        <f t="shared" si="29"/>
        <v>-83.917314781604546</v>
      </c>
    </row>
    <row r="247" spans="1:5" x14ac:dyDescent="0.2">
      <c r="A247" s="512"/>
      <c r="B247" s="516" t="s">
        <v>807</v>
      </c>
      <c r="C247" s="561">
        <f t="shared" si="28"/>
        <v>5210.230153699812</v>
      </c>
      <c r="D247" s="561">
        <f t="shared" si="28"/>
        <v>4914.6644368018178</v>
      </c>
      <c r="E247" s="563">
        <f t="shared" si="29"/>
        <v>-295.56571689799421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735</v>
      </c>
      <c r="B249" s="550" t="s">
        <v>732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5925547.1674108012</v>
      </c>
      <c r="D251" s="546">
        <f>((IF((IF(D15=0,0,D26/D15)*D138)=0,0,D59/(IF(D15=0,0,D26/D15)*D138)))-(IF((IF(D17=0,0,D28/D17)*D140)=0,0,D61/(IF(D17=0,0,D28/D17)*D140))))*(IF(D17=0,0,D28/D17)*D140)</f>
        <v>6062117.0485313674</v>
      </c>
      <c r="E251" s="546">
        <f>D251-C251</f>
        <v>136569.88112056628</v>
      </c>
    </row>
    <row r="252" spans="1:5" x14ac:dyDescent="0.2">
      <c r="A252" s="512">
        <v>2</v>
      </c>
      <c r="B252" s="511" t="s">
        <v>718</v>
      </c>
      <c r="C252" s="546">
        <f>IF(C231=0,0,(C228-C231)*C207)+IF(C243=0,0,(C240-C243)*C219)</f>
        <v>3330835.1245665066</v>
      </c>
      <c r="D252" s="546">
        <f>IF(D231=0,0,(D228-D231)*D207)+IF(D243=0,0,(D240-D243)*D219)</f>
        <v>0</v>
      </c>
      <c r="E252" s="546">
        <f>D252-C252</f>
        <v>-3330835.1245665066</v>
      </c>
    </row>
    <row r="253" spans="1:5" x14ac:dyDescent="0.2">
      <c r="A253" s="512">
        <v>3</v>
      </c>
      <c r="B253" s="511" t="s">
        <v>733</v>
      </c>
      <c r="C253" s="546">
        <f>IF(C233=0,0,(C228-C233)*C209+IF(C221=0,0,(C240-C245)*C221))</f>
        <v>2675046.433652699</v>
      </c>
      <c r="D253" s="546">
        <f>IF(D233=0,0,(D228-D233)*D209+IF(D221=0,0,(D240-D245)*D221))</f>
        <v>1180011.1572540745</v>
      </c>
      <c r="E253" s="546">
        <f>D253-C253</f>
        <v>-1495035.2763986245</v>
      </c>
    </row>
    <row r="254" spans="1:5" ht="15" customHeight="1" x14ac:dyDescent="0.2">
      <c r="A254" s="512"/>
      <c r="B254" s="516" t="s">
        <v>734</v>
      </c>
      <c r="C254" s="564">
        <f>+C251+C252+C253</f>
        <v>11931428.725630008</v>
      </c>
      <c r="D254" s="564">
        <f>+D251+D252+D253</f>
        <v>7242128.2057854421</v>
      </c>
      <c r="E254" s="564">
        <f>D254-C254</f>
        <v>-4689300.5198445655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808</v>
      </c>
      <c r="B256" s="550" t="s">
        <v>809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700</v>
      </c>
      <c r="C258" s="546">
        <f>+C44</f>
        <v>361761243</v>
      </c>
      <c r="D258" s="549">
        <f>+D44</f>
        <v>345045491</v>
      </c>
      <c r="E258" s="546">
        <f t="shared" ref="E258:E271" si="30">D258-C258</f>
        <v>-16715752</v>
      </c>
    </row>
    <row r="259" spans="1:5" x14ac:dyDescent="0.2">
      <c r="A259" s="512">
        <v>2</v>
      </c>
      <c r="B259" s="511" t="s">
        <v>717</v>
      </c>
      <c r="C259" s="546">
        <f>+(C43-C76)</f>
        <v>160061571</v>
      </c>
      <c r="D259" s="549">
        <f>+(D43-D76)</f>
        <v>150041093</v>
      </c>
      <c r="E259" s="546">
        <f t="shared" si="30"/>
        <v>-10020478</v>
      </c>
    </row>
    <row r="260" spans="1:5" x14ac:dyDescent="0.2">
      <c r="A260" s="512">
        <v>3</v>
      </c>
      <c r="B260" s="511" t="s">
        <v>721</v>
      </c>
      <c r="C260" s="546">
        <f>C195</f>
        <v>11203451</v>
      </c>
      <c r="D260" s="546">
        <f>D195</f>
        <v>10070775</v>
      </c>
      <c r="E260" s="546">
        <f t="shared" si="30"/>
        <v>-1132676</v>
      </c>
    </row>
    <row r="261" spans="1:5" x14ac:dyDescent="0.2">
      <c r="A261" s="512">
        <v>4</v>
      </c>
      <c r="B261" s="511" t="s">
        <v>722</v>
      </c>
      <c r="C261" s="546">
        <f>C188</f>
        <v>68559188</v>
      </c>
      <c r="D261" s="546">
        <f>D188</f>
        <v>64377873</v>
      </c>
      <c r="E261" s="546">
        <f t="shared" si="30"/>
        <v>-4181315</v>
      </c>
    </row>
    <row r="262" spans="1:5" x14ac:dyDescent="0.2">
      <c r="A262" s="512">
        <v>5</v>
      </c>
      <c r="B262" s="511" t="s">
        <v>723</v>
      </c>
      <c r="C262" s="546">
        <f>C191</f>
        <v>2950139</v>
      </c>
      <c r="D262" s="546">
        <f>D191</f>
        <v>2774243</v>
      </c>
      <c r="E262" s="546">
        <f t="shared" si="30"/>
        <v>-175896</v>
      </c>
    </row>
    <row r="263" spans="1:5" x14ac:dyDescent="0.2">
      <c r="A263" s="512">
        <v>6</v>
      </c>
      <c r="B263" s="511" t="s">
        <v>724</v>
      </c>
      <c r="C263" s="546">
        <f>+C259+C260+C261+C262</f>
        <v>242774349</v>
      </c>
      <c r="D263" s="546">
        <f>+D259+D260+D261+D262</f>
        <v>227263984</v>
      </c>
      <c r="E263" s="546">
        <f t="shared" si="30"/>
        <v>-15510365</v>
      </c>
    </row>
    <row r="264" spans="1:5" x14ac:dyDescent="0.2">
      <c r="A264" s="512">
        <v>7</v>
      </c>
      <c r="B264" s="511" t="s">
        <v>624</v>
      </c>
      <c r="C264" s="546">
        <f>+C258-C263</f>
        <v>118986894</v>
      </c>
      <c r="D264" s="546">
        <f>+D258-D263</f>
        <v>117781507</v>
      </c>
      <c r="E264" s="546">
        <f t="shared" si="30"/>
        <v>-1205387</v>
      </c>
    </row>
    <row r="265" spans="1:5" x14ac:dyDescent="0.2">
      <c r="A265" s="512">
        <v>8</v>
      </c>
      <c r="B265" s="511" t="s">
        <v>810</v>
      </c>
      <c r="C265" s="565">
        <f>C192</f>
        <v>624004</v>
      </c>
      <c r="D265" s="565">
        <f>D192</f>
        <v>0</v>
      </c>
      <c r="E265" s="546">
        <f t="shared" si="30"/>
        <v>-624004</v>
      </c>
    </row>
    <row r="266" spans="1:5" x14ac:dyDescent="0.2">
      <c r="A266" s="512">
        <v>9</v>
      </c>
      <c r="B266" s="511" t="s">
        <v>811</v>
      </c>
      <c r="C266" s="546">
        <f>+C264+C265</f>
        <v>119610898</v>
      </c>
      <c r="D266" s="546">
        <f>+D264+D265</f>
        <v>117781507</v>
      </c>
      <c r="E266" s="565">
        <f t="shared" si="30"/>
        <v>-1829391</v>
      </c>
    </row>
    <row r="267" spans="1:5" x14ac:dyDescent="0.2">
      <c r="A267" s="512">
        <v>10</v>
      </c>
      <c r="B267" s="511" t="s">
        <v>812</v>
      </c>
      <c r="C267" s="566">
        <f>IF(C258=0,0,C266/C258)</f>
        <v>0.33063491547103069</v>
      </c>
      <c r="D267" s="566">
        <f>IF(D258=0,0,D266/D258)</f>
        <v>0.34135066265798558</v>
      </c>
      <c r="E267" s="567">
        <f t="shared" si="30"/>
        <v>1.0715747186954894E-2</v>
      </c>
    </row>
    <row r="268" spans="1:5" x14ac:dyDescent="0.2">
      <c r="A268" s="512">
        <v>11</v>
      </c>
      <c r="B268" s="511" t="s">
        <v>686</v>
      </c>
      <c r="C268" s="546">
        <f>+C260*C267</f>
        <v>3704252.074368834</v>
      </c>
      <c r="D268" s="568">
        <f>+D260*D267</f>
        <v>3437665.7197294747</v>
      </c>
      <c r="E268" s="546">
        <f t="shared" si="30"/>
        <v>-266586.35463935928</v>
      </c>
    </row>
    <row r="269" spans="1:5" x14ac:dyDescent="0.2">
      <c r="A269" s="512">
        <v>12</v>
      </c>
      <c r="B269" s="511" t="s">
        <v>813</v>
      </c>
      <c r="C269" s="546">
        <f>((C17+C18+C28+C29)*C267)-(C50+C51+C61+C62)</f>
        <v>5738268.4351769425</v>
      </c>
      <c r="D269" s="568">
        <f>((D17+D18+D28+D29)*D267)-(D50+D51+D61+D62)</f>
        <v>4665858.5838627741</v>
      </c>
      <c r="E269" s="546">
        <f t="shared" si="30"/>
        <v>-1072409.8513141684</v>
      </c>
    </row>
    <row r="270" spans="1:5" s="569" customFormat="1" x14ac:dyDescent="0.2">
      <c r="A270" s="570">
        <v>13</v>
      </c>
      <c r="B270" s="571" t="s">
        <v>814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815</v>
      </c>
      <c r="C271" s="546">
        <f>+C268+C269+C270</f>
        <v>9442520.509545777</v>
      </c>
      <c r="D271" s="546">
        <f>+D268+D269+D270</f>
        <v>8103524.3035922488</v>
      </c>
      <c r="E271" s="549">
        <f t="shared" si="30"/>
        <v>-1338996.2059535282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816</v>
      </c>
      <c r="B273" s="550" t="s">
        <v>817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818</v>
      </c>
      <c r="C275" s="340"/>
      <c r="D275" s="340"/>
      <c r="E275" s="520"/>
    </row>
    <row r="276" spans="1:5" x14ac:dyDescent="0.2">
      <c r="A276" s="512">
        <v>1</v>
      </c>
      <c r="B276" s="511" t="s">
        <v>626</v>
      </c>
      <c r="C276" s="547">
        <f t="shared" ref="C276:D284" si="31">IF(C14=0,0,+C47/C14)</f>
        <v>0.46523084920959551</v>
      </c>
      <c r="D276" s="547">
        <f t="shared" si="31"/>
        <v>0.46636197197937979</v>
      </c>
      <c r="E276" s="574">
        <f t="shared" ref="E276:E284" si="32">D276-C276</f>
        <v>1.1311227697842763E-3</v>
      </c>
    </row>
    <row r="277" spans="1:5" x14ac:dyDescent="0.2">
      <c r="A277" s="512">
        <v>2</v>
      </c>
      <c r="B277" s="511" t="s">
        <v>605</v>
      </c>
      <c r="C277" s="547">
        <f t="shared" si="31"/>
        <v>0.36959431079476007</v>
      </c>
      <c r="D277" s="547">
        <f t="shared" si="31"/>
        <v>0.39810728806311607</v>
      </c>
      <c r="E277" s="574">
        <f t="shared" si="32"/>
        <v>2.8512977268355999E-2</v>
      </c>
    </row>
    <row r="278" spans="1:5" x14ac:dyDescent="0.2">
      <c r="A278" s="512">
        <v>3</v>
      </c>
      <c r="B278" s="511" t="s">
        <v>751</v>
      </c>
      <c r="C278" s="547">
        <f t="shared" si="31"/>
        <v>0.26099399855458655</v>
      </c>
      <c r="D278" s="547">
        <f t="shared" si="31"/>
        <v>0.3083618282523542</v>
      </c>
      <c r="E278" s="574">
        <f t="shared" si="32"/>
        <v>4.7367829697767649E-2</v>
      </c>
    </row>
    <row r="279" spans="1:5" x14ac:dyDescent="0.2">
      <c r="A279" s="512">
        <v>4</v>
      </c>
      <c r="B279" s="511" t="s">
        <v>114</v>
      </c>
      <c r="C279" s="547">
        <f t="shared" si="31"/>
        <v>0.27844044150073111</v>
      </c>
      <c r="D279" s="547">
        <f t="shared" si="31"/>
        <v>0.3083618282523542</v>
      </c>
      <c r="E279" s="574">
        <f t="shared" si="32"/>
        <v>2.9921386751623091E-2</v>
      </c>
    </row>
    <row r="280" spans="1:5" x14ac:dyDescent="0.2">
      <c r="A280" s="512">
        <v>5</v>
      </c>
      <c r="B280" s="511" t="s">
        <v>718</v>
      </c>
      <c r="C280" s="547">
        <f t="shared" si="31"/>
        <v>0.19878427351873368</v>
      </c>
      <c r="D280" s="547">
        <f t="shared" si="31"/>
        <v>0</v>
      </c>
      <c r="E280" s="574">
        <f t="shared" si="32"/>
        <v>-0.19878427351873368</v>
      </c>
    </row>
    <row r="281" spans="1:5" x14ac:dyDescent="0.2">
      <c r="A281" s="512">
        <v>6</v>
      </c>
      <c r="B281" s="511" t="s">
        <v>418</v>
      </c>
      <c r="C281" s="547">
        <f t="shared" si="31"/>
        <v>0.26150927087734743</v>
      </c>
      <c r="D281" s="547">
        <f t="shared" si="31"/>
        <v>0.41279688808756515</v>
      </c>
      <c r="E281" s="574">
        <f t="shared" si="32"/>
        <v>0.15128761721021772</v>
      </c>
    </row>
    <row r="282" spans="1:5" x14ac:dyDescent="0.2">
      <c r="A282" s="512">
        <v>7</v>
      </c>
      <c r="B282" s="511" t="s">
        <v>733</v>
      </c>
      <c r="C282" s="547">
        <f t="shared" si="31"/>
        <v>3.5906119535578755E-2</v>
      </c>
      <c r="D282" s="547">
        <f t="shared" si="31"/>
        <v>2.465995376796036E-2</v>
      </c>
      <c r="E282" s="574">
        <f t="shared" si="32"/>
        <v>-1.1246165767618395E-2</v>
      </c>
    </row>
    <row r="283" spans="1:5" ht="29.25" customHeight="1" x14ac:dyDescent="0.2">
      <c r="A283" s="512"/>
      <c r="B283" s="516" t="s">
        <v>819</v>
      </c>
      <c r="C283" s="575">
        <f t="shared" si="31"/>
        <v>0.34595348450336044</v>
      </c>
      <c r="D283" s="575">
        <f t="shared" si="31"/>
        <v>0.37788241544364704</v>
      </c>
      <c r="E283" s="576">
        <f t="shared" si="32"/>
        <v>3.1928930940286593E-2</v>
      </c>
    </row>
    <row r="284" spans="1:5" x14ac:dyDescent="0.2">
      <c r="A284" s="512"/>
      <c r="B284" s="516" t="s">
        <v>820</v>
      </c>
      <c r="C284" s="575">
        <f t="shared" si="31"/>
        <v>0.37877744533793456</v>
      </c>
      <c r="D284" s="575">
        <f t="shared" si="31"/>
        <v>0.40239051472125026</v>
      </c>
      <c r="E284" s="576">
        <f t="shared" si="32"/>
        <v>2.3613069383315699E-2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821</v>
      </c>
      <c r="C286" s="520"/>
      <c r="D286" s="520"/>
      <c r="E286" s="520"/>
    </row>
    <row r="287" spans="1:5" x14ac:dyDescent="0.2">
      <c r="A287" s="512">
        <v>1</v>
      </c>
      <c r="B287" s="511" t="s">
        <v>626</v>
      </c>
      <c r="C287" s="547">
        <f t="shared" ref="C287:D295" si="33">IF(C25=0,0,+C58/C25)</f>
        <v>0.37240632221753822</v>
      </c>
      <c r="D287" s="547">
        <f t="shared" si="33"/>
        <v>0.35576624693205822</v>
      </c>
      <c r="E287" s="574">
        <f t="shared" ref="E287:E295" si="34">D287-C287</f>
        <v>-1.6640075285480005E-2</v>
      </c>
    </row>
    <row r="288" spans="1:5" x14ac:dyDescent="0.2">
      <c r="A288" s="512">
        <v>2</v>
      </c>
      <c r="B288" s="511" t="s">
        <v>605</v>
      </c>
      <c r="C288" s="547">
        <f t="shared" si="33"/>
        <v>0.23544835820214688</v>
      </c>
      <c r="D288" s="547">
        <f t="shared" si="33"/>
        <v>0.24104413285922183</v>
      </c>
      <c r="E288" s="574">
        <f t="shared" si="34"/>
        <v>5.5957746570749478E-3</v>
      </c>
    </row>
    <row r="289" spans="1:5" x14ac:dyDescent="0.2">
      <c r="A289" s="512">
        <v>3</v>
      </c>
      <c r="B289" s="511" t="s">
        <v>751</v>
      </c>
      <c r="C289" s="547">
        <f t="shared" si="33"/>
        <v>0.22309872239329712</v>
      </c>
      <c r="D289" s="547">
        <f t="shared" si="33"/>
        <v>0.25460799778154147</v>
      </c>
      <c r="E289" s="574">
        <f t="shared" si="34"/>
        <v>3.1509275388244357E-2</v>
      </c>
    </row>
    <row r="290" spans="1:5" x14ac:dyDescent="0.2">
      <c r="A290" s="512">
        <v>4</v>
      </c>
      <c r="B290" s="511" t="s">
        <v>114</v>
      </c>
      <c r="C290" s="547">
        <f t="shared" si="33"/>
        <v>0.24199996378608984</v>
      </c>
      <c r="D290" s="547">
        <f t="shared" si="33"/>
        <v>0.25460799778154147</v>
      </c>
      <c r="E290" s="574">
        <f t="shared" si="34"/>
        <v>1.2608033995451629E-2</v>
      </c>
    </row>
    <row r="291" spans="1:5" x14ac:dyDescent="0.2">
      <c r="A291" s="512">
        <v>5</v>
      </c>
      <c r="B291" s="511" t="s">
        <v>718</v>
      </c>
      <c r="C291" s="547">
        <f t="shared" si="33"/>
        <v>0.14279224435906987</v>
      </c>
      <c r="D291" s="547">
        <f t="shared" si="33"/>
        <v>0</v>
      </c>
      <c r="E291" s="574">
        <f t="shared" si="34"/>
        <v>-0.14279224435906987</v>
      </c>
    </row>
    <row r="292" spans="1:5" x14ac:dyDescent="0.2">
      <c r="A292" s="512">
        <v>6</v>
      </c>
      <c r="B292" s="511" t="s">
        <v>418</v>
      </c>
      <c r="C292" s="547">
        <f t="shared" si="33"/>
        <v>0.19942484481810324</v>
      </c>
      <c r="D292" s="547">
        <f t="shared" si="33"/>
        <v>0.19900021767032702</v>
      </c>
      <c r="E292" s="574">
        <f t="shared" si="34"/>
        <v>-4.2462714777621868E-4</v>
      </c>
    </row>
    <row r="293" spans="1:5" x14ac:dyDescent="0.2">
      <c r="A293" s="512">
        <v>7</v>
      </c>
      <c r="B293" s="511" t="s">
        <v>733</v>
      </c>
      <c r="C293" s="547">
        <f t="shared" si="33"/>
        <v>6.6152112850869985E-2</v>
      </c>
      <c r="D293" s="547">
        <f t="shared" si="33"/>
        <v>5.2047146992400956E-2</v>
      </c>
      <c r="E293" s="574">
        <f t="shared" si="34"/>
        <v>-1.4104965858469029E-2</v>
      </c>
    </row>
    <row r="294" spans="1:5" ht="29.25" customHeight="1" x14ac:dyDescent="0.2">
      <c r="A294" s="512"/>
      <c r="B294" s="516" t="s">
        <v>822</v>
      </c>
      <c r="C294" s="575">
        <f t="shared" si="33"/>
        <v>0.23119214697957249</v>
      </c>
      <c r="D294" s="575">
        <f t="shared" si="33"/>
        <v>0.24594773034933787</v>
      </c>
      <c r="E294" s="576">
        <f t="shared" si="34"/>
        <v>1.4755583369765374E-2</v>
      </c>
    </row>
    <row r="295" spans="1:5" x14ac:dyDescent="0.2">
      <c r="A295" s="512"/>
      <c r="B295" s="516" t="s">
        <v>823</v>
      </c>
      <c r="C295" s="575">
        <f t="shared" si="33"/>
        <v>0.29507630682272584</v>
      </c>
      <c r="D295" s="575">
        <f t="shared" si="33"/>
        <v>0.29377983900568805</v>
      </c>
      <c r="E295" s="576">
        <f t="shared" si="34"/>
        <v>-1.2964678170377941E-3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824</v>
      </c>
      <c r="B297" s="501" t="s">
        <v>825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826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624</v>
      </c>
      <c r="C301" s="514">
        <f>+C48+C47+C50+C51+C52+C59+C58+C61+C62+C63</f>
        <v>118986898</v>
      </c>
      <c r="D301" s="514">
        <f>+D48+D47+D50+D51+D52+D59+D58+D61+D62+D63</f>
        <v>115665856</v>
      </c>
      <c r="E301" s="514">
        <f>D301-C301</f>
        <v>-3321042</v>
      </c>
    </row>
    <row r="302" spans="1:5" ht="25.5" x14ac:dyDescent="0.2">
      <c r="A302" s="512">
        <v>2</v>
      </c>
      <c r="B302" s="511" t="s">
        <v>827</v>
      </c>
      <c r="C302" s="546">
        <f>C265</f>
        <v>624004</v>
      </c>
      <c r="D302" s="546">
        <f>D265</f>
        <v>0</v>
      </c>
      <c r="E302" s="514">
        <f>D302-C302</f>
        <v>-624004</v>
      </c>
    </row>
    <row r="303" spans="1:5" x14ac:dyDescent="0.2">
      <c r="A303" s="512"/>
      <c r="B303" s="516" t="s">
        <v>828</v>
      </c>
      <c r="C303" s="517">
        <f>+C301+C302</f>
        <v>119610902</v>
      </c>
      <c r="D303" s="517">
        <f>+D301+D302</f>
        <v>115665856</v>
      </c>
      <c r="E303" s="517">
        <f>D303-C303</f>
        <v>-3945046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829</v>
      </c>
      <c r="C305" s="513">
        <v>8407994</v>
      </c>
      <c r="D305" s="578">
        <v>10275104</v>
      </c>
      <c r="E305" s="579">
        <f>D305-C305</f>
        <v>1867110</v>
      </c>
    </row>
    <row r="306" spans="1:5" x14ac:dyDescent="0.2">
      <c r="A306" s="512">
        <v>4</v>
      </c>
      <c r="B306" s="516" t="s">
        <v>830</v>
      </c>
      <c r="C306" s="580">
        <f>+C303+C305</f>
        <v>128018896</v>
      </c>
      <c r="D306" s="580">
        <f>+D303+D305</f>
        <v>125940960</v>
      </c>
      <c r="E306" s="580">
        <f>D306-C306</f>
        <v>-2077936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831</v>
      </c>
      <c r="C308" s="513">
        <v>128018896</v>
      </c>
      <c r="D308" s="513">
        <v>125941019</v>
      </c>
      <c r="E308" s="514">
        <f>D308-C308</f>
        <v>-2077877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832</v>
      </c>
      <c r="C310" s="581">
        <f>C306-C308</f>
        <v>0</v>
      </c>
      <c r="D310" s="582">
        <f>D306-D308</f>
        <v>-59</v>
      </c>
      <c r="E310" s="580">
        <f>D310-C310</f>
        <v>-59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833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834</v>
      </c>
      <c r="C314" s="514">
        <f>+C14+C15+C16+C19+C25+C26+C27+C30</f>
        <v>361761243</v>
      </c>
      <c r="D314" s="514">
        <f>+D14+D15+D16+D19+D25+D26+D27+D30</f>
        <v>345045491</v>
      </c>
      <c r="E314" s="514">
        <f>D314-C314</f>
        <v>-16715752</v>
      </c>
    </row>
    <row r="315" spans="1:5" x14ac:dyDescent="0.2">
      <c r="A315" s="512">
        <v>2</v>
      </c>
      <c r="B315" s="583" t="s">
        <v>835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836</v>
      </c>
      <c r="C316" s="581">
        <f>C314+C315</f>
        <v>361761243</v>
      </c>
      <c r="D316" s="581">
        <f>D314+D315</f>
        <v>345045491</v>
      </c>
      <c r="E316" s="517">
        <f>D316-C316</f>
        <v>-16715752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837</v>
      </c>
      <c r="C318" s="513">
        <v>361761109</v>
      </c>
      <c r="D318" s="513">
        <v>345045549</v>
      </c>
      <c r="E318" s="514">
        <f>D318-C318</f>
        <v>-16715560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832</v>
      </c>
      <c r="C320" s="581">
        <f>C316-C318</f>
        <v>134</v>
      </c>
      <c r="D320" s="581">
        <f>D316-D318</f>
        <v>-58</v>
      </c>
      <c r="E320" s="517">
        <f>D320-C320</f>
        <v>-192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838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839</v>
      </c>
      <c r="C324" s="513">
        <f>+C193+C194</f>
        <v>11203451</v>
      </c>
      <c r="D324" s="513">
        <f>+D193+D194</f>
        <v>10070775</v>
      </c>
      <c r="E324" s="514">
        <f>D324-C324</f>
        <v>-1132676</v>
      </c>
    </row>
    <row r="325" spans="1:5" x14ac:dyDescent="0.2">
      <c r="A325" s="512">
        <v>2</v>
      </c>
      <c r="B325" s="511" t="s">
        <v>840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841</v>
      </c>
      <c r="C326" s="581">
        <f>C324+C325</f>
        <v>11203451</v>
      </c>
      <c r="D326" s="581">
        <f>D324+D325</f>
        <v>10070775</v>
      </c>
      <c r="E326" s="517">
        <f>D326-C326</f>
        <v>-1132676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842</v>
      </c>
      <c r="C328" s="513">
        <v>11203451</v>
      </c>
      <c r="D328" s="513">
        <v>10070775</v>
      </c>
      <c r="E328" s="514">
        <f>D328-C328</f>
        <v>-1132676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843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FILING&amp;RBRISTOL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596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844</v>
      </c>
      <c r="B5" s="696"/>
      <c r="C5" s="697"/>
      <c r="D5" s="585"/>
    </row>
    <row r="6" spans="1:58" s="338" customFormat="1" ht="15.75" customHeight="1" x14ac:dyDescent="0.25">
      <c r="A6" s="695" t="s">
        <v>845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846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847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750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626</v>
      </c>
      <c r="C14" s="513">
        <v>36465574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605</v>
      </c>
      <c r="C15" s="515">
        <v>73322938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751</v>
      </c>
      <c r="C16" s="515">
        <v>21507928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21507928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718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352195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733</v>
      </c>
      <c r="C20" s="515">
        <v>814154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752</v>
      </c>
      <c r="C21" s="517">
        <f>SUM(C15+C16+C19)</f>
        <v>95183061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692</v>
      </c>
      <c r="C22" s="517">
        <f>SUM(C14+C21)</f>
        <v>131648635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753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626</v>
      </c>
      <c r="C25" s="513">
        <v>92946271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605</v>
      </c>
      <c r="C26" s="515">
        <v>74174392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751</v>
      </c>
      <c r="C27" s="515">
        <v>45610048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45610048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718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666145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733</v>
      </c>
      <c r="C31" s="518">
        <v>5148409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754</v>
      </c>
      <c r="C32" s="517">
        <f>SUM(C26+C27+C30)</f>
        <v>120450585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698</v>
      </c>
      <c r="C33" s="517">
        <f>SUM(C25+C32)</f>
        <v>213396856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623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848</v>
      </c>
      <c r="C36" s="514">
        <f>SUM(C14+C25)</f>
        <v>129411845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849</v>
      </c>
      <c r="C37" s="518">
        <f>SUM(C21+C32)</f>
        <v>215633646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623</v>
      </c>
      <c r="C38" s="517">
        <f>SUM(+C36+C37)</f>
        <v>345045491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763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626</v>
      </c>
      <c r="C41" s="513">
        <v>17006157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605</v>
      </c>
      <c r="C42" s="515">
        <v>29190396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751</v>
      </c>
      <c r="C43" s="515">
        <v>6632224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6632224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718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145385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733</v>
      </c>
      <c r="C47" s="515">
        <v>20077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764</v>
      </c>
      <c r="C48" s="517">
        <f>SUM(C42+C43+C46)</f>
        <v>35968005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693</v>
      </c>
      <c r="C49" s="517">
        <f>SUM(C41+C48)</f>
        <v>52974162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765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626</v>
      </c>
      <c r="C52" s="513">
        <v>33067146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605</v>
      </c>
      <c r="C53" s="515">
        <v>17879302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751</v>
      </c>
      <c r="C54" s="515">
        <v>11612683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11612683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718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132563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733</v>
      </c>
      <c r="C58" s="515">
        <v>267960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766</v>
      </c>
      <c r="C59" s="517">
        <f>SUM(C53+C54+C57)</f>
        <v>29624548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699</v>
      </c>
      <c r="C60" s="517">
        <f>SUM(C52+C59)</f>
        <v>62691694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624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850</v>
      </c>
      <c r="C63" s="514">
        <f>SUM(C41+C52)</f>
        <v>50073303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851</v>
      </c>
      <c r="C64" s="518">
        <f>SUM(C48+C59)</f>
        <v>65592553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624</v>
      </c>
      <c r="C65" s="517">
        <f>SUM(+C63+C64)</f>
        <v>115665856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852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853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626</v>
      </c>
      <c r="C70" s="530">
        <v>2320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605</v>
      </c>
      <c r="C71" s="530">
        <v>3378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751</v>
      </c>
      <c r="C72" s="530">
        <v>1593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1593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718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25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733</v>
      </c>
      <c r="C76" s="545">
        <v>38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781</v>
      </c>
      <c r="C77" s="532">
        <f>SUM(C71+C72+C75)</f>
        <v>4996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695</v>
      </c>
      <c r="C78" s="596">
        <f>SUM(C70+C77)</f>
        <v>7316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786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626</v>
      </c>
      <c r="C81" s="541">
        <v>0.97450000000000003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605</v>
      </c>
      <c r="C82" s="541">
        <v>1.2924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751</v>
      </c>
      <c r="C83" s="541">
        <f>((C73*C84)+(C74*C85))/(C73+C74)</f>
        <v>0.93069999999999997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0.93069999999999997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718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1.1613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733</v>
      </c>
      <c r="C87" s="541">
        <v>0.8296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787</v>
      </c>
      <c r="C88" s="543">
        <f>((C71*C82)+(C73*C84)+(C74*C85)+(C75*C86))/(C71+C73+C74+C75)</f>
        <v>1.1764140912730185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696</v>
      </c>
      <c r="C89" s="543">
        <f>((C70*C81)+(C71*C82)+(C73*C84)+(C74*C85)+(C75*C86))/(C70+C71+C73+C74+C75)</f>
        <v>1.1123844723892837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788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789</v>
      </c>
      <c r="C92" s="513">
        <v>122450596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790</v>
      </c>
      <c r="C93" s="546">
        <v>58072723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638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722</v>
      </c>
      <c r="C95" s="513">
        <f>+C92-C93</f>
        <v>64377873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640</v>
      </c>
      <c r="C96" s="597">
        <f>(+C92-C93)/C92</f>
        <v>0.52574568930640397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737</v>
      </c>
      <c r="C98" s="513">
        <v>4277938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723</v>
      </c>
      <c r="C99" s="513">
        <v>2774243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854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792</v>
      </c>
      <c r="C103" s="513">
        <v>223751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793</v>
      </c>
      <c r="C104" s="513">
        <v>9847024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794</v>
      </c>
      <c r="C105" s="578">
        <f>+C103+C104</f>
        <v>10070775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795</v>
      </c>
      <c r="C107" s="513">
        <v>6100777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680</v>
      </c>
      <c r="C108" s="513">
        <v>131894527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825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826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624</v>
      </c>
      <c r="C114" s="514">
        <f>+C65</f>
        <v>115665856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827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828</v>
      </c>
      <c r="C116" s="517">
        <f>+C114+C115</f>
        <v>115665856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829</v>
      </c>
      <c r="C118" s="578">
        <v>10275104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830</v>
      </c>
      <c r="C119" s="580">
        <f>+C116+C118</f>
        <v>125940960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831</v>
      </c>
      <c r="C121" s="513">
        <v>125941019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832</v>
      </c>
      <c r="C123" s="582">
        <f>C119-C121</f>
        <v>-59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833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834</v>
      </c>
      <c r="C127" s="514">
        <f>+C38</f>
        <v>345045491</v>
      </c>
      <c r="D127" s="588"/>
      <c r="AR127" s="507"/>
    </row>
    <row r="128" spans="1:58" s="506" customFormat="1" x14ac:dyDescent="0.2">
      <c r="A128" s="512">
        <v>2</v>
      </c>
      <c r="B128" s="583" t="s">
        <v>835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836</v>
      </c>
      <c r="C129" s="581">
        <f>C127+C128</f>
        <v>345045491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837</v>
      </c>
      <c r="C131" s="513">
        <v>345045549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832</v>
      </c>
      <c r="C133" s="581">
        <f>C129-C131</f>
        <v>-58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838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839</v>
      </c>
      <c r="C137" s="513">
        <f>C105</f>
        <v>10070775</v>
      </c>
      <c r="D137" s="588"/>
      <c r="AR137" s="507"/>
    </row>
    <row r="138" spans="1:44" s="506" customFormat="1" x14ac:dyDescent="0.2">
      <c r="A138" s="512">
        <v>2</v>
      </c>
      <c r="B138" s="511" t="s">
        <v>855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841</v>
      </c>
      <c r="C139" s="581">
        <f>C137+C138</f>
        <v>10070775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856</v>
      </c>
      <c r="C141" s="513">
        <v>10070775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843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FILING&amp;RBRISTOL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857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600</v>
      </c>
      <c r="D8" s="35" t="s">
        <v>600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602</v>
      </c>
      <c r="D9" s="607" t="s">
        <v>603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858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859</v>
      </c>
      <c r="C12" s="49">
        <v>122</v>
      </c>
      <c r="D12" s="49">
        <v>82</v>
      </c>
      <c r="E12" s="49">
        <f>+D12-C12</f>
        <v>-40</v>
      </c>
      <c r="F12" s="70">
        <f>IF(C12=0,0,+E12/C12)</f>
        <v>-0.32786885245901637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860</v>
      </c>
      <c r="C13" s="49">
        <v>113</v>
      </c>
      <c r="D13" s="49">
        <v>79</v>
      </c>
      <c r="E13" s="49">
        <f>+D13-C13</f>
        <v>-34</v>
      </c>
      <c r="F13" s="70">
        <f>IF(C13=0,0,+E13/C13)</f>
        <v>-0.30088495575221241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861</v>
      </c>
      <c r="C15" s="51">
        <v>259103</v>
      </c>
      <c r="D15" s="51">
        <v>223751</v>
      </c>
      <c r="E15" s="51">
        <f>+D15-C15</f>
        <v>-35352</v>
      </c>
      <c r="F15" s="70">
        <f>IF(C15=0,0,+E15/C15)</f>
        <v>-0.13643994859187272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862</v>
      </c>
      <c r="C16" s="27">
        <f>IF(C13=0,0,+C15/+C13)</f>
        <v>2292.9469026548672</v>
      </c>
      <c r="D16" s="27">
        <f>IF(D13=0,0,+D15/+D13)</f>
        <v>2832.2911392405063</v>
      </c>
      <c r="E16" s="27">
        <f>+D16-C16</f>
        <v>539.34423658563901</v>
      </c>
      <c r="F16" s="28">
        <f>IF(C16=0,0,+E16/C16)</f>
        <v>0.23521880771035925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863</v>
      </c>
      <c r="C18" s="210">
        <v>0.35700100000000001</v>
      </c>
      <c r="D18" s="210">
        <v>0.35794399999999998</v>
      </c>
      <c r="E18" s="210">
        <f>+D18-C18</f>
        <v>9.4299999999997164E-4</v>
      </c>
      <c r="F18" s="70">
        <f>IF(C18=0,0,+E18/C18)</f>
        <v>2.6414491836156528E-3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864</v>
      </c>
      <c r="C19" s="27">
        <f>+C15*C18</f>
        <v>92500.030102999997</v>
      </c>
      <c r="D19" s="27">
        <f>+D15*D18</f>
        <v>80090.32794399999</v>
      </c>
      <c r="E19" s="27">
        <f>+D19-C19</f>
        <v>-12409.702159000008</v>
      </c>
      <c r="F19" s="28">
        <f>IF(C19=0,0,+E19/C19)</f>
        <v>-0.13415889859907765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865</v>
      </c>
      <c r="C20" s="27">
        <f>IF(C13=0,0,+C19/C13)</f>
        <v>818.58433719469019</v>
      </c>
      <c r="D20" s="27">
        <f>IF(D13=0,0,+D19/D13)</f>
        <v>1013.8016195443037</v>
      </c>
      <c r="E20" s="27">
        <f>+D20-C20</f>
        <v>195.21728234961347</v>
      </c>
      <c r="F20" s="28">
        <f>IF(C20=0,0,+E20/C20)</f>
        <v>0.23848157542157253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866</v>
      </c>
      <c r="C22" s="51">
        <v>112925</v>
      </c>
      <c r="D22" s="51">
        <v>110509</v>
      </c>
      <c r="E22" s="51">
        <f>+D22-C22</f>
        <v>-2416</v>
      </c>
      <c r="F22" s="70">
        <f>IF(C22=0,0,+E22/C22)</f>
        <v>-2.139473101616117E-2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867</v>
      </c>
      <c r="C23" s="49">
        <v>107044</v>
      </c>
      <c r="D23" s="49">
        <v>76227</v>
      </c>
      <c r="E23" s="49">
        <f>+D23-C23</f>
        <v>-30817</v>
      </c>
      <c r="F23" s="70">
        <f>IF(C23=0,0,+E23/C23)</f>
        <v>-0.28789096072643028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868</v>
      </c>
      <c r="C24" s="49">
        <v>39134</v>
      </c>
      <c r="D24" s="49">
        <v>37015</v>
      </c>
      <c r="E24" s="49">
        <f>+D24-C24</f>
        <v>-2119</v>
      </c>
      <c r="F24" s="70">
        <f>IF(C24=0,0,+E24/C24)</f>
        <v>-5.4147288802575765E-2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861</v>
      </c>
      <c r="C25" s="27">
        <f>+C22+C23+C24</f>
        <v>259103</v>
      </c>
      <c r="D25" s="27">
        <f>+D22+D23+D24</f>
        <v>223751</v>
      </c>
      <c r="E25" s="27">
        <f>+E22+E23+E24</f>
        <v>-35352</v>
      </c>
      <c r="F25" s="28">
        <f>IF(C25=0,0,+E25/C25)</f>
        <v>-0.13643994859187272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869</v>
      </c>
      <c r="C27" s="49">
        <v>15</v>
      </c>
      <c r="D27" s="49">
        <v>16</v>
      </c>
      <c r="E27" s="49">
        <f>+D27-C27</f>
        <v>1</v>
      </c>
      <c r="F27" s="70">
        <f>IF(C27=0,0,+E27/C27)</f>
        <v>6.6666666666666666E-2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870</v>
      </c>
      <c r="C28" s="49">
        <v>7</v>
      </c>
      <c r="D28" s="49">
        <v>2</v>
      </c>
      <c r="E28" s="49">
        <f>+D28-C28</f>
        <v>-5</v>
      </c>
      <c r="F28" s="70">
        <f>IF(C28=0,0,+E28/C28)</f>
        <v>-0.7142857142857143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871</v>
      </c>
      <c r="C29" s="49">
        <v>43</v>
      </c>
      <c r="D29" s="49">
        <v>32</v>
      </c>
      <c r="E29" s="49">
        <f>+D29-C29</f>
        <v>-11</v>
      </c>
      <c r="F29" s="70">
        <f>IF(C29=0,0,+E29/C29)</f>
        <v>-0.2558139534883721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872</v>
      </c>
      <c r="C30" s="49">
        <v>130</v>
      </c>
      <c r="D30" s="49">
        <v>62</v>
      </c>
      <c r="E30" s="49">
        <f>+D30-C30</f>
        <v>-68</v>
      </c>
      <c r="F30" s="70">
        <f>IF(C30=0,0,+E30/C30)</f>
        <v>-0.52307692307692311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873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874</v>
      </c>
      <c r="C33" s="51">
        <v>3160089</v>
      </c>
      <c r="D33" s="51">
        <v>2727226</v>
      </c>
      <c r="E33" s="51">
        <f>+D33-C33</f>
        <v>-432863</v>
      </c>
      <c r="F33" s="70">
        <f>IF(C33=0,0,+E33/C33)</f>
        <v>-0.13697810409770106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875</v>
      </c>
      <c r="C34" s="49">
        <v>6514871</v>
      </c>
      <c r="D34" s="49">
        <v>5862099</v>
      </c>
      <c r="E34" s="49">
        <f>+D34-C34</f>
        <v>-652772</v>
      </c>
      <c r="F34" s="70">
        <f>IF(C34=0,0,+E34/C34)</f>
        <v>-0.10019722570101541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876</v>
      </c>
      <c r="C35" s="49">
        <v>1269388</v>
      </c>
      <c r="D35" s="49">
        <v>1257699</v>
      </c>
      <c r="E35" s="49">
        <f>+D35-C35</f>
        <v>-11689</v>
      </c>
      <c r="F35" s="70">
        <f>IF(C35=0,0,+E35/C35)</f>
        <v>-9.2083744292525225E-3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877</v>
      </c>
      <c r="C36" s="27">
        <f>+C33+C34+C35</f>
        <v>10944348</v>
      </c>
      <c r="D36" s="27">
        <f>+D33+D34+D35</f>
        <v>9847024</v>
      </c>
      <c r="E36" s="27">
        <f>+E33+E34+E35</f>
        <v>-1097324</v>
      </c>
      <c r="F36" s="28">
        <f>IF(C36=0,0,+E36/C36)</f>
        <v>-0.10026399014358826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878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879</v>
      </c>
      <c r="C39" s="51">
        <f>+C25</f>
        <v>259103</v>
      </c>
      <c r="D39" s="51">
        <f>+D25</f>
        <v>223751</v>
      </c>
      <c r="E39" s="51">
        <f>+D39-C39</f>
        <v>-35352</v>
      </c>
      <c r="F39" s="70">
        <f>IF(C39=0,0,+E39/C39)</f>
        <v>-0.13643994859187272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880</v>
      </c>
      <c r="C40" s="49">
        <f>+C36</f>
        <v>10944348</v>
      </c>
      <c r="D40" s="49">
        <f>+D36</f>
        <v>9847024</v>
      </c>
      <c r="E40" s="49">
        <f>+D40-C40</f>
        <v>-1097324</v>
      </c>
      <c r="F40" s="70">
        <f>IF(C40=0,0,+E40/C40)</f>
        <v>-0.10026399014358826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881</v>
      </c>
      <c r="C41" s="27">
        <f>+C39+C40</f>
        <v>11203451</v>
      </c>
      <c r="D41" s="27">
        <f>+D39+D40</f>
        <v>10070775</v>
      </c>
      <c r="E41" s="27">
        <f>+E39+E40</f>
        <v>-1132676</v>
      </c>
      <c r="F41" s="28">
        <f>IF(C41=0,0,+E41/C41)</f>
        <v>-0.10110063408140937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882</v>
      </c>
      <c r="C43" s="51">
        <f t="shared" ref="C43:D45" si="0">+C22+C33</f>
        <v>3273014</v>
      </c>
      <c r="D43" s="51">
        <f t="shared" si="0"/>
        <v>2837735</v>
      </c>
      <c r="E43" s="51">
        <f>+D43-C43</f>
        <v>-435279</v>
      </c>
      <c r="F43" s="70">
        <f>IF(C43=0,0,+E43/C43)</f>
        <v>-0.13299026524176188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883</v>
      </c>
      <c r="C44" s="49">
        <f t="shared" si="0"/>
        <v>6621915</v>
      </c>
      <c r="D44" s="49">
        <f t="shared" si="0"/>
        <v>5938326</v>
      </c>
      <c r="E44" s="49">
        <f>+D44-C44</f>
        <v>-683589</v>
      </c>
      <c r="F44" s="70">
        <f>IF(C44=0,0,+E44/C44)</f>
        <v>-0.10323131601659037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884</v>
      </c>
      <c r="C45" s="49">
        <f t="shared" si="0"/>
        <v>1308522</v>
      </c>
      <c r="D45" s="49">
        <f t="shared" si="0"/>
        <v>1294714</v>
      </c>
      <c r="E45" s="49">
        <f>+D45-C45</f>
        <v>-13808</v>
      </c>
      <c r="F45" s="70">
        <f>IF(C45=0,0,+E45/C45)</f>
        <v>-1.0552363659151317E-2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881</v>
      </c>
      <c r="C46" s="27">
        <f>+C43+C44+C45</f>
        <v>11203451</v>
      </c>
      <c r="D46" s="27">
        <f>+D43+D44+D45</f>
        <v>10070775</v>
      </c>
      <c r="E46" s="27">
        <f>+E43+E44+E45</f>
        <v>-1132676</v>
      </c>
      <c r="F46" s="28">
        <f>IF(C46=0,0,+E46/C46)</f>
        <v>-0.10110063408140937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885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FILING&amp;RBRISTOL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886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887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602</v>
      </c>
      <c r="D9" s="35" t="s">
        <v>603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888</v>
      </c>
      <c r="D10" s="35" t="s">
        <v>888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889</v>
      </c>
      <c r="D11" s="605" t="s">
        <v>889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890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121599557</v>
      </c>
      <c r="D15" s="51">
        <v>122450596</v>
      </c>
      <c r="E15" s="51">
        <f>+D15-C15</f>
        <v>851039</v>
      </c>
      <c r="F15" s="70">
        <f>+E15/C15</f>
        <v>6.9987014837562282E-3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891</v>
      </c>
      <c r="C17" s="51">
        <v>68559188</v>
      </c>
      <c r="D17" s="51">
        <v>64377873</v>
      </c>
      <c r="E17" s="51">
        <f>+D17-C17</f>
        <v>-4181315</v>
      </c>
      <c r="F17" s="70">
        <f>+E17/C17</f>
        <v>-6.0988397353830971E-2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892</v>
      </c>
      <c r="C19" s="27">
        <f>+C15-C17</f>
        <v>53040369</v>
      </c>
      <c r="D19" s="27">
        <f>+D15-D17</f>
        <v>58072723</v>
      </c>
      <c r="E19" s="27">
        <f>+D19-C19</f>
        <v>5032354</v>
      </c>
      <c r="F19" s="28">
        <f>+E19/C19</f>
        <v>9.4877809013734424E-2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893</v>
      </c>
      <c r="C21" s="628">
        <f>+C17/C15</f>
        <v>0.56381116585811242</v>
      </c>
      <c r="D21" s="628">
        <f>+D17/D15</f>
        <v>0.52574568930640397</v>
      </c>
      <c r="E21" s="628">
        <f>+D21-C21</f>
        <v>-3.8065476551708444E-2</v>
      </c>
      <c r="F21" s="28">
        <f>+E21/C21</f>
        <v>-6.7514584415463541E-2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894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FILING&amp;R&amp;12BRISTOL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895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896</v>
      </c>
      <c r="B6" s="632" t="s">
        <v>897</v>
      </c>
      <c r="C6" s="632" t="s">
        <v>898</v>
      </c>
      <c r="D6" s="632" t="s">
        <v>899</v>
      </c>
      <c r="E6" s="632" t="s">
        <v>900</v>
      </c>
    </row>
    <row r="7" spans="1:6" ht="37.5" customHeight="1" x14ac:dyDescent="0.25">
      <c r="A7" s="633" t="s">
        <v>8</v>
      </c>
      <c r="B7" s="634" t="s">
        <v>901</v>
      </c>
      <c r="C7" s="631" t="s">
        <v>902</v>
      </c>
      <c r="D7" s="631" t="s">
        <v>903</v>
      </c>
      <c r="E7" s="631" t="s">
        <v>904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905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906</v>
      </c>
      <c r="C10" s="641">
        <v>152310534</v>
      </c>
      <c r="D10" s="641">
        <v>146231302</v>
      </c>
      <c r="E10" s="641">
        <v>131648635</v>
      </c>
    </row>
    <row r="11" spans="1:6" ht="26.1" customHeight="1" x14ac:dyDescent="0.25">
      <c r="A11" s="639">
        <v>2</v>
      </c>
      <c r="B11" s="640" t="s">
        <v>907</v>
      </c>
      <c r="C11" s="641">
        <v>206781547</v>
      </c>
      <c r="D11" s="641">
        <v>215529941</v>
      </c>
      <c r="E11" s="641">
        <v>213396856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359092081</v>
      </c>
      <c r="D12" s="641">
        <f>+D11+D10</f>
        <v>361761243</v>
      </c>
      <c r="E12" s="641">
        <f>+E11+E10</f>
        <v>345045491</v>
      </c>
    </row>
    <row r="13" spans="1:6" ht="26.1" customHeight="1" x14ac:dyDescent="0.25">
      <c r="A13" s="639">
        <v>4</v>
      </c>
      <c r="B13" s="640" t="s">
        <v>484</v>
      </c>
      <c r="C13" s="641">
        <v>124989832</v>
      </c>
      <c r="D13" s="641">
        <v>127394892</v>
      </c>
      <c r="E13" s="641">
        <v>125941019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908</v>
      </c>
      <c r="C16" s="641">
        <v>129657399</v>
      </c>
      <c r="D16" s="641">
        <v>130987633</v>
      </c>
      <c r="E16" s="641">
        <v>131894527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909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33658</v>
      </c>
      <c r="D19" s="644">
        <v>30673</v>
      </c>
      <c r="E19" s="644">
        <v>28670</v>
      </c>
    </row>
    <row r="20" spans="1:5" ht="26.1" customHeight="1" x14ac:dyDescent="0.25">
      <c r="A20" s="639">
        <v>2</v>
      </c>
      <c r="B20" s="640" t="s">
        <v>373</v>
      </c>
      <c r="C20" s="645">
        <v>7846</v>
      </c>
      <c r="D20" s="645">
        <v>7617</v>
      </c>
      <c r="E20" s="645">
        <v>7316</v>
      </c>
    </row>
    <row r="21" spans="1:5" ht="26.1" customHeight="1" x14ac:dyDescent="0.25">
      <c r="A21" s="639">
        <v>3</v>
      </c>
      <c r="B21" s="640" t="s">
        <v>910</v>
      </c>
      <c r="C21" s="646">
        <f>IF(C20=0,0,+C19/C20)</f>
        <v>4.289829212337497</v>
      </c>
      <c r="D21" s="646">
        <f>IF(D20=0,0,+D19/D20)</f>
        <v>4.0269134829985562</v>
      </c>
      <c r="E21" s="646">
        <f>IF(E20=0,0,+E19/E20)</f>
        <v>3.9188080918534718</v>
      </c>
    </row>
    <row r="22" spans="1:5" ht="26.1" customHeight="1" x14ac:dyDescent="0.25">
      <c r="A22" s="639">
        <v>4</v>
      </c>
      <c r="B22" s="640" t="s">
        <v>911</v>
      </c>
      <c r="C22" s="645">
        <f>IF(C10=0,0,C19*(C12/C10))</f>
        <v>79353.154012958825</v>
      </c>
      <c r="D22" s="645">
        <f>IF(D10=0,0,D19*(D12/D10))</f>
        <v>75881.856037491903</v>
      </c>
      <c r="E22" s="645">
        <f>IF(E10=0,0,E19*(E12/E10))</f>
        <v>75142.854515506377</v>
      </c>
    </row>
    <row r="23" spans="1:5" ht="26.1" customHeight="1" x14ac:dyDescent="0.25">
      <c r="A23" s="639">
        <v>0</v>
      </c>
      <c r="B23" s="640" t="s">
        <v>912</v>
      </c>
      <c r="C23" s="645">
        <f>IF(C10=0,0,C20*(C12/C10))</f>
        <v>18497.975113960274</v>
      </c>
      <c r="D23" s="645">
        <f>IF(D10=0,0,D20*(D12/D10))</f>
        <v>18843.676765806271</v>
      </c>
      <c r="E23" s="645">
        <f>IF(E10=0,0,E20*(E12/E10))</f>
        <v>19174.925833116311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913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1.089638172317104</v>
      </c>
      <c r="D26" s="647">
        <v>1.0808632269922542</v>
      </c>
      <c r="E26" s="647">
        <v>1.1123844723892837</v>
      </c>
    </row>
    <row r="27" spans="1:5" ht="26.1" customHeight="1" x14ac:dyDescent="0.25">
      <c r="A27" s="639">
        <v>2</v>
      </c>
      <c r="B27" s="640" t="s">
        <v>914</v>
      </c>
      <c r="C27" s="645">
        <f>C19*C26</f>
        <v>36675.041603849088</v>
      </c>
      <c r="D27" s="645">
        <f>D19*D26</f>
        <v>33153.317761533413</v>
      </c>
      <c r="E27" s="645">
        <f>E19*E26</f>
        <v>31892.062823400764</v>
      </c>
    </row>
    <row r="28" spans="1:5" ht="26.1" customHeight="1" x14ac:dyDescent="0.25">
      <c r="A28" s="639">
        <v>3</v>
      </c>
      <c r="B28" s="640" t="s">
        <v>915</v>
      </c>
      <c r="C28" s="645">
        <f>C20*C26</f>
        <v>8549.3010999999988</v>
      </c>
      <c r="D28" s="645">
        <f>D20*D26</f>
        <v>8232.9351999999999</v>
      </c>
      <c r="E28" s="645">
        <f>E20*E26</f>
        <v>8138.2047999999995</v>
      </c>
    </row>
    <row r="29" spans="1:5" ht="26.1" customHeight="1" x14ac:dyDescent="0.25">
      <c r="A29" s="639">
        <v>4</v>
      </c>
      <c r="B29" s="640" t="s">
        <v>916</v>
      </c>
      <c r="C29" s="645">
        <f>C22*C26</f>
        <v>86466.225706278128</v>
      </c>
      <c r="D29" s="645">
        <f>D22*D26</f>
        <v>82017.907786845171</v>
      </c>
      <c r="E29" s="645">
        <f>E22*E26</f>
        <v>83587.744574056269</v>
      </c>
    </row>
    <row r="30" spans="1:5" ht="26.1" customHeight="1" x14ac:dyDescent="0.25">
      <c r="A30" s="639">
        <v>5</v>
      </c>
      <c r="B30" s="640" t="s">
        <v>917</v>
      </c>
      <c r="C30" s="645">
        <f>C23*C26</f>
        <v>20156.099794742946</v>
      </c>
      <c r="D30" s="645">
        <f>D23*D26</f>
        <v>20367.43727748833</v>
      </c>
      <c r="E30" s="645">
        <f>E23*E26</f>
        <v>21329.889755974735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918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919</v>
      </c>
      <c r="C33" s="641">
        <f>IF(C19=0,0,C12/C19)</f>
        <v>10668.847851922277</v>
      </c>
      <c r="D33" s="641">
        <f>IF(D19=0,0,D12/D19)</f>
        <v>11794.126528216999</v>
      </c>
      <c r="E33" s="641">
        <f>IF(E19=0,0,E12/E19)</f>
        <v>12035.071189396582</v>
      </c>
    </row>
    <row r="34" spans="1:5" ht="26.1" customHeight="1" x14ac:dyDescent="0.25">
      <c r="A34" s="639">
        <v>2</v>
      </c>
      <c r="B34" s="640" t="s">
        <v>920</v>
      </c>
      <c r="C34" s="641">
        <f>IF(C20=0,0,C12/C20)</f>
        <v>45767.535177160338</v>
      </c>
      <c r="D34" s="641">
        <f>IF(D20=0,0,D12/D20)</f>
        <v>47493.927136667982</v>
      </c>
      <c r="E34" s="641">
        <f>IF(E20=0,0,E12/E20)</f>
        <v>47163.134363039913</v>
      </c>
    </row>
    <row r="35" spans="1:5" ht="26.1" customHeight="1" x14ac:dyDescent="0.25">
      <c r="A35" s="639">
        <v>3</v>
      </c>
      <c r="B35" s="640" t="s">
        <v>921</v>
      </c>
      <c r="C35" s="641">
        <f>IF(C22=0,0,C12/C22)</f>
        <v>4525.2401806405605</v>
      </c>
      <c r="D35" s="641">
        <f>IF(D22=0,0,D12/D22)</f>
        <v>4767.4274443321483</v>
      </c>
      <c r="E35" s="641">
        <f>IF(E22=0,0,E12/E22)</f>
        <v>4591.8603069410528</v>
      </c>
    </row>
    <row r="36" spans="1:5" ht="26.1" customHeight="1" x14ac:dyDescent="0.25">
      <c r="A36" s="639">
        <v>4</v>
      </c>
      <c r="B36" s="640" t="s">
        <v>922</v>
      </c>
      <c r="C36" s="641">
        <f>IF(C23=0,0,C12/C23)</f>
        <v>19412.507519755287</v>
      </c>
      <c r="D36" s="641">
        <f>IF(D23=0,0,D12/D23)</f>
        <v>19198.017854798476</v>
      </c>
      <c r="E36" s="641">
        <f>IF(E23=0,0,E12/E23)</f>
        <v>17994.619327501365</v>
      </c>
    </row>
    <row r="37" spans="1:5" ht="26.1" customHeight="1" x14ac:dyDescent="0.25">
      <c r="A37" s="639">
        <v>5</v>
      </c>
      <c r="B37" s="640" t="s">
        <v>923</v>
      </c>
      <c r="C37" s="641">
        <f>IF(C29=0,0,C12/C29)</f>
        <v>4152.9750843967631</v>
      </c>
      <c r="D37" s="641">
        <f>IF(D29=0,0,D12/D29)</f>
        <v>4410.7592202933856</v>
      </c>
      <c r="E37" s="641">
        <f>IF(E29=0,0,E12/E29)</f>
        <v>4127.9435491204085</v>
      </c>
    </row>
    <row r="38" spans="1:5" ht="26.1" customHeight="1" x14ac:dyDescent="0.25">
      <c r="A38" s="639">
        <v>6</v>
      </c>
      <c r="B38" s="640" t="s">
        <v>924</v>
      </c>
      <c r="C38" s="641">
        <f>IF(C30=0,0,C12/C30)</f>
        <v>17815.55383515502</v>
      </c>
      <c r="D38" s="641">
        <f>IF(D30=0,0,D12/D30)</f>
        <v>17761.745774459636</v>
      </c>
      <c r="E38" s="641">
        <f>IF(E30=0,0,E12/E30)</f>
        <v>16176.618583007397</v>
      </c>
    </row>
    <row r="39" spans="1:5" ht="26.1" customHeight="1" x14ac:dyDescent="0.25">
      <c r="A39" s="639">
        <v>7</v>
      </c>
      <c r="B39" s="640" t="s">
        <v>925</v>
      </c>
      <c r="C39" s="641">
        <f>IF(C22=0,0,C10/C22)</f>
        <v>1919.401136533613</v>
      </c>
      <c r="D39" s="641">
        <f>IF(D22=0,0,D10/D22)</f>
        <v>1927.0917929017137</v>
      </c>
      <c r="E39" s="641">
        <f>IF(E22=0,0,E10/E22)</f>
        <v>1751.9780935768572</v>
      </c>
    </row>
    <row r="40" spans="1:5" ht="26.1" customHeight="1" x14ac:dyDescent="0.25">
      <c r="A40" s="639">
        <v>8</v>
      </c>
      <c r="B40" s="640" t="s">
        <v>926</v>
      </c>
      <c r="C40" s="641">
        <f>IF(C23=0,0,C10/C23)</f>
        <v>8233.9030656956857</v>
      </c>
      <c r="D40" s="641">
        <f>IF(D23=0,0,D10/D23)</f>
        <v>7760.2319238117725</v>
      </c>
      <c r="E40" s="641">
        <f>IF(E23=0,0,E10/E23)</f>
        <v>6865.6659298590075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927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928</v>
      </c>
      <c r="C43" s="641">
        <f>IF(C19=0,0,C13/C19)</f>
        <v>3713.5252243151704</v>
      </c>
      <c r="D43" s="641">
        <f>IF(D19=0,0,D13/D19)</f>
        <v>4153.3235092752584</v>
      </c>
      <c r="E43" s="641">
        <f>IF(E19=0,0,E13/E19)</f>
        <v>4392.7805720265087</v>
      </c>
    </row>
    <row r="44" spans="1:5" ht="26.1" customHeight="1" x14ac:dyDescent="0.25">
      <c r="A44" s="639">
        <v>2</v>
      </c>
      <c r="B44" s="640" t="s">
        <v>929</v>
      </c>
      <c r="C44" s="641">
        <f>IF(C20=0,0,C13/C20)</f>
        <v>15930.388988019373</v>
      </c>
      <c r="D44" s="641">
        <f>IF(D20=0,0,D13/D20)</f>
        <v>16725.074438755415</v>
      </c>
      <c r="E44" s="641">
        <f>IF(E20=0,0,E13/E20)</f>
        <v>17214.464051394203</v>
      </c>
    </row>
    <row r="45" spans="1:5" ht="26.1" customHeight="1" x14ac:dyDescent="0.25">
      <c r="A45" s="639">
        <v>3</v>
      </c>
      <c r="B45" s="640" t="s">
        <v>930</v>
      </c>
      <c r="C45" s="641">
        <f>IF(C22=0,0,C13/C22)</f>
        <v>1575.1085581247148</v>
      </c>
      <c r="D45" s="641">
        <f>IF(D22=0,0,D13/D22)</f>
        <v>1678.8584076944085</v>
      </c>
      <c r="E45" s="641">
        <f>IF(E22=0,0,E13/E22)</f>
        <v>1676.0212240008927</v>
      </c>
    </row>
    <row r="46" spans="1:5" ht="26.1" customHeight="1" x14ac:dyDescent="0.25">
      <c r="A46" s="639">
        <v>4</v>
      </c>
      <c r="B46" s="640" t="s">
        <v>931</v>
      </c>
      <c r="C46" s="641">
        <f>IF(C23=0,0,C13/C23)</f>
        <v>6756.946705246196</v>
      </c>
      <c r="D46" s="641">
        <f>IF(D23=0,0,D13/D23)</f>
        <v>6760.617557990101</v>
      </c>
      <c r="E46" s="641">
        <f>IF(E23=0,0,E13/E23)</f>
        <v>6568.0055347328589</v>
      </c>
    </row>
    <row r="47" spans="1:5" ht="26.1" customHeight="1" x14ac:dyDescent="0.25">
      <c r="A47" s="639">
        <v>5</v>
      </c>
      <c r="B47" s="640" t="s">
        <v>932</v>
      </c>
      <c r="C47" s="641">
        <f>IF(C29=0,0,C13/C29)</f>
        <v>1445.5335708139364</v>
      </c>
      <c r="D47" s="641">
        <f>IF(D29=0,0,D13/D29)</f>
        <v>1553.2570317580428</v>
      </c>
      <c r="E47" s="641">
        <f>IF(E29=0,0,E13/E29)</f>
        <v>1506.6923942231745</v>
      </c>
    </row>
    <row r="48" spans="1:5" ht="26.1" customHeight="1" x14ac:dyDescent="0.25">
      <c r="A48" s="639">
        <v>6</v>
      </c>
      <c r="B48" s="640" t="s">
        <v>933</v>
      </c>
      <c r="C48" s="641">
        <f>IF(C30=0,0,C13/C30)</f>
        <v>6201.0921394921588</v>
      </c>
      <c r="D48" s="641">
        <f>IF(D30=0,0,D13/D30)</f>
        <v>6254.8316837487801</v>
      </c>
      <c r="E48" s="641">
        <f>IF(E30=0,0,E13/E30)</f>
        <v>5904.4383464158573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934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935</v>
      </c>
      <c r="C51" s="641">
        <f>IF(C19=0,0,C16/C19)</f>
        <v>3852.2015271257947</v>
      </c>
      <c r="D51" s="641">
        <f>IF(D19=0,0,D16/D19)</f>
        <v>4270.4539171258111</v>
      </c>
      <c r="E51" s="641">
        <f>IF(E19=0,0,E16/E19)</f>
        <v>4600.4369375653996</v>
      </c>
    </row>
    <row r="52" spans="1:6" ht="26.1" customHeight="1" x14ac:dyDescent="0.25">
      <c r="A52" s="639">
        <v>2</v>
      </c>
      <c r="B52" s="640" t="s">
        <v>936</v>
      </c>
      <c r="C52" s="641">
        <f>IF(C20=0,0,C16/C20)</f>
        <v>16525.286642875351</v>
      </c>
      <c r="D52" s="641">
        <f>IF(D20=0,0,D16/D20)</f>
        <v>17196.748457397927</v>
      </c>
      <c r="E52" s="641">
        <f>IF(E20=0,0,E16/E20)</f>
        <v>18028.229496992892</v>
      </c>
    </row>
    <row r="53" spans="1:6" ht="26.1" customHeight="1" x14ac:dyDescent="0.25">
      <c r="A53" s="639">
        <v>3</v>
      </c>
      <c r="B53" s="640" t="s">
        <v>937</v>
      </c>
      <c r="C53" s="641">
        <f>IF(C22=0,0,C16/C22)</f>
        <v>1633.928740612203</v>
      </c>
      <c r="D53" s="641">
        <f>IF(D22=0,0,D16/D22)</f>
        <v>1726.2049169604034</v>
      </c>
      <c r="E53" s="641">
        <f>IF(E22=0,0,E16/E22)</f>
        <v>1755.250420687471</v>
      </c>
    </row>
    <row r="54" spans="1:6" ht="26.1" customHeight="1" x14ac:dyDescent="0.25">
      <c r="A54" s="639">
        <v>4</v>
      </c>
      <c r="B54" s="640" t="s">
        <v>938</v>
      </c>
      <c r="C54" s="641">
        <f>IF(C23=0,0,C16/C23)</f>
        <v>7009.275242356046</v>
      </c>
      <c r="D54" s="641">
        <f>IF(D23=0,0,D16/D23)</f>
        <v>6951.2778545262518</v>
      </c>
      <c r="E54" s="641">
        <f>IF(E23=0,0,E16/E23)</f>
        <v>6878.4895518192725</v>
      </c>
    </row>
    <row r="55" spans="1:6" ht="26.1" customHeight="1" x14ac:dyDescent="0.25">
      <c r="A55" s="639">
        <v>5</v>
      </c>
      <c r="B55" s="640" t="s">
        <v>939</v>
      </c>
      <c r="C55" s="641">
        <f>IF(C29=0,0,C16/C29)</f>
        <v>1499.5149602162624</v>
      </c>
      <c r="D55" s="641">
        <f>IF(D29=0,0,D16/D29)</f>
        <v>1597.0613800637459</v>
      </c>
      <c r="E55" s="641">
        <f>IF(E29=0,0,E16/E29)</f>
        <v>1577.9170459988347</v>
      </c>
    </row>
    <row r="56" spans="1:6" ht="26.1" customHeight="1" x14ac:dyDescent="0.25">
      <c r="A56" s="639">
        <v>6</v>
      </c>
      <c r="B56" s="640" t="s">
        <v>940</v>
      </c>
      <c r="C56" s="641">
        <f>IF(C30=0,0,C16/C30)</f>
        <v>6432.6630806728226</v>
      </c>
      <c r="D56" s="641">
        <f>IF(D30=0,0,D16/D30)</f>
        <v>6431.2280045549805</v>
      </c>
      <c r="E56" s="641">
        <f>IF(E30=0,0,E16/E30)</f>
        <v>6183.5540881337611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941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942</v>
      </c>
      <c r="C59" s="649">
        <v>21080745</v>
      </c>
      <c r="D59" s="649">
        <v>20662698</v>
      </c>
      <c r="E59" s="649">
        <v>20534294</v>
      </c>
    </row>
    <row r="60" spans="1:6" ht="26.1" customHeight="1" x14ac:dyDescent="0.25">
      <c r="A60" s="639">
        <v>2</v>
      </c>
      <c r="B60" s="640" t="s">
        <v>943</v>
      </c>
      <c r="C60" s="649">
        <v>5421117</v>
      </c>
      <c r="D60" s="649">
        <v>6166989</v>
      </c>
      <c r="E60" s="649">
        <v>6098801</v>
      </c>
    </row>
    <row r="61" spans="1:6" ht="26.1" customHeight="1" x14ac:dyDescent="0.25">
      <c r="A61" s="650">
        <v>3</v>
      </c>
      <c r="B61" s="651" t="s">
        <v>944</v>
      </c>
      <c r="C61" s="652">
        <f>C59+C60</f>
        <v>26501862</v>
      </c>
      <c r="D61" s="652">
        <f>D59+D60</f>
        <v>26829687</v>
      </c>
      <c r="E61" s="652">
        <f>E59+E60</f>
        <v>26633095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945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946</v>
      </c>
      <c r="C64" s="641">
        <v>539198</v>
      </c>
      <c r="D64" s="641">
        <v>365058</v>
      </c>
      <c r="E64" s="649">
        <v>427269</v>
      </c>
      <c r="F64" s="653"/>
    </row>
    <row r="65" spans="1:6" ht="26.1" customHeight="1" x14ac:dyDescent="0.25">
      <c r="A65" s="639">
        <v>2</v>
      </c>
      <c r="B65" s="640" t="s">
        <v>947</v>
      </c>
      <c r="C65" s="649">
        <v>138660</v>
      </c>
      <c r="D65" s="649">
        <v>108955</v>
      </c>
      <c r="E65" s="649">
        <v>126901</v>
      </c>
      <c r="F65" s="653"/>
    </row>
    <row r="66" spans="1:6" ht="26.1" customHeight="1" x14ac:dyDescent="0.25">
      <c r="A66" s="650">
        <v>3</v>
      </c>
      <c r="B66" s="651" t="s">
        <v>948</v>
      </c>
      <c r="C66" s="654">
        <f>C64+C65</f>
        <v>677858</v>
      </c>
      <c r="D66" s="654">
        <f>D64+D65</f>
        <v>474013</v>
      </c>
      <c r="E66" s="654">
        <f>E64+E65</f>
        <v>554170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949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950</v>
      </c>
      <c r="C69" s="649">
        <v>32074903</v>
      </c>
      <c r="D69" s="649">
        <v>30445437</v>
      </c>
      <c r="E69" s="649">
        <v>32130283</v>
      </c>
    </row>
    <row r="70" spans="1:6" ht="26.1" customHeight="1" x14ac:dyDescent="0.25">
      <c r="A70" s="639">
        <v>2</v>
      </c>
      <c r="B70" s="640" t="s">
        <v>951</v>
      </c>
      <c r="C70" s="649">
        <v>8248371</v>
      </c>
      <c r="D70" s="649">
        <v>9086746</v>
      </c>
      <c r="E70" s="649">
        <v>9542875</v>
      </c>
    </row>
    <row r="71" spans="1:6" ht="26.1" customHeight="1" x14ac:dyDescent="0.25">
      <c r="A71" s="650">
        <v>3</v>
      </c>
      <c r="B71" s="651" t="s">
        <v>952</v>
      </c>
      <c r="C71" s="652">
        <f>C69+C70</f>
        <v>40323274</v>
      </c>
      <c r="D71" s="652">
        <f>D69+D70</f>
        <v>39532183</v>
      </c>
      <c r="E71" s="652">
        <f>E69+E70</f>
        <v>41673158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953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954</v>
      </c>
      <c r="C75" s="641">
        <f t="shared" ref="C75:E76" si="0">+C59+C64+C69</f>
        <v>53694846</v>
      </c>
      <c r="D75" s="641">
        <f t="shared" si="0"/>
        <v>51473193</v>
      </c>
      <c r="E75" s="641">
        <f t="shared" si="0"/>
        <v>53091846</v>
      </c>
    </row>
    <row r="76" spans="1:6" ht="26.1" customHeight="1" x14ac:dyDescent="0.25">
      <c r="A76" s="639">
        <v>2</v>
      </c>
      <c r="B76" s="640" t="s">
        <v>955</v>
      </c>
      <c r="C76" s="641">
        <f t="shared" si="0"/>
        <v>13808148</v>
      </c>
      <c r="D76" s="641">
        <f t="shared" si="0"/>
        <v>15362690</v>
      </c>
      <c r="E76" s="641">
        <f t="shared" si="0"/>
        <v>15768577</v>
      </c>
    </row>
    <row r="77" spans="1:6" ht="26.1" customHeight="1" x14ac:dyDescent="0.25">
      <c r="A77" s="650">
        <v>3</v>
      </c>
      <c r="B77" s="651" t="s">
        <v>953</v>
      </c>
      <c r="C77" s="654">
        <f>C75+C76</f>
        <v>67502994</v>
      </c>
      <c r="D77" s="654">
        <f>D75+D76</f>
        <v>66835883</v>
      </c>
      <c r="E77" s="654">
        <f>E75+E76</f>
        <v>68860423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956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285.8</v>
      </c>
      <c r="D80" s="646">
        <v>283.39999999999998</v>
      </c>
      <c r="E80" s="646">
        <v>278.2</v>
      </c>
    </row>
    <row r="81" spans="1:5" ht="26.1" customHeight="1" x14ac:dyDescent="0.25">
      <c r="A81" s="639">
        <v>2</v>
      </c>
      <c r="B81" s="640" t="s">
        <v>584</v>
      </c>
      <c r="C81" s="646">
        <v>2.6</v>
      </c>
      <c r="D81" s="646">
        <v>2.5</v>
      </c>
      <c r="E81" s="646">
        <v>1.9</v>
      </c>
    </row>
    <row r="82" spans="1:5" ht="26.1" customHeight="1" x14ac:dyDescent="0.25">
      <c r="A82" s="639">
        <v>3</v>
      </c>
      <c r="B82" s="640" t="s">
        <v>957</v>
      </c>
      <c r="C82" s="646">
        <v>611</v>
      </c>
      <c r="D82" s="646">
        <v>587.4</v>
      </c>
      <c r="E82" s="646">
        <v>580.70000000000005</v>
      </c>
    </row>
    <row r="83" spans="1:5" ht="26.1" customHeight="1" x14ac:dyDescent="0.25">
      <c r="A83" s="650">
        <v>4</v>
      </c>
      <c r="B83" s="651" t="s">
        <v>956</v>
      </c>
      <c r="C83" s="656">
        <f>C80+C81+C82</f>
        <v>899.40000000000009</v>
      </c>
      <c r="D83" s="656">
        <f>D80+D81+D82</f>
        <v>873.3</v>
      </c>
      <c r="E83" s="656">
        <f>E80+E81+E82</f>
        <v>860.8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958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959</v>
      </c>
      <c r="C86" s="649">
        <f>IF(C80=0,0,C59/C80)</f>
        <v>73760.479356193144</v>
      </c>
      <c r="D86" s="649">
        <f>IF(D80=0,0,D59/D80)</f>
        <v>72910.014114326041</v>
      </c>
      <c r="E86" s="649">
        <f>IF(E80=0,0,E59/E80)</f>
        <v>73811.265276779304</v>
      </c>
    </row>
    <row r="87" spans="1:5" ht="26.1" customHeight="1" x14ac:dyDescent="0.25">
      <c r="A87" s="639">
        <v>2</v>
      </c>
      <c r="B87" s="640" t="s">
        <v>960</v>
      </c>
      <c r="C87" s="649">
        <f>IF(C80=0,0,C60/C80)</f>
        <v>18968.219034289712</v>
      </c>
      <c r="D87" s="649">
        <f>IF(D80=0,0,D60/D80)</f>
        <v>21760.723359209598</v>
      </c>
      <c r="E87" s="649">
        <f>IF(E80=0,0,E60/E80)</f>
        <v>21922.361610352265</v>
      </c>
    </row>
    <row r="88" spans="1:5" ht="26.1" customHeight="1" x14ac:dyDescent="0.25">
      <c r="A88" s="650">
        <v>3</v>
      </c>
      <c r="B88" s="651" t="s">
        <v>961</v>
      </c>
      <c r="C88" s="652">
        <f>+C86+C87</f>
        <v>92728.698390482852</v>
      </c>
      <c r="D88" s="652">
        <f>+D86+D87</f>
        <v>94670.737473535642</v>
      </c>
      <c r="E88" s="652">
        <f>+E86+E87</f>
        <v>95733.62688713157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962</v>
      </c>
    </row>
    <row r="91" spans="1:5" ht="26.1" customHeight="1" x14ac:dyDescent="0.25">
      <c r="A91" s="639">
        <v>1</v>
      </c>
      <c r="B91" s="640" t="s">
        <v>963</v>
      </c>
      <c r="C91" s="641">
        <f>IF(C81=0,0,C64/C81)</f>
        <v>207383.84615384616</v>
      </c>
      <c r="D91" s="641">
        <f>IF(D81=0,0,D64/D81)</f>
        <v>146023.20000000001</v>
      </c>
      <c r="E91" s="641">
        <f>IF(E81=0,0,E64/E81)</f>
        <v>224878.4210526316</v>
      </c>
    </row>
    <row r="92" spans="1:5" ht="26.1" customHeight="1" x14ac:dyDescent="0.25">
      <c r="A92" s="639">
        <v>2</v>
      </c>
      <c r="B92" s="640" t="s">
        <v>964</v>
      </c>
      <c r="C92" s="641">
        <f>IF(C81=0,0,C65/C81)</f>
        <v>53330.769230769227</v>
      </c>
      <c r="D92" s="641">
        <f>IF(D81=0,0,D65/D81)</f>
        <v>43582</v>
      </c>
      <c r="E92" s="641">
        <f>IF(E81=0,0,E65/E81)</f>
        <v>66790</v>
      </c>
    </row>
    <row r="93" spans="1:5" ht="26.1" customHeight="1" x14ac:dyDescent="0.25">
      <c r="A93" s="650">
        <v>3</v>
      </c>
      <c r="B93" s="651" t="s">
        <v>965</v>
      </c>
      <c r="C93" s="654">
        <f>+C91+C92</f>
        <v>260714.61538461538</v>
      </c>
      <c r="D93" s="654">
        <f>+D91+D92</f>
        <v>189605.2</v>
      </c>
      <c r="E93" s="654">
        <f>+E91+E92</f>
        <v>291668.42105263157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966</v>
      </c>
      <c r="B95" s="642" t="s">
        <v>967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968</v>
      </c>
      <c r="C96" s="649">
        <f>IF(C82=0,0,C69/C82)</f>
        <v>52495.749590834697</v>
      </c>
      <c r="D96" s="649">
        <f>IF(D82=0,0,D69/D82)</f>
        <v>51830.842696629217</v>
      </c>
      <c r="E96" s="649">
        <f>IF(E82=0,0,E69/E82)</f>
        <v>55330.261753056649</v>
      </c>
    </row>
    <row r="97" spans="1:5" ht="26.1" customHeight="1" x14ac:dyDescent="0.25">
      <c r="A97" s="639">
        <v>2</v>
      </c>
      <c r="B97" s="640" t="s">
        <v>969</v>
      </c>
      <c r="C97" s="649">
        <f>IF(C82=0,0,C70/C82)</f>
        <v>13499.788870703764</v>
      </c>
      <c r="D97" s="649">
        <f>IF(D82=0,0,D70/D82)</f>
        <v>15469.434797412327</v>
      </c>
      <c r="E97" s="649">
        <f>IF(E82=0,0,E70/E82)</f>
        <v>16433.399345617356</v>
      </c>
    </row>
    <row r="98" spans="1:5" ht="26.1" customHeight="1" x14ac:dyDescent="0.25">
      <c r="A98" s="650">
        <v>3</v>
      </c>
      <c r="B98" s="651" t="s">
        <v>970</v>
      </c>
      <c r="C98" s="654">
        <f>+C96+C97</f>
        <v>65995.538461538468</v>
      </c>
      <c r="D98" s="654">
        <f>+D96+D97</f>
        <v>67300.27749404154</v>
      </c>
      <c r="E98" s="654">
        <f>+E96+E97</f>
        <v>71763.661098673998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971</v>
      </c>
      <c r="B100" s="642" t="s">
        <v>972</v>
      </c>
    </row>
    <row r="101" spans="1:5" ht="26.1" customHeight="1" x14ac:dyDescent="0.25">
      <c r="A101" s="639">
        <v>1</v>
      </c>
      <c r="B101" s="640" t="s">
        <v>973</v>
      </c>
      <c r="C101" s="641">
        <f>IF(C83=0,0,C75/C83)</f>
        <v>59700.740493662437</v>
      </c>
      <c r="D101" s="641">
        <f>IF(D83=0,0,D75/D83)</f>
        <v>58941.020267949163</v>
      </c>
      <c r="E101" s="641">
        <f>IF(E83=0,0,E75/E83)</f>
        <v>61677.330390334573</v>
      </c>
    </row>
    <row r="102" spans="1:5" ht="26.1" customHeight="1" x14ac:dyDescent="0.25">
      <c r="A102" s="639">
        <v>2</v>
      </c>
      <c r="B102" s="640" t="s">
        <v>974</v>
      </c>
      <c r="C102" s="658">
        <f>IF(C83=0,0,C76/C83)</f>
        <v>15352.621747831887</v>
      </c>
      <c r="D102" s="658">
        <f>IF(D83=0,0,D76/D83)</f>
        <v>17591.537844955914</v>
      </c>
      <c r="E102" s="658">
        <f>IF(E83=0,0,E76/E83)</f>
        <v>18318.514172862455</v>
      </c>
    </row>
    <row r="103" spans="1:5" ht="26.1" customHeight="1" x14ac:dyDescent="0.25">
      <c r="A103" s="650">
        <v>3</v>
      </c>
      <c r="B103" s="651" t="s">
        <v>972</v>
      </c>
      <c r="C103" s="654">
        <f>+C101+C102</f>
        <v>75053.362241494324</v>
      </c>
      <c r="D103" s="654">
        <f>+D101+D102</f>
        <v>76532.55811290507</v>
      </c>
      <c r="E103" s="654">
        <f>+E101+E102</f>
        <v>79995.844563197024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975</v>
      </c>
      <c r="B107" s="634" t="s">
        <v>976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977</v>
      </c>
      <c r="C108" s="641">
        <f>IF(C19=0,0,C77/C19)</f>
        <v>2005.5557074098283</v>
      </c>
      <c r="D108" s="641">
        <f>IF(D19=0,0,D77/D19)</f>
        <v>2178.9809604538195</v>
      </c>
      <c r="E108" s="641">
        <f>IF(E19=0,0,E77/E19)</f>
        <v>2401.8284966864317</v>
      </c>
    </row>
    <row r="109" spans="1:5" ht="26.1" customHeight="1" x14ac:dyDescent="0.25">
      <c r="A109" s="639">
        <v>2</v>
      </c>
      <c r="B109" s="640" t="s">
        <v>978</v>
      </c>
      <c r="C109" s="641">
        <f>IF(C20=0,0,C77/C20)</f>
        <v>8603.491460616875</v>
      </c>
      <c r="D109" s="641">
        <f>IF(D20=0,0,D77/D20)</f>
        <v>8774.5678088486275</v>
      </c>
      <c r="E109" s="641">
        <f>IF(E20=0,0,E77/E20)</f>
        <v>9412.3049480590489</v>
      </c>
    </row>
    <row r="110" spans="1:5" ht="26.1" customHeight="1" x14ac:dyDescent="0.25">
      <c r="A110" s="639">
        <v>3</v>
      </c>
      <c r="B110" s="640" t="s">
        <v>979</v>
      </c>
      <c r="C110" s="641">
        <f>IF(C22=0,0,C77/C22)</f>
        <v>850.66554492561659</v>
      </c>
      <c r="D110" s="641">
        <f>IF(D22=0,0,D77/D22)</f>
        <v>880.78872197034229</v>
      </c>
      <c r="E110" s="641">
        <f>IF(E22=0,0,E77/E22)</f>
        <v>916.39349401865024</v>
      </c>
    </row>
    <row r="111" spans="1:5" ht="26.1" customHeight="1" x14ac:dyDescent="0.25">
      <c r="A111" s="639">
        <v>4</v>
      </c>
      <c r="B111" s="640" t="s">
        <v>980</v>
      </c>
      <c r="C111" s="641">
        <f>IF(C23=0,0,C77/C23)</f>
        <v>3649.2099045509058</v>
      </c>
      <c r="D111" s="641">
        <f>IF(D23=0,0,D77/D23)</f>
        <v>3546.8599801754385</v>
      </c>
      <c r="E111" s="641">
        <f>IF(E23=0,0,E77/E23)</f>
        <v>3591.1702396821629</v>
      </c>
    </row>
    <row r="112" spans="1:5" ht="26.1" customHeight="1" x14ac:dyDescent="0.25">
      <c r="A112" s="639">
        <v>5</v>
      </c>
      <c r="B112" s="640" t="s">
        <v>981</v>
      </c>
      <c r="C112" s="641">
        <f>IF(C29=0,0,C77/C29)</f>
        <v>780.68625580240575</v>
      </c>
      <c r="D112" s="641">
        <f>IF(D29=0,0,D77/D29)</f>
        <v>814.89378116908983</v>
      </c>
      <c r="E112" s="641">
        <f>IF(E29=0,0,E77/E29)</f>
        <v>823.81003759458667</v>
      </c>
    </row>
    <row r="113" spans="1:7" ht="25.5" customHeight="1" x14ac:dyDescent="0.25">
      <c r="A113" s="639">
        <v>6</v>
      </c>
      <c r="B113" s="640" t="s">
        <v>982</v>
      </c>
      <c r="C113" s="641">
        <f>IF(C30=0,0,C77/C30)</f>
        <v>3349.0107058115445</v>
      </c>
      <c r="D113" s="641">
        <f>IF(D30=0,0,D77/D30)</f>
        <v>3281.5067546014834</v>
      </c>
      <c r="E113" s="641">
        <f>IF(E30=0,0,E77/E30)</f>
        <v>3228.3534414757792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FILING&amp;R&amp;12BRISTOL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361761109</v>
      </c>
      <c r="D12" s="51">
        <v>345045549</v>
      </c>
      <c r="E12" s="51">
        <f t="shared" ref="E12:E19" si="0">D12-C12</f>
        <v>-16715560</v>
      </c>
      <c r="F12" s="70">
        <f t="shared" ref="F12:F19" si="1">IF(C12=0,0,E12/C12)</f>
        <v>-4.620607241670082E-2</v>
      </c>
    </row>
    <row r="13" spans="1:8" ht="23.1" customHeight="1" x14ac:dyDescent="0.2">
      <c r="A13" s="25">
        <v>2</v>
      </c>
      <c r="B13" s="48" t="s">
        <v>72</v>
      </c>
      <c r="C13" s="51">
        <v>234107114</v>
      </c>
      <c r="D13" s="51">
        <v>218880779</v>
      </c>
      <c r="E13" s="51">
        <f t="shared" si="0"/>
        <v>-15226335</v>
      </c>
      <c r="F13" s="70">
        <f t="shared" si="1"/>
        <v>-6.5040035477093625E-2</v>
      </c>
    </row>
    <row r="14" spans="1:8" ht="23.1" customHeight="1" x14ac:dyDescent="0.2">
      <c r="A14" s="25">
        <v>3</v>
      </c>
      <c r="B14" s="48" t="s">
        <v>73</v>
      </c>
      <c r="C14" s="51">
        <v>259103</v>
      </c>
      <c r="D14" s="51">
        <v>223751</v>
      </c>
      <c r="E14" s="51">
        <f t="shared" si="0"/>
        <v>-35352</v>
      </c>
      <c r="F14" s="70">
        <f t="shared" si="1"/>
        <v>-0.13643994859187272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127394892</v>
      </c>
      <c r="D16" s="27">
        <f>D12-D13-D14-D15</f>
        <v>125941019</v>
      </c>
      <c r="E16" s="27">
        <f t="shared" si="0"/>
        <v>-1453873</v>
      </c>
      <c r="F16" s="28">
        <f t="shared" si="1"/>
        <v>-1.1412333549448749E-2</v>
      </c>
    </row>
    <row r="17" spans="1:7" ht="23.1" customHeight="1" x14ac:dyDescent="0.2">
      <c r="A17" s="25">
        <v>5</v>
      </c>
      <c r="B17" s="48" t="s">
        <v>76</v>
      </c>
      <c r="C17" s="51">
        <v>4807086</v>
      </c>
      <c r="D17" s="51">
        <v>6100777</v>
      </c>
      <c r="E17" s="51">
        <f t="shared" si="0"/>
        <v>1293691</v>
      </c>
      <c r="F17" s="70">
        <f t="shared" si="1"/>
        <v>0.26912166747172822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132201978</v>
      </c>
      <c r="D19" s="27">
        <f>SUM(D16:D18)</f>
        <v>132041796</v>
      </c>
      <c r="E19" s="27">
        <f t="shared" si="0"/>
        <v>-160182</v>
      </c>
      <c r="F19" s="28">
        <f t="shared" si="1"/>
        <v>-1.2116460163704964E-3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51473193</v>
      </c>
      <c r="D22" s="51">
        <v>53091846</v>
      </c>
      <c r="E22" s="51">
        <f t="shared" ref="E22:E31" si="2">D22-C22</f>
        <v>1618653</v>
      </c>
      <c r="F22" s="70">
        <f t="shared" ref="F22:F31" si="3">IF(C22=0,0,E22/C22)</f>
        <v>3.1446524018822766E-2</v>
      </c>
    </row>
    <row r="23" spans="1:7" ht="23.1" customHeight="1" x14ac:dyDescent="0.2">
      <c r="A23" s="25">
        <v>2</v>
      </c>
      <c r="B23" s="48" t="s">
        <v>81</v>
      </c>
      <c r="C23" s="51">
        <v>15362690</v>
      </c>
      <c r="D23" s="51">
        <v>15768577</v>
      </c>
      <c r="E23" s="51">
        <f t="shared" si="2"/>
        <v>405887</v>
      </c>
      <c r="F23" s="70">
        <f t="shared" si="3"/>
        <v>2.6420307901806259E-2</v>
      </c>
    </row>
    <row r="24" spans="1:7" ht="23.1" customHeight="1" x14ac:dyDescent="0.2">
      <c r="A24" s="25">
        <v>3</v>
      </c>
      <c r="B24" s="48" t="s">
        <v>82</v>
      </c>
      <c r="C24" s="51">
        <v>5204873</v>
      </c>
      <c r="D24" s="51">
        <v>6039122</v>
      </c>
      <c r="E24" s="51">
        <f t="shared" si="2"/>
        <v>834249</v>
      </c>
      <c r="F24" s="70">
        <f t="shared" si="3"/>
        <v>0.1602822969936058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16068661</v>
      </c>
      <c r="D25" s="51">
        <v>15408234</v>
      </c>
      <c r="E25" s="51">
        <f t="shared" si="2"/>
        <v>-660427</v>
      </c>
      <c r="F25" s="70">
        <f t="shared" si="3"/>
        <v>-4.1100313212158748E-2</v>
      </c>
    </row>
    <row r="26" spans="1:7" ht="23.1" customHeight="1" x14ac:dyDescent="0.2">
      <c r="A26" s="25">
        <v>5</v>
      </c>
      <c r="B26" s="48" t="s">
        <v>84</v>
      </c>
      <c r="C26" s="51">
        <v>5241260</v>
      </c>
      <c r="D26" s="51">
        <v>5714642</v>
      </c>
      <c r="E26" s="51">
        <f t="shared" si="2"/>
        <v>473382</v>
      </c>
      <c r="F26" s="70">
        <f t="shared" si="3"/>
        <v>9.0318358562635703E-2</v>
      </c>
    </row>
    <row r="27" spans="1:7" ht="23.1" customHeight="1" x14ac:dyDescent="0.2">
      <c r="A27" s="25">
        <v>6</v>
      </c>
      <c r="B27" s="48" t="s">
        <v>85</v>
      </c>
      <c r="C27" s="51">
        <v>10944348</v>
      </c>
      <c r="D27" s="51">
        <v>9847024</v>
      </c>
      <c r="E27" s="51">
        <f t="shared" si="2"/>
        <v>-1097324</v>
      </c>
      <c r="F27" s="70">
        <f t="shared" si="3"/>
        <v>-0.10026399014358826</v>
      </c>
    </row>
    <row r="28" spans="1:7" ht="23.1" customHeight="1" x14ac:dyDescent="0.2">
      <c r="A28" s="25">
        <v>7</v>
      </c>
      <c r="B28" s="48" t="s">
        <v>86</v>
      </c>
      <c r="C28" s="51">
        <v>1693322</v>
      </c>
      <c r="D28" s="51">
        <v>1833355</v>
      </c>
      <c r="E28" s="51">
        <f t="shared" si="2"/>
        <v>140033</v>
      </c>
      <c r="F28" s="70">
        <f t="shared" si="3"/>
        <v>8.2697207028550976E-2</v>
      </c>
    </row>
    <row r="29" spans="1:7" ht="23.1" customHeight="1" x14ac:dyDescent="0.2">
      <c r="A29" s="25">
        <v>8</v>
      </c>
      <c r="B29" s="48" t="s">
        <v>87</v>
      </c>
      <c r="C29" s="51">
        <v>1810541</v>
      </c>
      <c r="D29" s="51">
        <v>1107439</v>
      </c>
      <c r="E29" s="51">
        <f t="shared" si="2"/>
        <v>-703102</v>
      </c>
      <c r="F29" s="70">
        <f t="shared" si="3"/>
        <v>-0.38833807132785175</v>
      </c>
    </row>
    <row r="30" spans="1:7" ht="23.1" customHeight="1" x14ac:dyDescent="0.2">
      <c r="A30" s="25">
        <v>9</v>
      </c>
      <c r="B30" s="48" t="s">
        <v>88</v>
      </c>
      <c r="C30" s="51">
        <v>23188745</v>
      </c>
      <c r="D30" s="51">
        <v>23084288</v>
      </c>
      <c r="E30" s="51">
        <f t="shared" si="2"/>
        <v>-104457</v>
      </c>
      <c r="F30" s="70">
        <f t="shared" si="3"/>
        <v>-4.5046422305303714E-3</v>
      </c>
    </row>
    <row r="31" spans="1:7" ht="23.1" customHeight="1" x14ac:dyDescent="0.25">
      <c r="A31" s="29"/>
      <c r="B31" s="71" t="s">
        <v>89</v>
      </c>
      <c r="C31" s="27">
        <f>SUM(C22:C30)</f>
        <v>130987633</v>
      </c>
      <c r="D31" s="27">
        <f>SUM(D22:D30)</f>
        <v>131894527</v>
      </c>
      <c r="E31" s="27">
        <f t="shared" si="2"/>
        <v>906894</v>
      </c>
      <c r="F31" s="28">
        <f t="shared" si="3"/>
        <v>6.9235085727520551E-3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1214345</v>
      </c>
      <c r="D33" s="27">
        <f>+D19-D31</f>
        <v>147269</v>
      </c>
      <c r="E33" s="27">
        <f>D33-C33</f>
        <v>-1067076</v>
      </c>
      <c r="F33" s="28">
        <f>IF(C33=0,0,E33/C33)</f>
        <v>-0.87872556810461611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285251</v>
      </c>
      <c r="D36" s="51">
        <v>516585</v>
      </c>
      <c r="E36" s="51">
        <f>D36-C36</f>
        <v>231334</v>
      </c>
      <c r="F36" s="70">
        <f>IF(C36=0,0,E36/C36)</f>
        <v>0.8109840105731444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286221</v>
      </c>
      <c r="D38" s="51">
        <v>1526682</v>
      </c>
      <c r="E38" s="51">
        <f>D38-C38</f>
        <v>1240461</v>
      </c>
      <c r="F38" s="70">
        <f>IF(C38=0,0,E38/C38)</f>
        <v>4.3339272799689752</v>
      </c>
    </row>
    <row r="39" spans="1:6" ht="23.1" customHeight="1" x14ac:dyDescent="0.25">
      <c r="A39" s="20"/>
      <c r="B39" s="71" t="s">
        <v>95</v>
      </c>
      <c r="C39" s="27">
        <f>SUM(C36:C38)</f>
        <v>571472</v>
      </c>
      <c r="D39" s="27">
        <f>SUM(D36:D38)</f>
        <v>2043267</v>
      </c>
      <c r="E39" s="27">
        <f>D39-C39</f>
        <v>1471795</v>
      </c>
      <c r="F39" s="28">
        <f>IF(C39=0,0,E39/C39)</f>
        <v>2.5754455161407734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1785817</v>
      </c>
      <c r="D41" s="27">
        <f>D33+D39</f>
        <v>2190536</v>
      </c>
      <c r="E41" s="27">
        <f>D41-C41</f>
        <v>404719</v>
      </c>
      <c r="F41" s="28">
        <f>IF(C41=0,0,E41/C41)</f>
        <v>0.22662960426516265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1785817</v>
      </c>
      <c r="D48" s="27">
        <f>D41+D46</f>
        <v>2190536</v>
      </c>
      <c r="E48" s="27">
        <f>D48-C48</f>
        <v>404719</v>
      </c>
      <c r="F48" s="28">
        <f>IF(C48=0,0,E48/C48)</f>
        <v>0.22662960426516265</v>
      </c>
    </row>
    <row r="49" spans="1:6" ht="23.1" customHeight="1" x14ac:dyDescent="0.2">
      <c r="A49" s="44"/>
      <c r="B49" s="48" t="s">
        <v>102</v>
      </c>
      <c r="C49" s="51">
        <v>172922</v>
      </c>
      <c r="D49" s="51">
        <v>789832</v>
      </c>
      <c r="E49" s="51">
        <f>D49-C49</f>
        <v>616910</v>
      </c>
      <c r="F49" s="70">
        <f>IF(C49=0,0,E49/C49)</f>
        <v>3.567562253501579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FILING&amp;RBRISTOL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6.85546875" style="75" bestFit="1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69532757</v>
      </c>
      <c r="D14" s="97">
        <v>60600712</v>
      </c>
      <c r="E14" s="97">
        <f t="shared" ref="E14:E25" si="0">D14-C14</f>
        <v>-8932045</v>
      </c>
      <c r="F14" s="98">
        <f t="shared" ref="F14:F25" si="1">IF(C14=0,0,E14/C14)</f>
        <v>-0.12845808774704562</v>
      </c>
    </row>
    <row r="15" spans="1:6" ht="18" customHeight="1" x14ac:dyDescent="0.25">
      <c r="A15" s="99">
        <v>2</v>
      </c>
      <c r="B15" s="100" t="s">
        <v>113</v>
      </c>
      <c r="C15" s="97">
        <v>13381601</v>
      </c>
      <c r="D15" s="97">
        <v>12722226</v>
      </c>
      <c r="E15" s="97">
        <f t="shared" si="0"/>
        <v>-659375</v>
      </c>
      <c r="F15" s="98">
        <f t="shared" si="1"/>
        <v>-4.9274746721263023E-2</v>
      </c>
    </row>
    <row r="16" spans="1:6" ht="18" customHeight="1" x14ac:dyDescent="0.25">
      <c r="A16" s="99">
        <v>3</v>
      </c>
      <c r="B16" s="100" t="s">
        <v>114</v>
      </c>
      <c r="C16" s="97">
        <v>9019862</v>
      </c>
      <c r="D16" s="97">
        <v>13323161</v>
      </c>
      <c r="E16" s="97">
        <f t="shared" si="0"/>
        <v>4303299</v>
      </c>
      <c r="F16" s="98">
        <f t="shared" si="1"/>
        <v>0.47709144552322419</v>
      </c>
    </row>
    <row r="17" spans="1:6" ht="18" customHeight="1" x14ac:dyDescent="0.25">
      <c r="A17" s="99">
        <v>4</v>
      </c>
      <c r="B17" s="100" t="s">
        <v>115</v>
      </c>
      <c r="C17" s="97">
        <v>8515511</v>
      </c>
      <c r="D17" s="97">
        <v>8184767</v>
      </c>
      <c r="E17" s="97">
        <f t="shared" si="0"/>
        <v>-330744</v>
      </c>
      <c r="F17" s="98">
        <f t="shared" si="1"/>
        <v>-3.8840182344899797E-2</v>
      </c>
    </row>
    <row r="18" spans="1:6" ht="18" customHeight="1" x14ac:dyDescent="0.25">
      <c r="A18" s="99">
        <v>5</v>
      </c>
      <c r="B18" s="100" t="s">
        <v>116</v>
      </c>
      <c r="C18" s="97">
        <v>622433</v>
      </c>
      <c r="D18" s="97">
        <v>352195</v>
      </c>
      <c r="E18" s="97">
        <f t="shared" si="0"/>
        <v>-270238</v>
      </c>
      <c r="F18" s="98">
        <f t="shared" si="1"/>
        <v>-0.43416399837412217</v>
      </c>
    </row>
    <row r="19" spans="1:6" ht="18" customHeight="1" x14ac:dyDescent="0.25">
      <c r="A19" s="99">
        <v>6</v>
      </c>
      <c r="B19" s="100" t="s">
        <v>117</v>
      </c>
      <c r="C19" s="97">
        <v>21745875</v>
      </c>
      <c r="D19" s="97">
        <v>19569070</v>
      </c>
      <c r="E19" s="97">
        <f t="shared" si="0"/>
        <v>-2176805</v>
      </c>
      <c r="F19" s="98">
        <f t="shared" si="1"/>
        <v>-0.1001019733627642</v>
      </c>
    </row>
    <row r="20" spans="1:6" ht="18" customHeight="1" x14ac:dyDescent="0.25">
      <c r="A20" s="99">
        <v>7</v>
      </c>
      <c r="B20" s="100" t="s">
        <v>118</v>
      </c>
      <c r="C20" s="97">
        <v>16271401</v>
      </c>
      <c r="D20" s="97">
        <v>14780152</v>
      </c>
      <c r="E20" s="97">
        <f t="shared" si="0"/>
        <v>-1491249</v>
      </c>
      <c r="F20" s="98">
        <f t="shared" si="1"/>
        <v>-9.1648469606274222E-2</v>
      </c>
    </row>
    <row r="21" spans="1:6" ht="18" customHeight="1" x14ac:dyDescent="0.25">
      <c r="A21" s="99">
        <v>8</v>
      </c>
      <c r="B21" s="100" t="s">
        <v>119</v>
      </c>
      <c r="C21" s="97">
        <v>1445196</v>
      </c>
      <c r="D21" s="97">
        <v>1302198</v>
      </c>
      <c r="E21" s="97">
        <f t="shared" si="0"/>
        <v>-142998</v>
      </c>
      <c r="F21" s="98">
        <f t="shared" si="1"/>
        <v>-9.894713243048002E-2</v>
      </c>
    </row>
    <row r="22" spans="1:6" ht="18" customHeight="1" x14ac:dyDescent="0.25">
      <c r="A22" s="99">
        <v>9</v>
      </c>
      <c r="B22" s="100" t="s">
        <v>120</v>
      </c>
      <c r="C22" s="97">
        <v>778948</v>
      </c>
      <c r="D22" s="97">
        <v>814154</v>
      </c>
      <c r="E22" s="97">
        <f t="shared" si="0"/>
        <v>35206</v>
      </c>
      <c r="F22" s="98">
        <f t="shared" si="1"/>
        <v>4.5196855245793047E-2</v>
      </c>
    </row>
    <row r="23" spans="1:6" ht="18" customHeight="1" x14ac:dyDescent="0.25">
      <c r="A23" s="99">
        <v>10</v>
      </c>
      <c r="B23" s="100" t="s">
        <v>121</v>
      </c>
      <c r="C23" s="97">
        <v>4917718</v>
      </c>
      <c r="D23" s="97">
        <v>0</v>
      </c>
      <c r="E23" s="97">
        <f t="shared" si="0"/>
        <v>-4917718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146231302</v>
      </c>
      <c r="D25" s="103">
        <f>SUM(D14:D24)</f>
        <v>131648635</v>
      </c>
      <c r="E25" s="103">
        <f t="shared" si="0"/>
        <v>-14582667</v>
      </c>
      <c r="F25" s="104">
        <f t="shared" si="1"/>
        <v>-9.97232931701586E-2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60838619</v>
      </c>
      <c r="D27" s="97">
        <v>58428886</v>
      </c>
      <c r="E27" s="97">
        <f t="shared" ref="E27:E38" si="2">D27-C27</f>
        <v>-2409733</v>
      </c>
      <c r="F27" s="98">
        <f t="shared" ref="F27:F38" si="3">IF(C27=0,0,E27/C27)</f>
        <v>-3.960860781537464E-2</v>
      </c>
    </row>
    <row r="28" spans="1:6" ht="18" customHeight="1" x14ac:dyDescent="0.25">
      <c r="A28" s="99">
        <v>2</v>
      </c>
      <c r="B28" s="100" t="s">
        <v>113</v>
      </c>
      <c r="C28" s="97">
        <v>17730402</v>
      </c>
      <c r="D28" s="97">
        <v>15745506</v>
      </c>
      <c r="E28" s="97">
        <f t="shared" si="2"/>
        <v>-1984896</v>
      </c>
      <c r="F28" s="98">
        <f t="shared" si="3"/>
        <v>-0.11194873077327858</v>
      </c>
    </row>
    <row r="29" spans="1:6" ht="18" customHeight="1" x14ac:dyDescent="0.25">
      <c r="A29" s="99">
        <v>3</v>
      </c>
      <c r="B29" s="100" t="s">
        <v>114</v>
      </c>
      <c r="C29" s="97">
        <v>10694401</v>
      </c>
      <c r="D29" s="97">
        <v>23438369</v>
      </c>
      <c r="E29" s="97">
        <f t="shared" si="2"/>
        <v>12743968</v>
      </c>
      <c r="F29" s="98">
        <f t="shared" si="3"/>
        <v>1.1916486019179569</v>
      </c>
    </row>
    <row r="30" spans="1:6" ht="18" customHeight="1" x14ac:dyDescent="0.25">
      <c r="A30" s="99">
        <v>4</v>
      </c>
      <c r="B30" s="100" t="s">
        <v>115</v>
      </c>
      <c r="C30" s="97">
        <v>20729988</v>
      </c>
      <c r="D30" s="97">
        <v>22171679</v>
      </c>
      <c r="E30" s="97">
        <f t="shared" si="2"/>
        <v>1441691</v>
      </c>
      <c r="F30" s="98">
        <f t="shared" si="3"/>
        <v>6.954615699729301E-2</v>
      </c>
    </row>
    <row r="31" spans="1:6" ht="18" customHeight="1" x14ac:dyDescent="0.25">
      <c r="A31" s="99">
        <v>5</v>
      </c>
      <c r="B31" s="100" t="s">
        <v>116</v>
      </c>
      <c r="C31" s="97">
        <v>636350</v>
      </c>
      <c r="D31" s="97">
        <v>666145</v>
      </c>
      <c r="E31" s="97">
        <f t="shared" si="2"/>
        <v>29795</v>
      </c>
      <c r="F31" s="98">
        <f t="shared" si="3"/>
        <v>4.6821717608234462E-2</v>
      </c>
    </row>
    <row r="32" spans="1:6" ht="18" customHeight="1" x14ac:dyDescent="0.25">
      <c r="A32" s="99">
        <v>6</v>
      </c>
      <c r="B32" s="100" t="s">
        <v>117</v>
      </c>
      <c r="C32" s="97">
        <v>48322940</v>
      </c>
      <c r="D32" s="97">
        <v>53132267</v>
      </c>
      <c r="E32" s="97">
        <f t="shared" si="2"/>
        <v>4809327</v>
      </c>
      <c r="F32" s="98">
        <f t="shared" si="3"/>
        <v>9.9524718487741012E-2</v>
      </c>
    </row>
    <row r="33" spans="1:6" ht="18" customHeight="1" x14ac:dyDescent="0.25">
      <c r="A33" s="99">
        <v>7</v>
      </c>
      <c r="B33" s="100" t="s">
        <v>118</v>
      </c>
      <c r="C33" s="97">
        <v>39127515</v>
      </c>
      <c r="D33" s="97">
        <v>30837279</v>
      </c>
      <c r="E33" s="97">
        <f t="shared" si="2"/>
        <v>-8290236</v>
      </c>
      <c r="F33" s="98">
        <f t="shared" si="3"/>
        <v>-0.21187739625171698</v>
      </c>
    </row>
    <row r="34" spans="1:6" ht="18" customHeight="1" x14ac:dyDescent="0.25">
      <c r="A34" s="99">
        <v>8</v>
      </c>
      <c r="B34" s="100" t="s">
        <v>119</v>
      </c>
      <c r="C34" s="97">
        <v>4317070</v>
      </c>
      <c r="D34" s="97">
        <v>3828316</v>
      </c>
      <c r="E34" s="97">
        <f t="shared" si="2"/>
        <v>-488754</v>
      </c>
      <c r="F34" s="98">
        <f t="shared" si="3"/>
        <v>-0.11321428654156639</v>
      </c>
    </row>
    <row r="35" spans="1:6" ht="18" customHeight="1" x14ac:dyDescent="0.25">
      <c r="A35" s="99">
        <v>9</v>
      </c>
      <c r="B35" s="100" t="s">
        <v>120</v>
      </c>
      <c r="C35" s="97">
        <v>5736491</v>
      </c>
      <c r="D35" s="97">
        <v>5148409</v>
      </c>
      <c r="E35" s="97">
        <f t="shared" si="2"/>
        <v>-588082</v>
      </c>
      <c r="F35" s="98">
        <f t="shared" si="3"/>
        <v>-0.10251598058813306</v>
      </c>
    </row>
    <row r="36" spans="1:6" ht="18" customHeight="1" x14ac:dyDescent="0.25">
      <c r="A36" s="99">
        <v>10</v>
      </c>
      <c r="B36" s="100" t="s">
        <v>121</v>
      </c>
      <c r="C36" s="97">
        <v>7396165</v>
      </c>
      <c r="D36" s="97">
        <v>0</v>
      </c>
      <c r="E36" s="97">
        <f t="shared" si="2"/>
        <v>-7396165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215529941</v>
      </c>
      <c r="D38" s="103">
        <f>SUM(D27:D37)</f>
        <v>213396856</v>
      </c>
      <c r="E38" s="103">
        <f t="shared" si="2"/>
        <v>-2133085</v>
      </c>
      <c r="F38" s="104">
        <f t="shared" si="3"/>
        <v>-9.8969312110561945E-3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130371376</v>
      </c>
      <c r="D41" s="103">
        <f t="shared" si="4"/>
        <v>119029598</v>
      </c>
      <c r="E41" s="107">
        <f t="shared" ref="E41:E52" si="5">D41-C41</f>
        <v>-11341778</v>
      </c>
      <c r="F41" s="108">
        <f t="shared" ref="F41:F52" si="6">IF(C41=0,0,E41/C41)</f>
        <v>-8.6995921558732342E-2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31112003</v>
      </c>
      <c r="D42" s="103">
        <f t="shared" si="4"/>
        <v>28467732</v>
      </c>
      <c r="E42" s="107">
        <f t="shared" si="5"/>
        <v>-2644271</v>
      </c>
      <c r="F42" s="108">
        <f t="shared" si="6"/>
        <v>-8.4991988461816492E-2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19714263</v>
      </c>
      <c r="D43" s="103">
        <f t="shared" si="4"/>
        <v>36761530</v>
      </c>
      <c r="E43" s="107">
        <f t="shared" si="5"/>
        <v>17047267</v>
      </c>
      <c r="F43" s="108">
        <f t="shared" si="6"/>
        <v>0.86471743833386006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29245499</v>
      </c>
      <c r="D44" s="103">
        <f t="shared" si="4"/>
        <v>30356446</v>
      </c>
      <c r="E44" s="107">
        <f t="shared" si="5"/>
        <v>1110947</v>
      </c>
      <c r="F44" s="108">
        <f t="shared" si="6"/>
        <v>3.7986939460325157E-2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1258783</v>
      </c>
      <c r="D45" s="103">
        <f t="shared" si="4"/>
        <v>1018340</v>
      </c>
      <c r="E45" s="107">
        <f t="shared" si="5"/>
        <v>-240443</v>
      </c>
      <c r="F45" s="108">
        <f t="shared" si="6"/>
        <v>-0.19101227137640087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70068815</v>
      </c>
      <c r="D46" s="103">
        <f t="shared" si="4"/>
        <v>72701337</v>
      </c>
      <c r="E46" s="107">
        <f t="shared" si="5"/>
        <v>2632522</v>
      </c>
      <c r="F46" s="108">
        <f t="shared" si="6"/>
        <v>3.7570522635497691E-2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55398916</v>
      </c>
      <c r="D47" s="103">
        <f t="shared" si="4"/>
        <v>45617431</v>
      </c>
      <c r="E47" s="107">
        <f t="shared" si="5"/>
        <v>-9781485</v>
      </c>
      <c r="F47" s="108">
        <f t="shared" si="6"/>
        <v>-0.17656455588408987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5762266</v>
      </c>
      <c r="D48" s="103">
        <f t="shared" si="4"/>
        <v>5130514</v>
      </c>
      <c r="E48" s="107">
        <f t="shared" si="5"/>
        <v>-631752</v>
      </c>
      <c r="F48" s="108">
        <f t="shared" si="6"/>
        <v>-0.10963603554573843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6515439</v>
      </c>
      <c r="D49" s="103">
        <f t="shared" si="4"/>
        <v>5962563</v>
      </c>
      <c r="E49" s="107">
        <f t="shared" si="5"/>
        <v>-552876</v>
      </c>
      <c r="F49" s="108">
        <f t="shared" si="6"/>
        <v>-8.4856292876044112E-2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12313883</v>
      </c>
      <c r="D50" s="103">
        <f t="shared" si="4"/>
        <v>0</v>
      </c>
      <c r="E50" s="107">
        <f t="shared" si="5"/>
        <v>-12313883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361761243</v>
      </c>
      <c r="D52" s="112">
        <f>SUM(D41:D51)</f>
        <v>345045491</v>
      </c>
      <c r="E52" s="111">
        <f t="shared" si="5"/>
        <v>-16715752</v>
      </c>
      <c r="F52" s="113">
        <f t="shared" si="6"/>
        <v>-4.6206586038294875E-2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25762383</v>
      </c>
      <c r="D57" s="97">
        <v>24923767</v>
      </c>
      <c r="E57" s="97">
        <f t="shared" ref="E57:E68" si="7">D57-C57</f>
        <v>-838616</v>
      </c>
      <c r="F57" s="98">
        <f t="shared" ref="F57:F68" si="8">IF(C57=0,0,E57/C57)</f>
        <v>-3.2551957635285525E-2</v>
      </c>
    </row>
    <row r="58" spans="1:6" ht="18" customHeight="1" x14ac:dyDescent="0.25">
      <c r="A58" s="99">
        <v>2</v>
      </c>
      <c r="B58" s="100" t="s">
        <v>113</v>
      </c>
      <c r="C58" s="97">
        <v>4882292</v>
      </c>
      <c r="D58" s="97">
        <v>4266629</v>
      </c>
      <c r="E58" s="97">
        <f t="shared" si="7"/>
        <v>-615663</v>
      </c>
      <c r="F58" s="98">
        <f t="shared" si="8"/>
        <v>-0.1261012245887792</v>
      </c>
    </row>
    <row r="59" spans="1:6" ht="18" customHeight="1" x14ac:dyDescent="0.25">
      <c r="A59" s="99">
        <v>3</v>
      </c>
      <c r="B59" s="100" t="s">
        <v>114</v>
      </c>
      <c r="C59" s="97">
        <v>3001187</v>
      </c>
      <c r="D59" s="97">
        <v>4570490</v>
      </c>
      <c r="E59" s="97">
        <f t="shared" si="7"/>
        <v>1569303</v>
      </c>
      <c r="F59" s="98">
        <f t="shared" si="8"/>
        <v>0.52289410823117655</v>
      </c>
    </row>
    <row r="60" spans="1:6" ht="18" customHeight="1" x14ac:dyDescent="0.25">
      <c r="A60" s="99">
        <v>4</v>
      </c>
      <c r="B60" s="100" t="s">
        <v>115</v>
      </c>
      <c r="C60" s="97">
        <v>1881370</v>
      </c>
      <c r="D60" s="97">
        <v>2061734</v>
      </c>
      <c r="E60" s="97">
        <f t="shared" si="7"/>
        <v>180364</v>
      </c>
      <c r="F60" s="98">
        <f t="shared" si="8"/>
        <v>9.5868436299079929E-2</v>
      </c>
    </row>
    <row r="61" spans="1:6" ht="18" customHeight="1" x14ac:dyDescent="0.25">
      <c r="A61" s="99">
        <v>5</v>
      </c>
      <c r="B61" s="100" t="s">
        <v>116</v>
      </c>
      <c r="C61" s="97">
        <v>162772</v>
      </c>
      <c r="D61" s="97">
        <v>145385</v>
      </c>
      <c r="E61" s="97">
        <f t="shared" si="7"/>
        <v>-17387</v>
      </c>
      <c r="F61" s="98">
        <f t="shared" si="8"/>
        <v>-0.10681812596761114</v>
      </c>
    </row>
    <row r="62" spans="1:6" ht="18" customHeight="1" x14ac:dyDescent="0.25">
      <c r="A62" s="99">
        <v>6</v>
      </c>
      <c r="B62" s="100" t="s">
        <v>117</v>
      </c>
      <c r="C62" s="97">
        <v>9948674</v>
      </c>
      <c r="D62" s="97">
        <v>7605094</v>
      </c>
      <c r="E62" s="97">
        <f t="shared" si="7"/>
        <v>-2343580</v>
      </c>
      <c r="F62" s="98">
        <f t="shared" si="8"/>
        <v>-0.23556707155144493</v>
      </c>
    </row>
    <row r="63" spans="1:6" ht="18" customHeight="1" x14ac:dyDescent="0.25">
      <c r="A63" s="99">
        <v>7</v>
      </c>
      <c r="B63" s="100" t="s">
        <v>118</v>
      </c>
      <c r="C63" s="97">
        <v>7299709</v>
      </c>
      <c r="D63" s="97">
        <v>8078790</v>
      </c>
      <c r="E63" s="97">
        <f t="shared" si="7"/>
        <v>779081</v>
      </c>
      <c r="F63" s="98">
        <f t="shared" si="8"/>
        <v>0.10672767914447001</v>
      </c>
    </row>
    <row r="64" spans="1:6" ht="18" customHeight="1" x14ac:dyDescent="0.25">
      <c r="A64" s="99">
        <v>8</v>
      </c>
      <c r="B64" s="100" t="s">
        <v>119</v>
      </c>
      <c r="C64" s="97">
        <v>1445198</v>
      </c>
      <c r="D64" s="97">
        <v>1302196</v>
      </c>
      <c r="E64" s="97">
        <f t="shared" si="7"/>
        <v>-143002</v>
      </c>
      <c r="F64" s="98">
        <f t="shared" si="8"/>
        <v>-9.8949763285030842E-2</v>
      </c>
    </row>
    <row r="65" spans="1:6" ht="18" customHeight="1" x14ac:dyDescent="0.25">
      <c r="A65" s="99">
        <v>9</v>
      </c>
      <c r="B65" s="100" t="s">
        <v>120</v>
      </c>
      <c r="C65" s="97">
        <v>27969</v>
      </c>
      <c r="D65" s="97">
        <v>20077</v>
      </c>
      <c r="E65" s="97">
        <f t="shared" si="7"/>
        <v>-7892</v>
      </c>
      <c r="F65" s="98">
        <f t="shared" si="8"/>
        <v>-0.28216954485323037</v>
      </c>
    </row>
    <row r="66" spans="1:6" ht="18" customHeight="1" x14ac:dyDescent="0.25">
      <c r="A66" s="99">
        <v>10</v>
      </c>
      <c r="B66" s="100" t="s">
        <v>121</v>
      </c>
      <c r="C66" s="97">
        <v>977565</v>
      </c>
      <c r="D66" s="97">
        <v>0</v>
      </c>
      <c r="E66" s="97">
        <f t="shared" si="7"/>
        <v>-977565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55389119</v>
      </c>
      <c r="D68" s="103">
        <f>SUM(D57:D67)</f>
        <v>52974162</v>
      </c>
      <c r="E68" s="103">
        <f t="shared" si="7"/>
        <v>-2414957</v>
      </c>
      <c r="F68" s="104">
        <f t="shared" si="8"/>
        <v>-4.3599844944275067E-2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14935136</v>
      </c>
      <c r="D70" s="97">
        <v>13974418</v>
      </c>
      <c r="E70" s="97">
        <f t="shared" ref="E70:E81" si="9">D70-C70</f>
        <v>-960718</v>
      </c>
      <c r="F70" s="98">
        <f t="shared" ref="F70:F81" si="10">IF(C70=0,0,E70/C70)</f>
        <v>-6.4326029572144505E-2</v>
      </c>
    </row>
    <row r="71" spans="1:6" ht="18" customHeight="1" x14ac:dyDescent="0.25">
      <c r="A71" s="99">
        <v>2</v>
      </c>
      <c r="B71" s="100" t="s">
        <v>113</v>
      </c>
      <c r="C71" s="97">
        <v>3563811</v>
      </c>
      <c r="D71" s="97">
        <v>3904884</v>
      </c>
      <c r="E71" s="97">
        <f t="shared" si="9"/>
        <v>341073</v>
      </c>
      <c r="F71" s="98">
        <f t="shared" si="10"/>
        <v>9.5704570191853605E-2</v>
      </c>
    </row>
    <row r="72" spans="1:6" ht="18" customHeight="1" x14ac:dyDescent="0.25">
      <c r="A72" s="99">
        <v>3</v>
      </c>
      <c r="B72" s="100" t="s">
        <v>114</v>
      </c>
      <c r="C72" s="97">
        <v>2290045</v>
      </c>
      <c r="D72" s="97">
        <v>6140712</v>
      </c>
      <c r="E72" s="97">
        <f t="shared" si="9"/>
        <v>3850667</v>
      </c>
      <c r="F72" s="98">
        <f t="shared" si="10"/>
        <v>1.681480931597414</v>
      </c>
    </row>
    <row r="73" spans="1:6" ht="18" customHeight="1" x14ac:dyDescent="0.25">
      <c r="A73" s="99">
        <v>4</v>
      </c>
      <c r="B73" s="100" t="s">
        <v>115</v>
      </c>
      <c r="C73" s="97">
        <v>5314656</v>
      </c>
      <c r="D73" s="97">
        <v>5471971</v>
      </c>
      <c r="E73" s="97">
        <f t="shared" si="9"/>
        <v>157315</v>
      </c>
      <c r="F73" s="98">
        <f t="shared" si="10"/>
        <v>2.9600222479121883E-2</v>
      </c>
    </row>
    <row r="74" spans="1:6" ht="18" customHeight="1" x14ac:dyDescent="0.25">
      <c r="A74" s="99">
        <v>5</v>
      </c>
      <c r="B74" s="100" t="s">
        <v>116</v>
      </c>
      <c r="C74" s="97">
        <v>126904</v>
      </c>
      <c r="D74" s="97">
        <v>132563</v>
      </c>
      <c r="E74" s="97">
        <f t="shared" si="9"/>
        <v>5659</v>
      </c>
      <c r="F74" s="98">
        <f t="shared" si="10"/>
        <v>4.459276303347412E-2</v>
      </c>
    </row>
    <row r="75" spans="1:6" ht="18" customHeight="1" x14ac:dyDescent="0.25">
      <c r="A75" s="99">
        <v>6</v>
      </c>
      <c r="B75" s="100" t="s">
        <v>117</v>
      </c>
      <c r="C75" s="97">
        <v>20574482</v>
      </c>
      <c r="D75" s="97">
        <v>22994993</v>
      </c>
      <c r="E75" s="97">
        <f t="shared" si="9"/>
        <v>2420511</v>
      </c>
      <c r="F75" s="98">
        <f t="shared" si="10"/>
        <v>0.11764626686591673</v>
      </c>
    </row>
    <row r="76" spans="1:6" ht="18" customHeight="1" x14ac:dyDescent="0.25">
      <c r="A76" s="99">
        <v>7</v>
      </c>
      <c r="B76" s="100" t="s">
        <v>118</v>
      </c>
      <c r="C76" s="97">
        <v>11040079</v>
      </c>
      <c r="D76" s="97">
        <v>5975878</v>
      </c>
      <c r="E76" s="97">
        <f t="shared" si="9"/>
        <v>-5064201</v>
      </c>
      <c r="F76" s="98">
        <f t="shared" si="10"/>
        <v>-0.45871057625584022</v>
      </c>
    </row>
    <row r="77" spans="1:6" ht="18" customHeight="1" x14ac:dyDescent="0.25">
      <c r="A77" s="99">
        <v>8</v>
      </c>
      <c r="B77" s="100" t="s">
        <v>119</v>
      </c>
      <c r="C77" s="97">
        <v>4317070</v>
      </c>
      <c r="D77" s="97">
        <v>3828315</v>
      </c>
      <c r="E77" s="97">
        <f t="shared" si="9"/>
        <v>-488755</v>
      </c>
      <c r="F77" s="98">
        <f t="shared" si="10"/>
        <v>-0.1132145181801546</v>
      </c>
    </row>
    <row r="78" spans="1:6" ht="18" customHeight="1" x14ac:dyDescent="0.25">
      <c r="A78" s="99">
        <v>9</v>
      </c>
      <c r="B78" s="100" t="s">
        <v>120</v>
      </c>
      <c r="C78" s="97">
        <v>379481</v>
      </c>
      <c r="D78" s="97">
        <v>267960</v>
      </c>
      <c r="E78" s="97">
        <f t="shared" si="9"/>
        <v>-111521</v>
      </c>
      <c r="F78" s="98">
        <f t="shared" si="10"/>
        <v>-0.29387769084618204</v>
      </c>
    </row>
    <row r="79" spans="1:6" ht="18" customHeight="1" x14ac:dyDescent="0.25">
      <c r="A79" s="99">
        <v>10</v>
      </c>
      <c r="B79" s="100" t="s">
        <v>121</v>
      </c>
      <c r="C79" s="97">
        <v>1056115</v>
      </c>
      <c r="D79" s="97">
        <v>0</v>
      </c>
      <c r="E79" s="97">
        <f t="shared" si="9"/>
        <v>-1056115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63597779</v>
      </c>
      <c r="D81" s="103">
        <f>SUM(D70:D80)</f>
        <v>62691694</v>
      </c>
      <c r="E81" s="103">
        <f t="shared" si="9"/>
        <v>-906085</v>
      </c>
      <c r="F81" s="104">
        <f t="shared" si="10"/>
        <v>-1.4247117025894882E-2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40697519</v>
      </c>
      <c r="D84" s="103">
        <f t="shared" si="11"/>
        <v>38898185</v>
      </c>
      <c r="E84" s="103">
        <f t="shared" ref="E84:E95" si="12">D84-C84</f>
        <v>-1799334</v>
      </c>
      <c r="F84" s="104">
        <f t="shared" ref="F84:F95" si="13">IF(C84=0,0,E84/C84)</f>
        <v>-4.4212375697889592E-2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8446103</v>
      </c>
      <c r="D85" s="103">
        <f t="shared" si="11"/>
        <v>8171513</v>
      </c>
      <c r="E85" s="103">
        <f t="shared" si="12"/>
        <v>-274590</v>
      </c>
      <c r="F85" s="104">
        <f t="shared" si="13"/>
        <v>-3.2510851454215041E-2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5291232</v>
      </c>
      <c r="D86" s="103">
        <f t="shared" si="11"/>
        <v>10711202</v>
      </c>
      <c r="E86" s="103">
        <f t="shared" si="12"/>
        <v>5419970</v>
      </c>
      <c r="F86" s="104">
        <f t="shared" si="13"/>
        <v>1.0243304394893287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7196026</v>
      </c>
      <c r="D87" s="103">
        <f t="shared" si="11"/>
        <v>7533705</v>
      </c>
      <c r="E87" s="103">
        <f t="shared" si="12"/>
        <v>337679</v>
      </c>
      <c r="F87" s="104">
        <f t="shared" si="13"/>
        <v>4.6925761524485875E-2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289676</v>
      </c>
      <c r="D88" s="103">
        <f t="shared" si="11"/>
        <v>277948</v>
      </c>
      <c r="E88" s="103">
        <f t="shared" si="12"/>
        <v>-11728</v>
      </c>
      <c r="F88" s="104">
        <f t="shared" si="13"/>
        <v>-4.0486612629282367E-2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30523156</v>
      </c>
      <c r="D89" s="103">
        <f t="shared" si="11"/>
        <v>30600087</v>
      </c>
      <c r="E89" s="103">
        <f t="shared" si="12"/>
        <v>76931</v>
      </c>
      <c r="F89" s="104">
        <f t="shared" si="13"/>
        <v>2.5204143372330175E-3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18339788</v>
      </c>
      <c r="D90" s="103">
        <f t="shared" si="11"/>
        <v>14054668</v>
      </c>
      <c r="E90" s="103">
        <f t="shared" si="12"/>
        <v>-4285120</v>
      </c>
      <c r="F90" s="104">
        <f t="shared" si="13"/>
        <v>-0.23365155584132161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5762268</v>
      </c>
      <c r="D91" s="103">
        <f t="shared" si="11"/>
        <v>5130511</v>
      </c>
      <c r="E91" s="103">
        <f t="shared" si="12"/>
        <v>-631757</v>
      </c>
      <c r="F91" s="104">
        <f t="shared" si="13"/>
        <v>-0.10963686520654714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407450</v>
      </c>
      <c r="D92" s="103">
        <f t="shared" si="11"/>
        <v>288037</v>
      </c>
      <c r="E92" s="103">
        <f t="shared" si="12"/>
        <v>-119413</v>
      </c>
      <c r="F92" s="104">
        <f t="shared" si="13"/>
        <v>-0.29307399680942448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2033680</v>
      </c>
      <c r="D93" s="103">
        <f t="shared" si="11"/>
        <v>0</v>
      </c>
      <c r="E93" s="103">
        <f t="shared" si="12"/>
        <v>-2033680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118986898</v>
      </c>
      <c r="D95" s="112">
        <f>SUM(D84:D94)</f>
        <v>115665856</v>
      </c>
      <c r="E95" s="112">
        <f t="shared" si="12"/>
        <v>-3321042</v>
      </c>
      <c r="F95" s="113">
        <f t="shared" si="13"/>
        <v>-2.7910988989728935E-2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2852</v>
      </c>
      <c r="D100" s="117">
        <v>2787</v>
      </c>
      <c r="E100" s="117">
        <f t="shared" ref="E100:E111" si="14">D100-C100</f>
        <v>-65</v>
      </c>
      <c r="F100" s="98">
        <f t="shared" ref="F100:F111" si="15">IF(C100=0,0,E100/C100)</f>
        <v>-2.279102384291725E-2</v>
      </c>
    </row>
    <row r="101" spans="1:6" ht="18" customHeight="1" x14ac:dyDescent="0.25">
      <c r="A101" s="99">
        <v>2</v>
      </c>
      <c r="B101" s="100" t="s">
        <v>113</v>
      </c>
      <c r="C101" s="117">
        <v>574</v>
      </c>
      <c r="D101" s="117">
        <v>591</v>
      </c>
      <c r="E101" s="117">
        <f t="shared" si="14"/>
        <v>17</v>
      </c>
      <c r="F101" s="98">
        <f t="shared" si="15"/>
        <v>2.9616724738675958E-2</v>
      </c>
    </row>
    <row r="102" spans="1:6" ht="18" customHeight="1" x14ac:dyDescent="0.25">
      <c r="A102" s="99">
        <v>3</v>
      </c>
      <c r="B102" s="100" t="s">
        <v>114</v>
      </c>
      <c r="C102" s="117">
        <v>549</v>
      </c>
      <c r="D102" s="117">
        <v>858</v>
      </c>
      <c r="E102" s="117">
        <f t="shared" si="14"/>
        <v>309</v>
      </c>
      <c r="F102" s="98">
        <f t="shared" si="15"/>
        <v>0.56284153005464477</v>
      </c>
    </row>
    <row r="103" spans="1:6" ht="18" customHeight="1" x14ac:dyDescent="0.25">
      <c r="A103" s="99">
        <v>4</v>
      </c>
      <c r="B103" s="100" t="s">
        <v>115</v>
      </c>
      <c r="C103" s="117">
        <v>776</v>
      </c>
      <c r="D103" s="117">
        <v>735</v>
      </c>
      <c r="E103" s="117">
        <f t="shared" si="14"/>
        <v>-41</v>
      </c>
      <c r="F103" s="98">
        <f t="shared" si="15"/>
        <v>-5.2835051546391752E-2</v>
      </c>
    </row>
    <row r="104" spans="1:6" ht="18" customHeight="1" x14ac:dyDescent="0.25">
      <c r="A104" s="99">
        <v>5</v>
      </c>
      <c r="B104" s="100" t="s">
        <v>116</v>
      </c>
      <c r="C104" s="117">
        <v>20</v>
      </c>
      <c r="D104" s="117">
        <v>25</v>
      </c>
      <c r="E104" s="117">
        <f t="shared" si="14"/>
        <v>5</v>
      </c>
      <c r="F104" s="98">
        <f t="shared" si="15"/>
        <v>0.25</v>
      </c>
    </row>
    <row r="105" spans="1:6" ht="18" customHeight="1" x14ac:dyDescent="0.25">
      <c r="A105" s="99">
        <v>6</v>
      </c>
      <c r="B105" s="100" t="s">
        <v>117</v>
      </c>
      <c r="C105" s="117">
        <v>1377</v>
      </c>
      <c r="D105" s="117">
        <v>1291</v>
      </c>
      <c r="E105" s="117">
        <f t="shared" si="14"/>
        <v>-86</v>
      </c>
      <c r="F105" s="98">
        <f t="shared" si="15"/>
        <v>-6.2454611474219317E-2</v>
      </c>
    </row>
    <row r="106" spans="1:6" ht="18" customHeight="1" x14ac:dyDescent="0.25">
      <c r="A106" s="99">
        <v>7</v>
      </c>
      <c r="B106" s="100" t="s">
        <v>118</v>
      </c>
      <c r="C106" s="117">
        <v>1018</v>
      </c>
      <c r="D106" s="117">
        <v>959</v>
      </c>
      <c r="E106" s="117">
        <f t="shared" si="14"/>
        <v>-59</v>
      </c>
      <c r="F106" s="98">
        <f t="shared" si="15"/>
        <v>-5.7956777996070727E-2</v>
      </c>
    </row>
    <row r="107" spans="1:6" ht="18" customHeight="1" x14ac:dyDescent="0.25">
      <c r="A107" s="99">
        <v>8</v>
      </c>
      <c r="B107" s="100" t="s">
        <v>119</v>
      </c>
      <c r="C107" s="117">
        <v>27</v>
      </c>
      <c r="D107" s="117">
        <v>32</v>
      </c>
      <c r="E107" s="117">
        <f t="shared" si="14"/>
        <v>5</v>
      </c>
      <c r="F107" s="98">
        <f t="shared" si="15"/>
        <v>0.18518518518518517</v>
      </c>
    </row>
    <row r="108" spans="1:6" ht="18" customHeight="1" x14ac:dyDescent="0.25">
      <c r="A108" s="99">
        <v>9</v>
      </c>
      <c r="B108" s="100" t="s">
        <v>120</v>
      </c>
      <c r="C108" s="117">
        <v>64</v>
      </c>
      <c r="D108" s="117">
        <v>38</v>
      </c>
      <c r="E108" s="117">
        <f t="shared" si="14"/>
        <v>-26</v>
      </c>
      <c r="F108" s="98">
        <f t="shared" si="15"/>
        <v>-0.40625</v>
      </c>
    </row>
    <row r="109" spans="1:6" ht="18" customHeight="1" x14ac:dyDescent="0.25">
      <c r="A109" s="99">
        <v>10</v>
      </c>
      <c r="B109" s="100" t="s">
        <v>121</v>
      </c>
      <c r="C109" s="117">
        <v>360</v>
      </c>
      <c r="D109" s="117">
        <v>0</v>
      </c>
      <c r="E109" s="117">
        <f t="shared" si="14"/>
        <v>-360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7617</v>
      </c>
      <c r="D111" s="118">
        <f>SUM(D100:D110)</f>
        <v>7316</v>
      </c>
      <c r="E111" s="118">
        <f t="shared" si="14"/>
        <v>-301</v>
      </c>
      <c r="F111" s="104">
        <f t="shared" si="15"/>
        <v>-3.9516870158855195E-2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14425</v>
      </c>
      <c r="D113" s="117">
        <v>13091</v>
      </c>
      <c r="E113" s="117">
        <f t="shared" ref="E113:E124" si="16">D113-C113</f>
        <v>-1334</v>
      </c>
      <c r="F113" s="98">
        <f t="shared" ref="F113:F124" si="17">IF(C113=0,0,E113/C113)</f>
        <v>-9.2478336221837085E-2</v>
      </c>
    </row>
    <row r="114" spans="1:6" ht="18" customHeight="1" x14ac:dyDescent="0.25">
      <c r="A114" s="99">
        <v>2</v>
      </c>
      <c r="B114" s="100" t="s">
        <v>113</v>
      </c>
      <c r="C114" s="117">
        <v>2732</v>
      </c>
      <c r="D114" s="117">
        <v>2559</v>
      </c>
      <c r="E114" s="117">
        <f t="shared" si="16"/>
        <v>-173</v>
      </c>
      <c r="F114" s="98">
        <f t="shared" si="17"/>
        <v>-6.332357247437774E-2</v>
      </c>
    </row>
    <row r="115" spans="1:6" ht="18" customHeight="1" x14ac:dyDescent="0.25">
      <c r="A115" s="99">
        <v>3</v>
      </c>
      <c r="B115" s="100" t="s">
        <v>114</v>
      </c>
      <c r="C115" s="117">
        <v>2106</v>
      </c>
      <c r="D115" s="117">
        <v>3561</v>
      </c>
      <c r="E115" s="117">
        <f t="shared" si="16"/>
        <v>1455</v>
      </c>
      <c r="F115" s="98">
        <f t="shared" si="17"/>
        <v>0.69088319088319083</v>
      </c>
    </row>
    <row r="116" spans="1:6" ht="18" customHeight="1" x14ac:dyDescent="0.25">
      <c r="A116" s="99">
        <v>4</v>
      </c>
      <c r="B116" s="100" t="s">
        <v>115</v>
      </c>
      <c r="C116" s="117">
        <v>2112</v>
      </c>
      <c r="D116" s="117">
        <v>2092</v>
      </c>
      <c r="E116" s="117">
        <f t="shared" si="16"/>
        <v>-20</v>
      </c>
      <c r="F116" s="98">
        <f t="shared" si="17"/>
        <v>-9.46969696969697E-3</v>
      </c>
    </row>
    <row r="117" spans="1:6" ht="18" customHeight="1" x14ac:dyDescent="0.25">
      <c r="A117" s="99">
        <v>5</v>
      </c>
      <c r="B117" s="100" t="s">
        <v>116</v>
      </c>
      <c r="C117" s="117">
        <v>145</v>
      </c>
      <c r="D117" s="117">
        <v>81</v>
      </c>
      <c r="E117" s="117">
        <f t="shared" si="16"/>
        <v>-64</v>
      </c>
      <c r="F117" s="98">
        <f t="shared" si="17"/>
        <v>-0.44137931034482758</v>
      </c>
    </row>
    <row r="118" spans="1:6" ht="18" customHeight="1" x14ac:dyDescent="0.25">
      <c r="A118" s="99">
        <v>6</v>
      </c>
      <c r="B118" s="100" t="s">
        <v>117</v>
      </c>
      <c r="C118" s="117">
        <v>4297</v>
      </c>
      <c r="D118" s="117">
        <v>4117</v>
      </c>
      <c r="E118" s="117">
        <f t="shared" si="16"/>
        <v>-180</v>
      </c>
      <c r="F118" s="98">
        <f t="shared" si="17"/>
        <v>-4.188969048173144E-2</v>
      </c>
    </row>
    <row r="119" spans="1:6" ht="18" customHeight="1" x14ac:dyDescent="0.25">
      <c r="A119" s="99">
        <v>7</v>
      </c>
      <c r="B119" s="100" t="s">
        <v>118</v>
      </c>
      <c r="C119" s="117">
        <v>3236</v>
      </c>
      <c r="D119" s="117">
        <v>2952</v>
      </c>
      <c r="E119" s="117">
        <f t="shared" si="16"/>
        <v>-284</v>
      </c>
      <c r="F119" s="98">
        <f t="shared" si="17"/>
        <v>-8.7762669962917178E-2</v>
      </c>
    </row>
    <row r="120" spans="1:6" ht="18" customHeight="1" x14ac:dyDescent="0.25">
      <c r="A120" s="99">
        <v>8</v>
      </c>
      <c r="B120" s="100" t="s">
        <v>119</v>
      </c>
      <c r="C120" s="117">
        <v>87</v>
      </c>
      <c r="D120" s="117">
        <v>60</v>
      </c>
      <c r="E120" s="117">
        <f t="shared" si="16"/>
        <v>-27</v>
      </c>
      <c r="F120" s="98">
        <f t="shared" si="17"/>
        <v>-0.31034482758620691</v>
      </c>
    </row>
    <row r="121" spans="1:6" ht="18" customHeight="1" x14ac:dyDescent="0.25">
      <c r="A121" s="99">
        <v>9</v>
      </c>
      <c r="B121" s="100" t="s">
        <v>120</v>
      </c>
      <c r="C121" s="117">
        <v>241</v>
      </c>
      <c r="D121" s="117">
        <v>157</v>
      </c>
      <c r="E121" s="117">
        <f t="shared" si="16"/>
        <v>-84</v>
      </c>
      <c r="F121" s="98">
        <f t="shared" si="17"/>
        <v>-0.34854771784232363</v>
      </c>
    </row>
    <row r="122" spans="1:6" ht="18" customHeight="1" x14ac:dyDescent="0.25">
      <c r="A122" s="99">
        <v>10</v>
      </c>
      <c r="B122" s="100" t="s">
        <v>121</v>
      </c>
      <c r="C122" s="117">
        <v>1292</v>
      </c>
      <c r="D122" s="117">
        <v>0</v>
      </c>
      <c r="E122" s="117">
        <f t="shared" si="16"/>
        <v>-1292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30673</v>
      </c>
      <c r="D124" s="118">
        <f>SUM(D113:D123)</f>
        <v>28670</v>
      </c>
      <c r="E124" s="118">
        <f t="shared" si="16"/>
        <v>-2003</v>
      </c>
      <c r="F124" s="104">
        <f t="shared" si="17"/>
        <v>-6.5301731164216087E-2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38156</v>
      </c>
      <c r="D126" s="117">
        <v>51621</v>
      </c>
      <c r="E126" s="117">
        <f t="shared" ref="E126:E137" si="18">D126-C126</f>
        <v>13465</v>
      </c>
      <c r="F126" s="98">
        <f t="shared" ref="F126:F137" si="19">IF(C126=0,0,E126/C126)</f>
        <v>0.35289338505084389</v>
      </c>
    </row>
    <row r="127" spans="1:6" ht="18" customHeight="1" x14ac:dyDescent="0.25">
      <c r="A127" s="99">
        <v>2</v>
      </c>
      <c r="B127" s="100" t="s">
        <v>113</v>
      </c>
      <c r="C127" s="117">
        <v>7908</v>
      </c>
      <c r="D127" s="117">
        <v>9220</v>
      </c>
      <c r="E127" s="117">
        <f t="shared" si="18"/>
        <v>1312</v>
      </c>
      <c r="F127" s="98">
        <f t="shared" si="19"/>
        <v>0.16590794132524025</v>
      </c>
    </row>
    <row r="128" spans="1:6" ht="18" customHeight="1" x14ac:dyDescent="0.25">
      <c r="A128" s="99">
        <v>3</v>
      </c>
      <c r="B128" s="100" t="s">
        <v>114</v>
      </c>
      <c r="C128" s="117">
        <v>6707</v>
      </c>
      <c r="D128" s="117">
        <v>20707</v>
      </c>
      <c r="E128" s="117">
        <f t="shared" si="18"/>
        <v>14000</v>
      </c>
      <c r="F128" s="98">
        <f t="shared" si="19"/>
        <v>2.0873714030117787</v>
      </c>
    </row>
    <row r="129" spans="1:6" ht="18" customHeight="1" x14ac:dyDescent="0.25">
      <c r="A129" s="99">
        <v>4</v>
      </c>
      <c r="B129" s="100" t="s">
        <v>115</v>
      </c>
      <c r="C129" s="117">
        <v>23163</v>
      </c>
      <c r="D129" s="117">
        <v>17231</v>
      </c>
      <c r="E129" s="117">
        <f t="shared" si="18"/>
        <v>-5932</v>
      </c>
      <c r="F129" s="98">
        <f t="shared" si="19"/>
        <v>-0.25609808746708113</v>
      </c>
    </row>
    <row r="130" spans="1:6" ht="18" customHeight="1" x14ac:dyDescent="0.25">
      <c r="A130" s="99">
        <v>5</v>
      </c>
      <c r="B130" s="100" t="s">
        <v>116</v>
      </c>
      <c r="C130" s="117">
        <v>399</v>
      </c>
      <c r="D130" s="117">
        <v>589</v>
      </c>
      <c r="E130" s="117">
        <f t="shared" si="18"/>
        <v>190</v>
      </c>
      <c r="F130" s="98">
        <f t="shared" si="19"/>
        <v>0.47619047619047616</v>
      </c>
    </row>
    <row r="131" spans="1:6" ht="18" customHeight="1" x14ac:dyDescent="0.25">
      <c r="A131" s="99">
        <v>6</v>
      </c>
      <c r="B131" s="100" t="s">
        <v>117</v>
      </c>
      <c r="C131" s="117">
        <v>30306</v>
      </c>
      <c r="D131" s="117">
        <v>46941</v>
      </c>
      <c r="E131" s="117">
        <f t="shared" si="18"/>
        <v>16635</v>
      </c>
      <c r="F131" s="98">
        <f t="shared" si="19"/>
        <v>0.54890120768164719</v>
      </c>
    </row>
    <row r="132" spans="1:6" ht="18" customHeight="1" x14ac:dyDescent="0.25">
      <c r="A132" s="99">
        <v>7</v>
      </c>
      <c r="B132" s="100" t="s">
        <v>118</v>
      </c>
      <c r="C132" s="117">
        <v>24539</v>
      </c>
      <c r="D132" s="117">
        <v>27244</v>
      </c>
      <c r="E132" s="117">
        <f t="shared" si="18"/>
        <v>2705</v>
      </c>
      <c r="F132" s="98">
        <f t="shared" si="19"/>
        <v>0.11023269081869677</v>
      </c>
    </row>
    <row r="133" spans="1:6" ht="18" customHeight="1" x14ac:dyDescent="0.25">
      <c r="A133" s="99">
        <v>8</v>
      </c>
      <c r="B133" s="100" t="s">
        <v>119</v>
      </c>
      <c r="C133" s="117">
        <v>2707</v>
      </c>
      <c r="D133" s="117">
        <v>3382</v>
      </c>
      <c r="E133" s="117">
        <f t="shared" si="18"/>
        <v>675</v>
      </c>
      <c r="F133" s="98">
        <f t="shared" si="19"/>
        <v>0.24935352789065385</v>
      </c>
    </row>
    <row r="134" spans="1:6" ht="18" customHeight="1" x14ac:dyDescent="0.25">
      <c r="A134" s="99">
        <v>9</v>
      </c>
      <c r="B134" s="100" t="s">
        <v>120</v>
      </c>
      <c r="C134" s="117">
        <v>3598</v>
      </c>
      <c r="D134" s="117">
        <v>4549</v>
      </c>
      <c r="E134" s="117">
        <f t="shared" si="18"/>
        <v>951</v>
      </c>
      <c r="F134" s="98">
        <f t="shared" si="19"/>
        <v>0.26431350750416899</v>
      </c>
    </row>
    <row r="135" spans="1:6" ht="18" customHeight="1" x14ac:dyDescent="0.25">
      <c r="A135" s="99">
        <v>10</v>
      </c>
      <c r="B135" s="100" t="s">
        <v>121</v>
      </c>
      <c r="C135" s="117">
        <v>4639</v>
      </c>
      <c r="D135" s="117">
        <v>0</v>
      </c>
      <c r="E135" s="117">
        <f t="shared" si="18"/>
        <v>-4639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142122</v>
      </c>
      <c r="D137" s="118">
        <f>SUM(D126:D136)</f>
        <v>181484</v>
      </c>
      <c r="E137" s="118">
        <f t="shared" si="18"/>
        <v>39362</v>
      </c>
      <c r="F137" s="104">
        <f t="shared" si="19"/>
        <v>0.27695923220894725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7043523</v>
      </c>
      <c r="D142" s="97">
        <v>6333175</v>
      </c>
      <c r="E142" s="97">
        <f t="shared" ref="E142:E153" si="20">D142-C142</f>
        <v>-710348</v>
      </c>
      <c r="F142" s="98">
        <f t="shared" ref="F142:F153" si="21">IF(C142=0,0,E142/C142)</f>
        <v>-0.10085123595110004</v>
      </c>
    </row>
    <row r="143" spans="1:6" ht="18" customHeight="1" x14ac:dyDescent="0.25">
      <c r="A143" s="99">
        <v>2</v>
      </c>
      <c r="B143" s="100" t="s">
        <v>113</v>
      </c>
      <c r="C143" s="97">
        <v>1433912</v>
      </c>
      <c r="D143" s="97">
        <v>1323932</v>
      </c>
      <c r="E143" s="97">
        <f t="shared" si="20"/>
        <v>-109980</v>
      </c>
      <c r="F143" s="98">
        <f t="shared" si="21"/>
        <v>-7.6699267458533019E-2</v>
      </c>
    </row>
    <row r="144" spans="1:6" ht="18" customHeight="1" x14ac:dyDescent="0.25">
      <c r="A144" s="99">
        <v>3</v>
      </c>
      <c r="B144" s="100" t="s">
        <v>114</v>
      </c>
      <c r="C144" s="97">
        <v>2667057</v>
      </c>
      <c r="D144" s="97">
        <v>6897105</v>
      </c>
      <c r="E144" s="97">
        <f t="shared" si="20"/>
        <v>4230048</v>
      </c>
      <c r="F144" s="98">
        <f t="shared" si="21"/>
        <v>1.586035844003334</v>
      </c>
    </row>
    <row r="145" spans="1:6" ht="18" customHeight="1" x14ac:dyDescent="0.25">
      <c r="A145" s="99">
        <v>4</v>
      </c>
      <c r="B145" s="100" t="s">
        <v>115</v>
      </c>
      <c r="C145" s="97">
        <v>7299607</v>
      </c>
      <c r="D145" s="97">
        <v>7652537</v>
      </c>
      <c r="E145" s="97">
        <f t="shared" si="20"/>
        <v>352930</v>
      </c>
      <c r="F145" s="98">
        <f t="shared" si="21"/>
        <v>4.8349178250281143E-2</v>
      </c>
    </row>
    <row r="146" spans="1:6" ht="18" customHeight="1" x14ac:dyDescent="0.25">
      <c r="A146" s="99">
        <v>5</v>
      </c>
      <c r="B146" s="100" t="s">
        <v>116</v>
      </c>
      <c r="C146" s="97">
        <v>208494</v>
      </c>
      <c r="D146" s="97">
        <v>239793</v>
      </c>
      <c r="E146" s="97">
        <f t="shared" si="20"/>
        <v>31299</v>
      </c>
      <c r="F146" s="98">
        <f t="shared" si="21"/>
        <v>0.15011942789720567</v>
      </c>
    </row>
    <row r="147" spans="1:6" ht="18" customHeight="1" x14ac:dyDescent="0.25">
      <c r="A147" s="99">
        <v>6</v>
      </c>
      <c r="B147" s="100" t="s">
        <v>117</v>
      </c>
      <c r="C147" s="97">
        <v>6420804</v>
      </c>
      <c r="D147" s="97">
        <v>7737018</v>
      </c>
      <c r="E147" s="97">
        <f t="shared" si="20"/>
        <v>1316214</v>
      </c>
      <c r="F147" s="98">
        <f t="shared" si="21"/>
        <v>0.20499208510336089</v>
      </c>
    </row>
    <row r="148" spans="1:6" ht="18" customHeight="1" x14ac:dyDescent="0.25">
      <c r="A148" s="99">
        <v>7</v>
      </c>
      <c r="B148" s="100" t="s">
        <v>118</v>
      </c>
      <c r="C148" s="97">
        <v>5015146</v>
      </c>
      <c r="D148" s="97">
        <v>4768653</v>
      </c>
      <c r="E148" s="97">
        <f t="shared" si="20"/>
        <v>-246493</v>
      </c>
      <c r="F148" s="98">
        <f t="shared" si="21"/>
        <v>-4.9149715681258331E-2</v>
      </c>
    </row>
    <row r="149" spans="1:6" ht="18" customHeight="1" x14ac:dyDescent="0.25">
      <c r="A149" s="99">
        <v>8</v>
      </c>
      <c r="B149" s="100" t="s">
        <v>119</v>
      </c>
      <c r="C149" s="97">
        <v>447007</v>
      </c>
      <c r="D149" s="97">
        <v>503591</v>
      </c>
      <c r="E149" s="97">
        <f t="shared" si="20"/>
        <v>56584</v>
      </c>
      <c r="F149" s="98">
        <f t="shared" si="21"/>
        <v>0.12658414745182961</v>
      </c>
    </row>
    <row r="150" spans="1:6" ht="18" customHeight="1" x14ac:dyDescent="0.25">
      <c r="A150" s="99">
        <v>9</v>
      </c>
      <c r="B150" s="100" t="s">
        <v>120</v>
      </c>
      <c r="C150" s="97">
        <v>2988376</v>
      </c>
      <c r="D150" s="97">
        <v>2710172</v>
      </c>
      <c r="E150" s="97">
        <f t="shared" si="20"/>
        <v>-278204</v>
      </c>
      <c r="F150" s="98">
        <f t="shared" si="21"/>
        <v>-9.3095380233277208E-2</v>
      </c>
    </row>
    <row r="151" spans="1:6" ht="18" customHeight="1" x14ac:dyDescent="0.25">
      <c r="A151" s="99">
        <v>10</v>
      </c>
      <c r="B151" s="100" t="s">
        <v>121</v>
      </c>
      <c r="C151" s="97">
        <v>2110610</v>
      </c>
      <c r="D151" s="97">
        <v>0</v>
      </c>
      <c r="E151" s="97">
        <f t="shared" si="20"/>
        <v>-2110610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35634536</v>
      </c>
      <c r="D153" s="103">
        <f>SUM(D142:D152)</f>
        <v>38165976</v>
      </c>
      <c r="E153" s="103">
        <f t="shared" si="20"/>
        <v>2531440</v>
      </c>
      <c r="F153" s="104">
        <f t="shared" si="21"/>
        <v>7.1038949405711357E-2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1729099</v>
      </c>
      <c r="D155" s="97">
        <v>1514703</v>
      </c>
      <c r="E155" s="97">
        <f t="shared" ref="E155:E166" si="22">D155-C155</f>
        <v>-214396</v>
      </c>
      <c r="F155" s="98">
        <f t="shared" ref="F155:F166" si="23">IF(C155=0,0,E155/C155)</f>
        <v>-0.1239929003486787</v>
      </c>
    </row>
    <row r="156" spans="1:6" ht="18" customHeight="1" x14ac:dyDescent="0.25">
      <c r="A156" s="99">
        <v>2</v>
      </c>
      <c r="B156" s="100" t="s">
        <v>113</v>
      </c>
      <c r="C156" s="97">
        <v>288216</v>
      </c>
      <c r="D156" s="97">
        <v>328335</v>
      </c>
      <c r="E156" s="97">
        <f t="shared" si="22"/>
        <v>40119</v>
      </c>
      <c r="F156" s="98">
        <f t="shared" si="23"/>
        <v>0.13919768506953117</v>
      </c>
    </row>
    <row r="157" spans="1:6" ht="18" customHeight="1" x14ac:dyDescent="0.25">
      <c r="A157" s="99">
        <v>3</v>
      </c>
      <c r="B157" s="100" t="s">
        <v>114</v>
      </c>
      <c r="C157" s="97">
        <v>571110</v>
      </c>
      <c r="D157" s="97">
        <v>1807000</v>
      </c>
      <c r="E157" s="97">
        <f t="shared" si="22"/>
        <v>1235890</v>
      </c>
      <c r="F157" s="98">
        <f t="shared" si="23"/>
        <v>2.1640139377703069</v>
      </c>
    </row>
    <row r="158" spans="1:6" ht="18" customHeight="1" x14ac:dyDescent="0.25">
      <c r="A158" s="99">
        <v>4</v>
      </c>
      <c r="B158" s="100" t="s">
        <v>115</v>
      </c>
      <c r="C158" s="97">
        <v>1871439</v>
      </c>
      <c r="D158" s="97">
        <v>1888646</v>
      </c>
      <c r="E158" s="97">
        <f t="shared" si="22"/>
        <v>17207</v>
      </c>
      <c r="F158" s="98">
        <f t="shared" si="23"/>
        <v>9.1945289159839037E-3</v>
      </c>
    </row>
    <row r="159" spans="1:6" ht="18" customHeight="1" x14ac:dyDescent="0.25">
      <c r="A159" s="99">
        <v>5</v>
      </c>
      <c r="B159" s="100" t="s">
        <v>116</v>
      </c>
      <c r="C159" s="97">
        <v>41579</v>
      </c>
      <c r="D159" s="97">
        <v>47719</v>
      </c>
      <c r="E159" s="97">
        <f t="shared" si="22"/>
        <v>6140</v>
      </c>
      <c r="F159" s="98">
        <f t="shared" si="23"/>
        <v>0.14767069915101375</v>
      </c>
    </row>
    <row r="160" spans="1:6" ht="18" customHeight="1" x14ac:dyDescent="0.25">
      <c r="A160" s="99">
        <v>6</v>
      </c>
      <c r="B160" s="100" t="s">
        <v>117</v>
      </c>
      <c r="C160" s="97">
        <v>2733789</v>
      </c>
      <c r="D160" s="97">
        <v>3348486</v>
      </c>
      <c r="E160" s="97">
        <f t="shared" si="22"/>
        <v>614697</v>
      </c>
      <c r="F160" s="98">
        <f t="shared" si="23"/>
        <v>0.22485166192416459</v>
      </c>
    </row>
    <row r="161" spans="1:6" ht="18" customHeight="1" x14ac:dyDescent="0.25">
      <c r="A161" s="99">
        <v>7</v>
      </c>
      <c r="B161" s="100" t="s">
        <v>118</v>
      </c>
      <c r="C161" s="97">
        <v>1415056</v>
      </c>
      <c r="D161" s="97">
        <v>924105</v>
      </c>
      <c r="E161" s="97">
        <f t="shared" si="22"/>
        <v>-490951</v>
      </c>
      <c r="F161" s="98">
        <f t="shared" si="23"/>
        <v>-0.34694810664736941</v>
      </c>
    </row>
    <row r="162" spans="1:6" ht="18" customHeight="1" x14ac:dyDescent="0.25">
      <c r="A162" s="99">
        <v>8</v>
      </c>
      <c r="B162" s="100" t="s">
        <v>119</v>
      </c>
      <c r="C162" s="97">
        <v>447007</v>
      </c>
      <c r="D162" s="97">
        <v>503591</v>
      </c>
      <c r="E162" s="97">
        <f t="shared" si="22"/>
        <v>56584</v>
      </c>
      <c r="F162" s="98">
        <f t="shared" si="23"/>
        <v>0.12658414745182961</v>
      </c>
    </row>
    <row r="163" spans="1:6" ht="18" customHeight="1" x14ac:dyDescent="0.25">
      <c r="A163" s="99">
        <v>9</v>
      </c>
      <c r="B163" s="100" t="s">
        <v>120</v>
      </c>
      <c r="C163" s="97">
        <v>197687</v>
      </c>
      <c r="D163" s="97">
        <v>141057</v>
      </c>
      <c r="E163" s="97">
        <f t="shared" si="22"/>
        <v>-56630</v>
      </c>
      <c r="F163" s="98">
        <f t="shared" si="23"/>
        <v>-0.2864629439467441</v>
      </c>
    </row>
    <row r="164" spans="1:6" ht="18" customHeight="1" x14ac:dyDescent="0.25">
      <c r="A164" s="99">
        <v>10</v>
      </c>
      <c r="B164" s="100" t="s">
        <v>121</v>
      </c>
      <c r="C164" s="97">
        <v>301379</v>
      </c>
      <c r="D164" s="97">
        <v>0</v>
      </c>
      <c r="E164" s="97">
        <f t="shared" si="22"/>
        <v>-301379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9596361</v>
      </c>
      <c r="D166" s="103">
        <f>SUM(D155:D165)</f>
        <v>10503642</v>
      </c>
      <c r="E166" s="103">
        <f t="shared" si="22"/>
        <v>907281</v>
      </c>
      <c r="F166" s="104">
        <f t="shared" si="23"/>
        <v>9.4544275689503549E-2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5054</v>
      </c>
      <c r="D168" s="117">
        <v>5422</v>
      </c>
      <c r="E168" s="117">
        <f t="shared" ref="E168:E179" si="24">D168-C168</f>
        <v>368</v>
      </c>
      <c r="F168" s="98">
        <f t="shared" ref="F168:F179" si="25">IF(C168=0,0,E168/C168)</f>
        <v>7.2813612979817963E-2</v>
      </c>
    </row>
    <row r="169" spans="1:6" ht="18" customHeight="1" x14ac:dyDescent="0.25">
      <c r="A169" s="99">
        <v>2</v>
      </c>
      <c r="B169" s="100" t="s">
        <v>113</v>
      </c>
      <c r="C169" s="117">
        <v>1098</v>
      </c>
      <c r="D169" s="117">
        <v>1197</v>
      </c>
      <c r="E169" s="117">
        <f t="shared" si="24"/>
        <v>99</v>
      </c>
      <c r="F169" s="98">
        <f t="shared" si="25"/>
        <v>9.0163934426229511E-2</v>
      </c>
    </row>
    <row r="170" spans="1:6" ht="18" customHeight="1" x14ac:dyDescent="0.25">
      <c r="A170" s="99">
        <v>3</v>
      </c>
      <c r="B170" s="100" t="s">
        <v>114</v>
      </c>
      <c r="C170" s="117">
        <v>2341</v>
      </c>
      <c r="D170" s="117">
        <v>6251</v>
      </c>
      <c r="E170" s="117">
        <f t="shared" si="24"/>
        <v>3910</v>
      </c>
      <c r="F170" s="98">
        <f t="shared" si="25"/>
        <v>1.6702263989747972</v>
      </c>
    </row>
    <row r="171" spans="1:6" ht="18" customHeight="1" x14ac:dyDescent="0.25">
      <c r="A171" s="99">
        <v>4</v>
      </c>
      <c r="B171" s="100" t="s">
        <v>115</v>
      </c>
      <c r="C171" s="117">
        <v>8032</v>
      </c>
      <c r="D171" s="117">
        <v>7585</v>
      </c>
      <c r="E171" s="117">
        <f t="shared" si="24"/>
        <v>-447</v>
      </c>
      <c r="F171" s="98">
        <f t="shared" si="25"/>
        <v>-5.5652390438247011E-2</v>
      </c>
    </row>
    <row r="172" spans="1:6" ht="18" customHeight="1" x14ac:dyDescent="0.25">
      <c r="A172" s="99">
        <v>5</v>
      </c>
      <c r="B172" s="100" t="s">
        <v>116</v>
      </c>
      <c r="C172" s="117">
        <v>173</v>
      </c>
      <c r="D172" s="117">
        <v>183</v>
      </c>
      <c r="E172" s="117">
        <f t="shared" si="24"/>
        <v>10</v>
      </c>
      <c r="F172" s="98">
        <f t="shared" si="25"/>
        <v>5.7803468208092484E-2</v>
      </c>
    </row>
    <row r="173" spans="1:6" ht="18" customHeight="1" x14ac:dyDescent="0.25">
      <c r="A173" s="99">
        <v>6</v>
      </c>
      <c r="B173" s="100" t="s">
        <v>117</v>
      </c>
      <c r="C173" s="117">
        <v>5984</v>
      </c>
      <c r="D173" s="117">
        <v>6297</v>
      </c>
      <c r="E173" s="117">
        <f t="shared" si="24"/>
        <v>313</v>
      </c>
      <c r="F173" s="98">
        <f t="shared" si="25"/>
        <v>5.2306149732620322E-2</v>
      </c>
    </row>
    <row r="174" spans="1:6" ht="18" customHeight="1" x14ac:dyDescent="0.25">
      <c r="A174" s="99">
        <v>7</v>
      </c>
      <c r="B174" s="100" t="s">
        <v>118</v>
      </c>
      <c r="C174" s="117">
        <v>4279</v>
      </c>
      <c r="D174" s="117">
        <v>3914</v>
      </c>
      <c r="E174" s="117">
        <f t="shared" si="24"/>
        <v>-365</v>
      </c>
      <c r="F174" s="98">
        <f t="shared" si="25"/>
        <v>-8.5300303809301245E-2</v>
      </c>
    </row>
    <row r="175" spans="1:6" ht="18" customHeight="1" x14ac:dyDescent="0.25">
      <c r="A175" s="99">
        <v>8</v>
      </c>
      <c r="B175" s="100" t="s">
        <v>119</v>
      </c>
      <c r="C175" s="117">
        <v>490</v>
      </c>
      <c r="D175" s="117">
        <v>517</v>
      </c>
      <c r="E175" s="117">
        <f t="shared" si="24"/>
        <v>27</v>
      </c>
      <c r="F175" s="98">
        <f t="shared" si="25"/>
        <v>5.5102040816326532E-2</v>
      </c>
    </row>
    <row r="176" spans="1:6" ht="18" customHeight="1" x14ac:dyDescent="0.25">
      <c r="A176" s="99">
        <v>9</v>
      </c>
      <c r="B176" s="100" t="s">
        <v>120</v>
      </c>
      <c r="C176" s="117">
        <v>3781</v>
      </c>
      <c r="D176" s="117">
        <v>3131</v>
      </c>
      <c r="E176" s="117">
        <f t="shared" si="24"/>
        <v>-650</v>
      </c>
      <c r="F176" s="98">
        <f t="shared" si="25"/>
        <v>-0.17191219254165566</v>
      </c>
    </row>
    <row r="177" spans="1:6" ht="18" customHeight="1" x14ac:dyDescent="0.25">
      <c r="A177" s="99">
        <v>10</v>
      </c>
      <c r="B177" s="100" t="s">
        <v>121</v>
      </c>
      <c r="C177" s="117">
        <v>2061</v>
      </c>
      <c r="D177" s="117">
        <v>0</v>
      </c>
      <c r="E177" s="117">
        <f t="shared" si="24"/>
        <v>-2061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33293</v>
      </c>
      <c r="D179" s="118">
        <f>SUM(D168:D178)</f>
        <v>34497</v>
      </c>
      <c r="E179" s="118">
        <f t="shared" si="24"/>
        <v>1204</v>
      </c>
      <c r="F179" s="104">
        <f t="shared" si="25"/>
        <v>3.6163758147358303E-2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FILING&amp;RBRISTOL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20662698</v>
      </c>
      <c r="D15" s="146">
        <v>20534294</v>
      </c>
      <c r="E15" s="146">
        <f>+D15-C15</f>
        <v>-128404</v>
      </c>
      <c r="F15" s="150">
        <f>IF(C15=0,0,E15/C15)</f>
        <v>-6.2142901183572449E-3</v>
      </c>
    </row>
    <row r="16" spans="1:7" ht="15" customHeight="1" x14ac:dyDescent="0.2">
      <c r="A16" s="141">
        <v>2</v>
      </c>
      <c r="B16" s="149" t="s">
        <v>158</v>
      </c>
      <c r="C16" s="146">
        <v>365058</v>
      </c>
      <c r="D16" s="146">
        <v>427269</v>
      </c>
      <c r="E16" s="146">
        <f>+D16-C16</f>
        <v>62211</v>
      </c>
      <c r="F16" s="150">
        <f>IF(C16=0,0,E16/C16)</f>
        <v>0.17041401640287296</v>
      </c>
    </row>
    <row r="17" spans="1:7" ht="15" customHeight="1" x14ac:dyDescent="0.2">
      <c r="A17" s="141">
        <v>3</v>
      </c>
      <c r="B17" s="149" t="s">
        <v>159</v>
      </c>
      <c r="C17" s="146">
        <v>30445437</v>
      </c>
      <c r="D17" s="146">
        <v>32130283</v>
      </c>
      <c r="E17" s="146">
        <f>+D17-C17</f>
        <v>1684846</v>
      </c>
      <c r="F17" s="150">
        <f>IF(C17=0,0,E17/C17)</f>
        <v>5.5339852733925284E-2</v>
      </c>
    </row>
    <row r="18" spans="1:7" ht="15.75" customHeight="1" x14ac:dyDescent="0.25">
      <c r="A18" s="141"/>
      <c r="B18" s="151" t="s">
        <v>160</v>
      </c>
      <c r="C18" s="147">
        <f>SUM(C15:C17)</f>
        <v>51473193</v>
      </c>
      <c r="D18" s="147">
        <f>SUM(D15:D17)</f>
        <v>53091846</v>
      </c>
      <c r="E18" s="147">
        <f>+D18-C18</f>
        <v>1618653</v>
      </c>
      <c r="F18" s="148">
        <f>IF(C18=0,0,E18/C18)</f>
        <v>3.1446524018822766E-2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6166989</v>
      </c>
      <c r="D21" s="146">
        <v>6098801</v>
      </c>
      <c r="E21" s="146">
        <f>+D21-C21</f>
        <v>-68188</v>
      </c>
      <c r="F21" s="150">
        <f>IF(C21=0,0,E21/C21)</f>
        <v>-1.1056935564503196E-2</v>
      </c>
    </row>
    <row r="22" spans="1:7" ht="15" customHeight="1" x14ac:dyDescent="0.2">
      <c r="A22" s="141">
        <v>2</v>
      </c>
      <c r="B22" s="149" t="s">
        <v>163</v>
      </c>
      <c r="C22" s="146">
        <v>108955</v>
      </c>
      <c r="D22" s="146">
        <v>126901</v>
      </c>
      <c r="E22" s="146">
        <f>+D22-C22</f>
        <v>17946</v>
      </c>
      <c r="F22" s="150">
        <f>IF(C22=0,0,E22/C22)</f>
        <v>0.16471020145931806</v>
      </c>
    </row>
    <row r="23" spans="1:7" ht="15" customHeight="1" x14ac:dyDescent="0.2">
      <c r="A23" s="141">
        <v>3</v>
      </c>
      <c r="B23" s="149" t="s">
        <v>164</v>
      </c>
      <c r="C23" s="146">
        <v>9086746</v>
      </c>
      <c r="D23" s="146">
        <v>9542875</v>
      </c>
      <c r="E23" s="146">
        <f>+D23-C23</f>
        <v>456129</v>
      </c>
      <c r="F23" s="150">
        <f>IF(C23=0,0,E23/C23)</f>
        <v>5.019717729537064E-2</v>
      </c>
    </row>
    <row r="24" spans="1:7" ht="15.75" customHeight="1" x14ac:dyDescent="0.25">
      <c r="A24" s="141"/>
      <c r="B24" s="151" t="s">
        <v>165</v>
      </c>
      <c r="C24" s="147">
        <f>SUM(C21:C23)</f>
        <v>15362690</v>
      </c>
      <c r="D24" s="147">
        <f>SUM(D21:D23)</f>
        <v>15768577</v>
      </c>
      <c r="E24" s="147">
        <f>+D24-C24</f>
        <v>405887</v>
      </c>
      <c r="F24" s="148">
        <f>IF(C24=0,0,E24/C24)</f>
        <v>2.6420307901806259E-2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131140</v>
      </c>
      <c r="D27" s="146">
        <v>728690</v>
      </c>
      <c r="E27" s="146">
        <f>+D27-C27</f>
        <v>597550</v>
      </c>
      <c r="F27" s="150">
        <f>IF(C27=0,0,E27/C27)</f>
        <v>4.5565807533933205</v>
      </c>
    </row>
    <row r="28" spans="1:7" ht="15" customHeight="1" x14ac:dyDescent="0.2">
      <c r="A28" s="141">
        <v>2</v>
      </c>
      <c r="B28" s="149" t="s">
        <v>168</v>
      </c>
      <c r="C28" s="146">
        <v>5204873</v>
      </c>
      <c r="D28" s="146">
        <v>6039122</v>
      </c>
      <c r="E28" s="146">
        <f>+D28-C28</f>
        <v>834249</v>
      </c>
      <c r="F28" s="150">
        <f>IF(C28=0,0,E28/C28)</f>
        <v>0.1602822969936058</v>
      </c>
    </row>
    <row r="29" spans="1:7" ht="15" customHeight="1" x14ac:dyDescent="0.2">
      <c r="A29" s="141">
        <v>3</v>
      </c>
      <c r="B29" s="149" t="s">
        <v>169</v>
      </c>
      <c r="C29" s="146">
        <v>597845</v>
      </c>
      <c r="D29" s="146">
        <v>465603</v>
      </c>
      <c r="E29" s="146">
        <f>+D29-C29</f>
        <v>-132242</v>
      </c>
      <c r="F29" s="150">
        <f>IF(C29=0,0,E29/C29)</f>
        <v>-0.22119780210589701</v>
      </c>
    </row>
    <row r="30" spans="1:7" ht="15.75" customHeight="1" x14ac:dyDescent="0.25">
      <c r="A30" s="141"/>
      <c r="B30" s="151" t="s">
        <v>170</v>
      </c>
      <c r="C30" s="147">
        <f>SUM(C27:C29)</f>
        <v>5933858</v>
      </c>
      <c r="D30" s="147">
        <f>SUM(D27:D29)</f>
        <v>7233415</v>
      </c>
      <c r="E30" s="147">
        <f>+D30-C30</f>
        <v>1299557</v>
      </c>
      <c r="F30" s="148">
        <f>IF(C30=0,0,E30/C30)</f>
        <v>0.21900709454119058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9186155</v>
      </c>
      <c r="D33" s="146">
        <v>9311049</v>
      </c>
      <c r="E33" s="146">
        <f>+D33-C33</f>
        <v>124894</v>
      </c>
      <c r="F33" s="150">
        <f>IF(C33=0,0,E33/C33)</f>
        <v>1.3595895126960083E-2</v>
      </c>
    </row>
    <row r="34" spans="1:7" ht="15" customHeight="1" x14ac:dyDescent="0.2">
      <c r="A34" s="141">
        <v>2</v>
      </c>
      <c r="B34" s="149" t="s">
        <v>174</v>
      </c>
      <c r="C34" s="146">
        <v>6882506</v>
      </c>
      <c r="D34" s="146">
        <v>6097185</v>
      </c>
      <c r="E34" s="146">
        <f>+D34-C34</f>
        <v>-785321</v>
      </c>
      <c r="F34" s="150">
        <f>IF(C34=0,0,E34/C34)</f>
        <v>-0.11410393249203124</v>
      </c>
    </row>
    <row r="35" spans="1:7" ht="15.75" customHeight="1" x14ac:dyDescent="0.25">
      <c r="A35" s="141"/>
      <c r="B35" s="151" t="s">
        <v>175</v>
      </c>
      <c r="C35" s="147">
        <f>SUM(C33:C34)</f>
        <v>16068661</v>
      </c>
      <c r="D35" s="147">
        <f>SUM(D33:D34)</f>
        <v>15408234</v>
      </c>
      <c r="E35" s="147">
        <f>+D35-C35</f>
        <v>-660427</v>
      </c>
      <c r="F35" s="148">
        <f>IF(C35=0,0,E35/C35)</f>
        <v>-4.1100313212158748E-2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2337950</v>
      </c>
      <c r="D38" s="146">
        <v>2282807</v>
      </c>
      <c r="E38" s="146">
        <f>+D38-C38</f>
        <v>-55143</v>
      </c>
      <c r="F38" s="150">
        <f>IF(C38=0,0,E38/C38)</f>
        <v>-2.3586047605808506E-2</v>
      </c>
    </row>
    <row r="39" spans="1:7" ht="15" customHeight="1" x14ac:dyDescent="0.2">
      <c r="A39" s="141">
        <v>2</v>
      </c>
      <c r="B39" s="149" t="s">
        <v>179</v>
      </c>
      <c r="C39" s="146">
        <v>2847219</v>
      </c>
      <c r="D39" s="146">
        <v>3377134</v>
      </c>
      <c r="E39" s="146">
        <f>+D39-C39</f>
        <v>529915</v>
      </c>
      <c r="F39" s="150">
        <f>IF(C39=0,0,E39/C39)</f>
        <v>0.18611669843450751</v>
      </c>
    </row>
    <row r="40" spans="1:7" ht="15" customHeight="1" x14ac:dyDescent="0.2">
      <c r="A40" s="141">
        <v>3</v>
      </c>
      <c r="B40" s="149" t="s">
        <v>180</v>
      </c>
      <c r="C40" s="146">
        <v>56091</v>
      </c>
      <c r="D40" s="146">
        <v>54701</v>
      </c>
      <c r="E40" s="146">
        <f>+D40-C40</f>
        <v>-1390</v>
      </c>
      <c r="F40" s="150">
        <f>IF(C40=0,0,E40/C40)</f>
        <v>-2.478115918774848E-2</v>
      </c>
    </row>
    <row r="41" spans="1:7" ht="15.75" customHeight="1" x14ac:dyDescent="0.25">
      <c r="A41" s="141"/>
      <c r="B41" s="151" t="s">
        <v>181</v>
      </c>
      <c r="C41" s="147">
        <f>SUM(C38:C40)</f>
        <v>5241260</v>
      </c>
      <c r="D41" s="147">
        <f>SUM(D38:D40)</f>
        <v>5714642</v>
      </c>
      <c r="E41" s="147">
        <f>+D41-C41</f>
        <v>473382</v>
      </c>
      <c r="F41" s="148">
        <f>IF(C41=0,0,E41/C41)</f>
        <v>9.0318358562635703E-2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10944348</v>
      </c>
      <c r="D44" s="146">
        <v>9847024</v>
      </c>
      <c r="E44" s="146">
        <f>+D44-C44</f>
        <v>-1097324</v>
      </c>
      <c r="F44" s="150">
        <f>IF(C44=0,0,E44/C44)</f>
        <v>-0.10026399014358826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1693322</v>
      </c>
      <c r="D47" s="146">
        <v>1833355</v>
      </c>
      <c r="E47" s="146">
        <f>+D47-C47</f>
        <v>140033</v>
      </c>
      <c r="F47" s="150">
        <f>IF(C47=0,0,E47/C47)</f>
        <v>8.2697207028550976E-2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1810541</v>
      </c>
      <c r="D50" s="146">
        <v>1107439</v>
      </c>
      <c r="E50" s="146">
        <f>+D50-C50</f>
        <v>-703102</v>
      </c>
      <c r="F50" s="150">
        <f>IF(C50=0,0,E50/C50)</f>
        <v>-0.38833807132785175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51234</v>
      </c>
      <c r="D53" s="146">
        <v>49515</v>
      </c>
      <c r="E53" s="146">
        <f t="shared" ref="E53:E59" si="0">+D53-C53</f>
        <v>-1719</v>
      </c>
      <c r="F53" s="150">
        <f t="shared" ref="F53:F59" si="1">IF(C53=0,0,E53/C53)</f>
        <v>-3.3551938166061598E-2</v>
      </c>
    </row>
    <row r="54" spans="1:7" ht="15" customHeight="1" x14ac:dyDescent="0.2">
      <c r="A54" s="141">
        <v>2</v>
      </c>
      <c r="B54" s="149" t="s">
        <v>193</v>
      </c>
      <c r="C54" s="146">
        <v>997940</v>
      </c>
      <c r="D54" s="146">
        <v>763304</v>
      </c>
      <c r="E54" s="146">
        <f t="shared" si="0"/>
        <v>-234636</v>
      </c>
      <c r="F54" s="150">
        <f t="shared" si="1"/>
        <v>-0.23512034791670841</v>
      </c>
    </row>
    <row r="55" spans="1:7" ht="15" customHeight="1" x14ac:dyDescent="0.2">
      <c r="A55" s="141">
        <v>3</v>
      </c>
      <c r="B55" s="149" t="s">
        <v>194</v>
      </c>
      <c r="C55" s="146">
        <v>5422</v>
      </c>
      <c r="D55" s="146">
        <v>8646</v>
      </c>
      <c r="E55" s="146">
        <f t="shared" si="0"/>
        <v>3224</v>
      </c>
      <c r="F55" s="150">
        <f t="shared" si="1"/>
        <v>0.59461453338251569</v>
      </c>
    </row>
    <row r="56" spans="1:7" ht="15" customHeight="1" x14ac:dyDescent="0.2">
      <c r="A56" s="141">
        <v>4</v>
      </c>
      <c r="B56" s="149" t="s">
        <v>195</v>
      </c>
      <c r="C56" s="146">
        <v>1442943</v>
      </c>
      <c r="D56" s="146">
        <v>1467910</v>
      </c>
      <c r="E56" s="146">
        <f t="shared" si="0"/>
        <v>24967</v>
      </c>
      <c r="F56" s="150">
        <f t="shared" si="1"/>
        <v>1.7302831781990002E-2</v>
      </c>
    </row>
    <row r="57" spans="1:7" ht="15" customHeight="1" x14ac:dyDescent="0.2">
      <c r="A57" s="141">
        <v>5</v>
      </c>
      <c r="B57" s="149" t="s">
        <v>196</v>
      </c>
      <c r="C57" s="146">
        <v>297193</v>
      </c>
      <c r="D57" s="146">
        <v>354329</v>
      </c>
      <c r="E57" s="146">
        <f t="shared" si="0"/>
        <v>57136</v>
      </c>
      <c r="F57" s="150">
        <f t="shared" si="1"/>
        <v>0.19225217283045024</v>
      </c>
    </row>
    <row r="58" spans="1:7" ht="15" customHeight="1" x14ac:dyDescent="0.2">
      <c r="A58" s="141">
        <v>6</v>
      </c>
      <c r="B58" s="149" t="s">
        <v>197</v>
      </c>
      <c r="C58" s="146">
        <v>1659</v>
      </c>
      <c r="D58" s="146">
        <v>2188</v>
      </c>
      <c r="E58" s="146">
        <f t="shared" si="0"/>
        <v>529</v>
      </c>
      <c r="F58" s="150">
        <f t="shared" si="1"/>
        <v>0.31886678722121758</v>
      </c>
    </row>
    <row r="59" spans="1:7" ht="15.75" customHeight="1" x14ac:dyDescent="0.25">
      <c r="A59" s="141"/>
      <c r="B59" s="151" t="s">
        <v>198</v>
      </c>
      <c r="C59" s="147">
        <f>SUM(C53:C58)</f>
        <v>2796391</v>
      </c>
      <c r="D59" s="147">
        <f>SUM(D53:D58)</f>
        <v>2645892</v>
      </c>
      <c r="E59" s="147">
        <f t="shared" si="0"/>
        <v>-150499</v>
      </c>
      <c r="F59" s="148">
        <f t="shared" si="1"/>
        <v>-5.3819011719033569E-2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84996</v>
      </c>
      <c r="D62" s="146">
        <v>101882</v>
      </c>
      <c r="E62" s="146">
        <f t="shared" ref="E62:E78" si="2">+D62-C62</f>
        <v>16886</v>
      </c>
      <c r="F62" s="150">
        <f t="shared" ref="F62:F78" si="3">IF(C62=0,0,E62/C62)</f>
        <v>0.19866817261988801</v>
      </c>
    </row>
    <row r="63" spans="1:7" ht="15" customHeight="1" x14ac:dyDescent="0.2">
      <c r="A63" s="141">
        <v>2</v>
      </c>
      <c r="B63" s="149" t="s">
        <v>202</v>
      </c>
      <c r="C63" s="146">
        <v>492342</v>
      </c>
      <c r="D63" s="146">
        <v>539671</v>
      </c>
      <c r="E63" s="146">
        <f t="shared" si="2"/>
        <v>47329</v>
      </c>
      <c r="F63" s="150">
        <f t="shared" si="3"/>
        <v>9.6130332167477073E-2</v>
      </c>
    </row>
    <row r="64" spans="1:7" ht="15" customHeight="1" x14ac:dyDescent="0.2">
      <c r="A64" s="141">
        <v>3</v>
      </c>
      <c r="B64" s="149" t="s">
        <v>203</v>
      </c>
      <c r="C64" s="146">
        <v>828830</v>
      </c>
      <c r="D64" s="146">
        <v>809556</v>
      </c>
      <c r="E64" s="146">
        <f t="shared" si="2"/>
        <v>-19274</v>
      </c>
      <c r="F64" s="150">
        <f t="shared" si="3"/>
        <v>-2.3254467140426865E-2</v>
      </c>
    </row>
    <row r="65" spans="1:7" ht="15" customHeight="1" x14ac:dyDescent="0.2">
      <c r="A65" s="141">
        <v>4</v>
      </c>
      <c r="B65" s="149" t="s">
        <v>204</v>
      </c>
      <c r="C65" s="146">
        <v>269755</v>
      </c>
      <c r="D65" s="146">
        <v>265871</v>
      </c>
      <c r="E65" s="146">
        <f t="shared" si="2"/>
        <v>-3884</v>
      </c>
      <c r="F65" s="150">
        <f t="shared" si="3"/>
        <v>-1.4398250264128561E-2</v>
      </c>
    </row>
    <row r="66" spans="1:7" ht="15" customHeight="1" x14ac:dyDescent="0.2">
      <c r="A66" s="141">
        <v>5</v>
      </c>
      <c r="B66" s="149" t="s">
        <v>205</v>
      </c>
      <c r="C66" s="146">
        <v>558016</v>
      </c>
      <c r="D66" s="146">
        <v>704935</v>
      </c>
      <c r="E66" s="146">
        <f t="shared" si="2"/>
        <v>146919</v>
      </c>
      <c r="F66" s="150">
        <f t="shared" si="3"/>
        <v>0.26328814944374357</v>
      </c>
    </row>
    <row r="67" spans="1:7" ht="15" customHeight="1" x14ac:dyDescent="0.2">
      <c r="A67" s="141">
        <v>6</v>
      </c>
      <c r="B67" s="149" t="s">
        <v>206</v>
      </c>
      <c r="C67" s="146">
        <v>866285</v>
      </c>
      <c r="D67" s="146">
        <v>915674</v>
      </c>
      <c r="E67" s="146">
        <f t="shared" si="2"/>
        <v>49389</v>
      </c>
      <c r="F67" s="150">
        <f t="shared" si="3"/>
        <v>5.7012415082796079E-2</v>
      </c>
    </row>
    <row r="68" spans="1:7" ht="15" customHeight="1" x14ac:dyDescent="0.2">
      <c r="A68" s="141">
        <v>7</v>
      </c>
      <c r="B68" s="149" t="s">
        <v>207</v>
      </c>
      <c r="C68" s="146">
        <v>643342</v>
      </c>
      <c r="D68" s="146">
        <v>599137</v>
      </c>
      <c r="E68" s="146">
        <f t="shared" si="2"/>
        <v>-44205</v>
      </c>
      <c r="F68" s="150">
        <f t="shared" si="3"/>
        <v>-6.8711509585881222E-2</v>
      </c>
    </row>
    <row r="69" spans="1:7" ht="15" customHeight="1" x14ac:dyDescent="0.2">
      <c r="A69" s="141">
        <v>8</v>
      </c>
      <c r="B69" s="149" t="s">
        <v>208</v>
      </c>
      <c r="C69" s="146">
        <v>317184</v>
      </c>
      <c r="D69" s="146">
        <v>299883</v>
      </c>
      <c r="E69" s="146">
        <f t="shared" si="2"/>
        <v>-17301</v>
      </c>
      <c r="F69" s="150">
        <f t="shared" si="3"/>
        <v>-5.4545626513317194E-2</v>
      </c>
    </row>
    <row r="70" spans="1:7" ht="15" customHeight="1" x14ac:dyDescent="0.2">
      <c r="A70" s="141">
        <v>9</v>
      </c>
      <c r="B70" s="149" t="s">
        <v>209</v>
      </c>
      <c r="C70" s="146">
        <v>234830</v>
      </c>
      <c r="D70" s="146">
        <v>204579</v>
      </c>
      <c r="E70" s="146">
        <f t="shared" si="2"/>
        <v>-30251</v>
      </c>
      <c r="F70" s="150">
        <f t="shared" si="3"/>
        <v>-0.12882084912489886</v>
      </c>
    </row>
    <row r="71" spans="1:7" ht="15" customHeight="1" x14ac:dyDescent="0.2">
      <c r="A71" s="141">
        <v>10</v>
      </c>
      <c r="B71" s="149" t="s">
        <v>210</v>
      </c>
      <c r="C71" s="146">
        <v>2372</v>
      </c>
      <c r="D71" s="146">
        <v>6369</v>
      </c>
      <c r="E71" s="146">
        <f t="shared" si="2"/>
        <v>3997</v>
      </c>
      <c r="F71" s="150">
        <f t="shared" si="3"/>
        <v>1.6850758853288363</v>
      </c>
    </row>
    <row r="72" spans="1:7" ht="15" customHeight="1" x14ac:dyDescent="0.2">
      <c r="A72" s="141">
        <v>11</v>
      </c>
      <c r="B72" s="149" t="s">
        <v>211</v>
      </c>
      <c r="C72" s="146">
        <v>20892</v>
      </c>
      <c r="D72" s="146">
        <v>64477</v>
      </c>
      <c r="E72" s="146">
        <f t="shared" si="2"/>
        <v>43585</v>
      </c>
      <c r="F72" s="150">
        <f t="shared" si="3"/>
        <v>2.0862052460271876</v>
      </c>
    </row>
    <row r="73" spans="1:7" ht="15" customHeight="1" x14ac:dyDescent="0.2">
      <c r="A73" s="141">
        <v>12</v>
      </c>
      <c r="B73" s="149" t="s">
        <v>212</v>
      </c>
      <c r="C73" s="146">
        <v>722842</v>
      </c>
      <c r="D73" s="146">
        <v>587611</v>
      </c>
      <c r="E73" s="146">
        <f t="shared" si="2"/>
        <v>-135231</v>
      </c>
      <c r="F73" s="150">
        <f t="shared" si="3"/>
        <v>-0.18708237761502514</v>
      </c>
    </row>
    <row r="74" spans="1:7" ht="15" customHeight="1" x14ac:dyDescent="0.2">
      <c r="A74" s="141">
        <v>13</v>
      </c>
      <c r="B74" s="149" t="s">
        <v>213</v>
      </c>
      <c r="C74" s="146">
        <v>73895</v>
      </c>
      <c r="D74" s="146">
        <v>79835</v>
      </c>
      <c r="E74" s="146">
        <f t="shared" si="2"/>
        <v>5940</v>
      </c>
      <c r="F74" s="150">
        <f t="shared" si="3"/>
        <v>8.0384329115637046E-2</v>
      </c>
    </row>
    <row r="75" spans="1:7" ht="15" customHeight="1" x14ac:dyDescent="0.2">
      <c r="A75" s="141">
        <v>14</v>
      </c>
      <c r="B75" s="149" t="s">
        <v>214</v>
      </c>
      <c r="C75" s="146">
        <v>153453</v>
      </c>
      <c r="D75" s="146">
        <v>128723</v>
      </c>
      <c r="E75" s="146">
        <f t="shared" si="2"/>
        <v>-24730</v>
      </c>
      <c r="F75" s="150">
        <f t="shared" si="3"/>
        <v>-0.16115683629515226</v>
      </c>
    </row>
    <row r="76" spans="1:7" ht="15" customHeight="1" x14ac:dyDescent="0.2">
      <c r="A76" s="141">
        <v>15</v>
      </c>
      <c r="B76" s="149" t="s">
        <v>215</v>
      </c>
      <c r="C76" s="146">
        <v>727916</v>
      </c>
      <c r="D76" s="146">
        <v>1230650</v>
      </c>
      <c r="E76" s="146">
        <f t="shared" si="2"/>
        <v>502734</v>
      </c>
      <c r="F76" s="150">
        <f t="shared" si="3"/>
        <v>0.6906483715153946</v>
      </c>
    </row>
    <row r="77" spans="1:7" ht="15" customHeight="1" x14ac:dyDescent="0.2">
      <c r="A77" s="141">
        <v>16</v>
      </c>
      <c r="B77" s="149" t="s">
        <v>216</v>
      </c>
      <c r="C77" s="146">
        <v>13666419</v>
      </c>
      <c r="D77" s="146">
        <v>12705250</v>
      </c>
      <c r="E77" s="146">
        <f t="shared" si="2"/>
        <v>-961169</v>
      </c>
      <c r="F77" s="150">
        <f t="shared" si="3"/>
        <v>-7.0330713554150506E-2</v>
      </c>
    </row>
    <row r="78" spans="1:7" ht="15.75" customHeight="1" x14ac:dyDescent="0.25">
      <c r="A78" s="141"/>
      <c r="B78" s="151" t="s">
        <v>217</v>
      </c>
      <c r="C78" s="147">
        <f>SUM(C62:C77)</f>
        <v>19663369</v>
      </c>
      <c r="D78" s="147">
        <f>SUM(D62:D77)</f>
        <v>19244103</v>
      </c>
      <c r="E78" s="147">
        <f t="shared" si="2"/>
        <v>-419266</v>
      </c>
      <c r="F78" s="148">
        <f t="shared" si="3"/>
        <v>-2.13221854301773E-2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130987633</v>
      </c>
      <c r="D83" s="147">
        <f>+D81+D78+D59+D50+D47+D44+D41+D35+D30+D24+D18</f>
        <v>131894527</v>
      </c>
      <c r="E83" s="147">
        <f>+D83-C83</f>
        <v>906894</v>
      </c>
      <c r="F83" s="148">
        <f>IF(C83=0,0,E83/C83)</f>
        <v>6.9235085727520551E-3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2916623</v>
      </c>
      <c r="D91" s="146">
        <v>3076169</v>
      </c>
      <c r="E91" s="146">
        <f t="shared" ref="E91:E109" si="4">D91-C91</f>
        <v>159546</v>
      </c>
      <c r="F91" s="150">
        <f t="shared" ref="F91:F109" si="5">IF(C91=0,0,E91/C91)</f>
        <v>5.4702304685933012E-2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1225446</v>
      </c>
      <c r="D92" s="146">
        <v>1448042</v>
      </c>
      <c r="E92" s="146">
        <f t="shared" si="4"/>
        <v>222596</v>
      </c>
      <c r="F92" s="150">
        <f t="shared" si="5"/>
        <v>0.18164488684119903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2407023</v>
      </c>
      <c r="D93" s="146">
        <v>2155951</v>
      </c>
      <c r="E93" s="146">
        <f t="shared" si="4"/>
        <v>-251072</v>
      </c>
      <c r="F93" s="150">
        <f t="shared" si="5"/>
        <v>-0.10430810175058568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738694</v>
      </c>
      <c r="D94" s="146">
        <v>778767</v>
      </c>
      <c r="E94" s="146">
        <f t="shared" si="4"/>
        <v>40073</v>
      </c>
      <c r="F94" s="150">
        <f t="shared" si="5"/>
        <v>5.4248443875271765E-2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3317051</v>
      </c>
      <c r="D95" s="146">
        <v>3646517</v>
      </c>
      <c r="E95" s="146">
        <f t="shared" si="4"/>
        <v>329466</v>
      </c>
      <c r="F95" s="150">
        <f t="shared" si="5"/>
        <v>9.9324972694118968E-2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263762</v>
      </c>
      <c r="D96" s="146">
        <v>222386</v>
      </c>
      <c r="E96" s="146">
        <f t="shared" si="4"/>
        <v>-41376</v>
      </c>
      <c r="F96" s="150">
        <f t="shared" si="5"/>
        <v>-0.15686869223011654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931623</v>
      </c>
      <c r="D97" s="146">
        <v>966644</v>
      </c>
      <c r="E97" s="146">
        <f t="shared" si="4"/>
        <v>35021</v>
      </c>
      <c r="F97" s="150">
        <f t="shared" si="5"/>
        <v>3.7591386215239428E-2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939875</v>
      </c>
      <c r="D98" s="146">
        <v>1281955</v>
      </c>
      <c r="E98" s="146">
        <f t="shared" si="4"/>
        <v>342080</v>
      </c>
      <c r="F98" s="150">
        <f t="shared" si="5"/>
        <v>0.36396329299108926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729882</v>
      </c>
      <c r="D99" s="146">
        <v>670907</v>
      </c>
      <c r="E99" s="146">
        <f t="shared" si="4"/>
        <v>-58975</v>
      </c>
      <c r="F99" s="150">
        <f t="shared" si="5"/>
        <v>-8.0800732173145789E-2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1625660</v>
      </c>
      <c r="D100" s="146">
        <v>1630200</v>
      </c>
      <c r="E100" s="146">
        <f t="shared" si="4"/>
        <v>4540</v>
      </c>
      <c r="F100" s="150">
        <f t="shared" si="5"/>
        <v>2.7927118831736035E-3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1653345</v>
      </c>
      <c r="D101" s="146">
        <v>1563822</v>
      </c>
      <c r="E101" s="146">
        <f t="shared" si="4"/>
        <v>-89523</v>
      </c>
      <c r="F101" s="150">
        <f t="shared" si="5"/>
        <v>-5.4146593723633001E-2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423006</v>
      </c>
      <c r="D102" s="146">
        <v>375593</v>
      </c>
      <c r="E102" s="146">
        <f t="shared" si="4"/>
        <v>-47413</v>
      </c>
      <c r="F102" s="150">
        <f t="shared" si="5"/>
        <v>-0.11208588057852607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2599676</v>
      </c>
      <c r="D103" s="146">
        <v>2287979</v>
      </c>
      <c r="E103" s="146">
        <f t="shared" si="4"/>
        <v>-311697</v>
      </c>
      <c r="F103" s="150">
        <f t="shared" si="5"/>
        <v>-0.11989840272403177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398416</v>
      </c>
      <c r="D104" s="146">
        <v>397058</v>
      </c>
      <c r="E104" s="146">
        <f t="shared" si="4"/>
        <v>-1358</v>
      </c>
      <c r="F104" s="150">
        <f t="shared" si="5"/>
        <v>-3.408497650696759E-3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2223395</v>
      </c>
      <c r="D105" s="146">
        <v>2467271</v>
      </c>
      <c r="E105" s="146">
        <f t="shared" si="4"/>
        <v>243876</v>
      </c>
      <c r="F105" s="150">
        <f t="shared" si="5"/>
        <v>0.10968631304828877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446587</v>
      </c>
      <c r="D106" s="146">
        <v>466471</v>
      </c>
      <c r="E106" s="146">
        <f t="shared" si="4"/>
        <v>19884</v>
      </c>
      <c r="F106" s="150">
        <f t="shared" si="5"/>
        <v>4.452435919540873E-2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8301152</v>
      </c>
      <c r="D107" s="146">
        <v>7671766</v>
      </c>
      <c r="E107" s="146">
        <f t="shared" si="4"/>
        <v>-629386</v>
      </c>
      <c r="F107" s="150">
        <f t="shared" si="5"/>
        <v>-7.5819115226416767E-2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1225846</v>
      </c>
      <c r="D108" s="146">
        <v>1650244</v>
      </c>
      <c r="E108" s="146">
        <f t="shared" si="4"/>
        <v>424398</v>
      </c>
      <c r="F108" s="150">
        <f t="shared" si="5"/>
        <v>0.34620825128115601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32367062</v>
      </c>
      <c r="D109" s="147">
        <f>SUM(D91:D108)</f>
        <v>32757742</v>
      </c>
      <c r="E109" s="147">
        <f t="shared" si="4"/>
        <v>390680</v>
      </c>
      <c r="F109" s="148">
        <f t="shared" si="5"/>
        <v>1.2070295413281563E-2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1273468</v>
      </c>
      <c r="D112" s="146">
        <v>2002193</v>
      </c>
      <c r="E112" s="146">
        <f t="shared" ref="E112:E118" si="6">D112-C112</f>
        <v>728725</v>
      </c>
      <c r="F112" s="150">
        <f t="shared" ref="F112:F118" si="7">IF(C112=0,0,E112/C112)</f>
        <v>0.57223660115527053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1516629</v>
      </c>
      <c r="D114" s="146">
        <v>1674165</v>
      </c>
      <c r="E114" s="146">
        <f t="shared" si="6"/>
        <v>157536</v>
      </c>
      <c r="F114" s="150">
        <f t="shared" si="7"/>
        <v>0.10387246979979943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2091637</v>
      </c>
      <c r="D115" s="146">
        <v>1862629</v>
      </c>
      <c r="E115" s="146">
        <f t="shared" si="6"/>
        <v>-229008</v>
      </c>
      <c r="F115" s="150">
        <f t="shared" si="7"/>
        <v>-0.10948744930406185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799888</v>
      </c>
      <c r="D116" s="146">
        <v>893342</v>
      </c>
      <c r="E116" s="146">
        <f t="shared" si="6"/>
        <v>93454</v>
      </c>
      <c r="F116" s="150">
        <f t="shared" si="7"/>
        <v>0.11683385673994359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2112011</v>
      </c>
      <c r="D117" s="146">
        <v>196355</v>
      </c>
      <c r="E117" s="146">
        <f t="shared" si="6"/>
        <v>-1915656</v>
      </c>
      <c r="F117" s="150">
        <f t="shared" si="7"/>
        <v>-0.90702936679780555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7793633</v>
      </c>
      <c r="D118" s="147">
        <f>SUM(D112:D117)</f>
        <v>6628684</v>
      </c>
      <c r="E118" s="147">
        <f t="shared" si="6"/>
        <v>-1164949</v>
      </c>
      <c r="F118" s="148">
        <f t="shared" si="7"/>
        <v>-0.14947444920744921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8049433</v>
      </c>
      <c r="D121" s="146">
        <v>8202012</v>
      </c>
      <c r="E121" s="146">
        <f t="shared" ref="E121:E155" si="8">D121-C121</f>
        <v>152579</v>
      </c>
      <c r="F121" s="150">
        <f t="shared" ref="F121:F155" si="9">IF(C121=0,0,E121/C121)</f>
        <v>1.8955248152261159E-2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794646</v>
      </c>
      <c r="D122" s="146">
        <v>784741</v>
      </c>
      <c r="E122" s="146">
        <f t="shared" si="8"/>
        <v>-9905</v>
      </c>
      <c r="F122" s="150">
        <f t="shared" si="9"/>
        <v>-1.2464669802654264E-2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143028</v>
      </c>
      <c r="D123" s="146">
        <v>154701</v>
      </c>
      <c r="E123" s="146">
        <f t="shared" si="8"/>
        <v>11673</v>
      </c>
      <c r="F123" s="150">
        <f t="shared" si="9"/>
        <v>8.1613390385099419E-2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0</v>
      </c>
      <c r="D124" s="146">
        <v>0</v>
      </c>
      <c r="E124" s="146">
        <f t="shared" si="8"/>
        <v>0</v>
      </c>
      <c r="F124" s="150">
        <f t="shared" si="9"/>
        <v>0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2731104</v>
      </c>
      <c r="D125" s="146">
        <v>2769717</v>
      </c>
      <c r="E125" s="146">
        <f t="shared" si="8"/>
        <v>38613</v>
      </c>
      <c r="F125" s="150">
        <f t="shared" si="9"/>
        <v>1.4138238602411332E-2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431873</v>
      </c>
      <c r="D126" s="146">
        <v>457825</v>
      </c>
      <c r="E126" s="146">
        <f t="shared" si="8"/>
        <v>25952</v>
      </c>
      <c r="F126" s="150">
        <f t="shared" si="9"/>
        <v>6.0091739932804318E-2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4589</v>
      </c>
      <c r="D127" s="146">
        <v>4295</v>
      </c>
      <c r="E127" s="146">
        <f t="shared" si="8"/>
        <v>-294</v>
      </c>
      <c r="F127" s="150">
        <f t="shared" si="9"/>
        <v>-6.4066245369361521E-2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516774</v>
      </c>
      <c r="D128" s="146">
        <v>625172</v>
      </c>
      <c r="E128" s="146">
        <f t="shared" si="8"/>
        <v>108398</v>
      </c>
      <c r="F128" s="150">
        <f t="shared" si="9"/>
        <v>0.20975900490349747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782990</v>
      </c>
      <c r="D129" s="146">
        <v>784817</v>
      </c>
      <c r="E129" s="146">
        <f t="shared" si="8"/>
        <v>1827</v>
      </c>
      <c r="F129" s="150">
        <f t="shared" si="9"/>
        <v>2.3333631336287818E-3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4501359</v>
      </c>
      <c r="D130" s="146">
        <v>5029617</v>
      </c>
      <c r="E130" s="146">
        <f t="shared" si="8"/>
        <v>528258</v>
      </c>
      <c r="F130" s="150">
        <f t="shared" si="9"/>
        <v>0.11735522538859931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740078</v>
      </c>
      <c r="D132" s="146">
        <v>660421</v>
      </c>
      <c r="E132" s="146">
        <f t="shared" si="8"/>
        <v>-79657</v>
      </c>
      <c r="F132" s="150">
        <f t="shared" si="9"/>
        <v>-0.10763324946829929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18756</v>
      </c>
      <c r="D134" s="146">
        <v>22971</v>
      </c>
      <c r="E134" s="146">
        <f t="shared" si="8"/>
        <v>4215</v>
      </c>
      <c r="F134" s="150">
        <f t="shared" si="9"/>
        <v>0.2247280870121561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151173</v>
      </c>
      <c r="D135" s="146">
        <v>197817</v>
      </c>
      <c r="E135" s="146">
        <f t="shared" si="8"/>
        <v>46644</v>
      </c>
      <c r="F135" s="150">
        <f t="shared" si="9"/>
        <v>0.30854716119942055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961718</v>
      </c>
      <c r="D138" s="146">
        <v>917780</v>
      </c>
      <c r="E138" s="146">
        <f t="shared" si="8"/>
        <v>-43938</v>
      </c>
      <c r="F138" s="150">
        <f t="shared" si="9"/>
        <v>-4.5686989325353172E-2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219882</v>
      </c>
      <c r="D140" s="146">
        <v>195514</v>
      </c>
      <c r="E140" s="146">
        <f t="shared" si="8"/>
        <v>-24368</v>
      </c>
      <c r="F140" s="150">
        <f t="shared" si="9"/>
        <v>-0.1108230778326557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3862360</v>
      </c>
      <c r="D144" s="146">
        <v>4140507</v>
      </c>
      <c r="E144" s="146">
        <f t="shared" si="8"/>
        <v>278147</v>
      </c>
      <c r="F144" s="150">
        <f t="shared" si="9"/>
        <v>7.2014778529189402E-2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725142</v>
      </c>
      <c r="D145" s="146">
        <v>497498</v>
      </c>
      <c r="E145" s="146">
        <f t="shared" si="8"/>
        <v>-227644</v>
      </c>
      <c r="F145" s="150">
        <f t="shared" si="9"/>
        <v>-0.31393023711217943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355607</v>
      </c>
      <c r="D146" s="146">
        <v>217493</v>
      </c>
      <c r="E146" s="146">
        <f t="shared" si="8"/>
        <v>-138114</v>
      </c>
      <c r="F146" s="150">
        <f t="shared" si="9"/>
        <v>-0.38838942990436071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1167175</v>
      </c>
      <c r="D148" s="146">
        <v>1124651</v>
      </c>
      <c r="E148" s="146">
        <f t="shared" si="8"/>
        <v>-42524</v>
      </c>
      <c r="F148" s="150">
        <f t="shared" si="9"/>
        <v>-3.6433268361642429E-2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20058</v>
      </c>
      <c r="E149" s="146">
        <f t="shared" si="8"/>
        <v>20058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1480143</v>
      </c>
      <c r="D152" s="146">
        <v>1526872</v>
      </c>
      <c r="E152" s="146">
        <f t="shared" si="8"/>
        <v>46729</v>
      </c>
      <c r="F152" s="150">
        <f t="shared" si="9"/>
        <v>3.1570598246250532E-2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2423617</v>
      </c>
      <c r="D154" s="146">
        <v>2259202</v>
      </c>
      <c r="E154" s="146">
        <f t="shared" si="8"/>
        <v>-164415</v>
      </c>
      <c r="F154" s="150">
        <f t="shared" si="9"/>
        <v>-6.7838689033787106E-2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30061447</v>
      </c>
      <c r="D155" s="147">
        <f>SUM(D121:D154)</f>
        <v>30593681</v>
      </c>
      <c r="E155" s="147">
        <f t="shared" si="8"/>
        <v>532234</v>
      </c>
      <c r="F155" s="148">
        <f t="shared" si="9"/>
        <v>1.7704869629196492E-2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7539260</v>
      </c>
      <c r="D158" s="146">
        <v>7647962</v>
      </c>
      <c r="E158" s="146">
        <f t="shared" ref="E158:E171" si="10">D158-C158</f>
        <v>108702</v>
      </c>
      <c r="F158" s="150">
        <f t="shared" ref="F158:F171" si="11">IF(C158=0,0,E158/C158)</f>
        <v>1.4418125916867173E-2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2707125</v>
      </c>
      <c r="D159" s="146">
        <v>2775574</v>
      </c>
      <c r="E159" s="146">
        <f t="shared" si="10"/>
        <v>68449</v>
      </c>
      <c r="F159" s="150">
        <f t="shared" si="11"/>
        <v>2.5284757815025163E-2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2087439</v>
      </c>
      <c r="D161" s="146">
        <v>2264898</v>
      </c>
      <c r="E161" s="146">
        <f t="shared" si="10"/>
        <v>177459</v>
      </c>
      <c r="F161" s="150">
        <f t="shared" si="11"/>
        <v>8.5012783607089831E-2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167515</v>
      </c>
      <c r="D162" s="146">
        <v>127658</v>
      </c>
      <c r="E162" s="146">
        <f t="shared" si="10"/>
        <v>-39857</v>
      </c>
      <c r="F162" s="150">
        <f t="shared" si="11"/>
        <v>-0.23793093155836792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2474305</v>
      </c>
      <c r="D163" s="146">
        <v>2625041</v>
      </c>
      <c r="E163" s="146">
        <f t="shared" si="10"/>
        <v>150736</v>
      </c>
      <c r="F163" s="150">
        <f t="shared" si="11"/>
        <v>6.092054132372525E-2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862262</v>
      </c>
      <c r="D167" s="146">
        <v>833397</v>
      </c>
      <c r="E167" s="146">
        <f t="shared" si="10"/>
        <v>-28865</v>
      </c>
      <c r="F167" s="150">
        <f t="shared" si="11"/>
        <v>-3.34759040755594E-2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2691484</v>
      </c>
      <c r="D168" s="146">
        <v>2950798</v>
      </c>
      <c r="E168" s="146">
        <f t="shared" si="10"/>
        <v>259314</v>
      </c>
      <c r="F168" s="150">
        <f t="shared" si="11"/>
        <v>9.6346104974058919E-2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2672923</v>
      </c>
      <c r="D169" s="146">
        <v>2866639</v>
      </c>
      <c r="E169" s="146">
        <f t="shared" si="10"/>
        <v>193716</v>
      </c>
      <c r="F169" s="150">
        <f t="shared" si="11"/>
        <v>7.2473468184455742E-2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674989</v>
      </c>
      <c r="D170" s="146">
        <v>209340</v>
      </c>
      <c r="E170" s="146">
        <f t="shared" si="10"/>
        <v>-465649</v>
      </c>
      <c r="F170" s="150">
        <f t="shared" si="11"/>
        <v>-0.68986161255961209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21877302</v>
      </c>
      <c r="D171" s="147">
        <f>SUM(D158:D170)</f>
        <v>22301307</v>
      </c>
      <c r="E171" s="147">
        <f t="shared" si="10"/>
        <v>424005</v>
      </c>
      <c r="F171" s="148">
        <f t="shared" si="11"/>
        <v>1.9381046163736277E-2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38888189</v>
      </c>
      <c r="D174" s="146">
        <v>39613113</v>
      </c>
      <c r="E174" s="146">
        <f>D174-C174</f>
        <v>724924</v>
      </c>
      <c r="F174" s="150">
        <f>IF(C174=0,0,E174/C174)</f>
        <v>1.8641238346172408E-2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130987633</v>
      </c>
      <c r="D176" s="147">
        <f>+D174+D171+D155+D118+D109</f>
        <v>131894527</v>
      </c>
      <c r="E176" s="147">
        <f>D176-C176</f>
        <v>906894</v>
      </c>
      <c r="F176" s="148">
        <f>IF(C176=0,0,E176/C176)</f>
        <v>6.9235085727520551E-3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FILING&amp;RBRISTOL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124989832</v>
      </c>
      <c r="D11" s="164">
        <v>127394892</v>
      </c>
      <c r="E11" s="51">
        <v>125941019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4717358</v>
      </c>
      <c r="D12" s="49">
        <v>4807086</v>
      </c>
      <c r="E12" s="49">
        <v>6100777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129707190</v>
      </c>
      <c r="D13" s="51">
        <f>+D11+D12</f>
        <v>132201978</v>
      </c>
      <c r="E13" s="51">
        <f>+E11+E12</f>
        <v>132041796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129657399</v>
      </c>
      <c r="D14" s="49">
        <v>130987633</v>
      </c>
      <c r="E14" s="49">
        <v>131894527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49791</v>
      </c>
      <c r="D15" s="51">
        <f>+D13-D14</f>
        <v>1214345</v>
      </c>
      <c r="E15" s="51">
        <f>+E13-E14</f>
        <v>147269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323607</v>
      </c>
      <c r="D16" s="49">
        <v>571472</v>
      </c>
      <c r="E16" s="49">
        <v>2043267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373398</v>
      </c>
      <c r="D17" s="51">
        <f>D15+D16</f>
        <v>1785817</v>
      </c>
      <c r="E17" s="51">
        <f>E15+E16</f>
        <v>2190536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3.8291697927530198E-4</v>
      </c>
      <c r="D20" s="169">
        <f>IF(+D27=0,0,+D24/+D27)</f>
        <v>9.14599266645553E-3</v>
      </c>
      <c r="E20" s="169">
        <f>IF(+E27=0,0,+E24/+E27)</f>
        <v>1.0983251728792491E-3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2.4886950435288034E-3</v>
      </c>
      <c r="D21" s="169">
        <f>IF(D27=0,0,+D26/D27)</f>
        <v>4.3041135106453889E-3</v>
      </c>
      <c r="E21" s="169">
        <f>IF(E27=0,0,+E26/E27)</f>
        <v>1.5238587761263162E-2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2.8716120228041053E-3</v>
      </c>
      <c r="D22" s="169">
        <f>IF(D27=0,0,+D28/D27)</f>
        <v>1.3450106177100919E-2</v>
      </c>
      <c r="E22" s="169">
        <f>IF(E27=0,0,+E28/E27)</f>
        <v>1.6336912934142411E-2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49791</v>
      </c>
      <c r="D24" s="51">
        <f>+D15</f>
        <v>1214345</v>
      </c>
      <c r="E24" s="51">
        <f>+E15</f>
        <v>147269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129707190</v>
      </c>
      <c r="D25" s="51">
        <f>+D13</f>
        <v>132201978</v>
      </c>
      <c r="E25" s="51">
        <f>+E13</f>
        <v>132041796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323607</v>
      </c>
      <c r="D26" s="51">
        <f>+D16</f>
        <v>571472</v>
      </c>
      <c r="E26" s="51">
        <f>+E16</f>
        <v>2043267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130030797</v>
      </c>
      <c r="D27" s="51">
        <f>+D25+D26</f>
        <v>132773450</v>
      </c>
      <c r="E27" s="51">
        <f>+E25+E26</f>
        <v>134085063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373398</v>
      </c>
      <c r="D28" s="51">
        <f>+D17</f>
        <v>1785817</v>
      </c>
      <c r="E28" s="51">
        <f>+E17</f>
        <v>2190536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-255398</v>
      </c>
      <c r="D31" s="51">
        <v>755592</v>
      </c>
      <c r="E31" s="51">
        <v>427122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7239260</v>
      </c>
      <c r="D32" s="51">
        <v>8220533</v>
      </c>
      <c r="E32" s="51">
        <v>8015688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-19185179</v>
      </c>
      <c r="D33" s="51">
        <f>+D32-C32</f>
        <v>981273</v>
      </c>
      <c r="E33" s="51">
        <f>+E32-D32</f>
        <v>-204845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0.27389999999999998</v>
      </c>
      <c r="D34" s="171">
        <f>IF(C32=0,0,+D33/C32)</f>
        <v>0.13554879918665719</v>
      </c>
      <c r="E34" s="171">
        <f>IF(D32=0,0,+E33/D32)</f>
        <v>-2.4918700527082612E-2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0.35700088820827358</v>
      </c>
      <c r="D38" s="172">
        <f>IF((D40+D41)=0,0,+D39/(D40+D41))</f>
        <v>0.35794415721571854</v>
      </c>
      <c r="E38" s="172">
        <f>IF((E40+E41)=0,0,+E39/(E40+E41))</f>
        <v>0.37561135919576399</v>
      </c>
      <c r="F38" s="5"/>
    </row>
    <row r="39" spans="1:6" ht="24" customHeight="1" x14ac:dyDescent="0.2">
      <c r="A39" s="21">
        <v>2</v>
      </c>
      <c r="B39" s="48" t="s">
        <v>324</v>
      </c>
      <c r="C39" s="51">
        <v>129657399</v>
      </c>
      <c r="D39" s="51">
        <v>130987633</v>
      </c>
      <c r="E39" s="23">
        <v>131894527</v>
      </c>
      <c r="F39" s="5"/>
    </row>
    <row r="40" spans="1:6" ht="24" customHeight="1" x14ac:dyDescent="0.2">
      <c r="A40" s="21">
        <v>3</v>
      </c>
      <c r="B40" s="48" t="s">
        <v>325</v>
      </c>
      <c r="C40" s="51">
        <v>359092081</v>
      </c>
      <c r="D40" s="51">
        <v>361761243</v>
      </c>
      <c r="E40" s="23">
        <v>345045491</v>
      </c>
      <c r="F40" s="5"/>
    </row>
    <row r="41" spans="1:6" ht="24" customHeight="1" x14ac:dyDescent="0.2">
      <c r="A41" s="21">
        <v>4</v>
      </c>
      <c r="B41" s="48" t="s">
        <v>326</v>
      </c>
      <c r="C41" s="51">
        <v>4093007</v>
      </c>
      <c r="D41" s="51">
        <v>4183082</v>
      </c>
      <c r="E41" s="23">
        <v>6100777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1.1786388392205744</v>
      </c>
      <c r="D43" s="173">
        <f>IF(D38=0,0,IF((D46-D47)=0,0,((+D44-D45)/(D46-D47)/D38)))</f>
        <v>1.162906341578507</v>
      </c>
      <c r="E43" s="173">
        <f>IF(E38=0,0,IF((E46-E47)=0,0,((+E44-E45)/(E46-E47)/E38)))</f>
        <v>1.073676742829031</v>
      </c>
      <c r="F43" s="5"/>
    </row>
    <row r="44" spans="1:6" ht="24" customHeight="1" x14ac:dyDescent="0.2">
      <c r="A44" s="21">
        <v>6</v>
      </c>
      <c r="B44" s="48" t="s">
        <v>328</v>
      </c>
      <c r="C44" s="51">
        <v>60660353</v>
      </c>
      <c r="D44" s="51">
        <v>55032662</v>
      </c>
      <c r="E44" s="23">
        <v>50073303</v>
      </c>
      <c r="F44" s="5"/>
    </row>
    <row r="45" spans="1:6" ht="24" customHeight="1" x14ac:dyDescent="0.2">
      <c r="A45" s="21">
        <v>7</v>
      </c>
      <c r="B45" s="48" t="s">
        <v>329</v>
      </c>
      <c r="C45" s="51">
        <v>291719</v>
      </c>
      <c r="D45" s="51">
        <v>407450</v>
      </c>
      <c r="E45" s="23">
        <v>288037</v>
      </c>
      <c r="F45" s="5"/>
    </row>
    <row r="46" spans="1:6" ht="24" customHeight="1" x14ac:dyDescent="0.2">
      <c r="A46" s="21">
        <v>8</v>
      </c>
      <c r="B46" s="48" t="s">
        <v>330</v>
      </c>
      <c r="C46" s="51">
        <v>149913369</v>
      </c>
      <c r="D46" s="51">
        <v>137745436</v>
      </c>
      <c r="E46" s="23">
        <v>129411845</v>
      </c>
      <c r="F46" s="5"/>
    </row>
    <row r="47" spans="1:6" ht="24" customHeight="1" x14ac:dyDescent="0.2">
      <c r="A47" s="21">
        <v>9</v>
      </c>
      <c r="B47" s="48" t="s">
        <v>331</v>
      </c>
      <c r="C47" s="51">
        <v>6443301</v>
      </c>
      <c r="D47" s="51">
        <v>6515439</v>
      </c>
      <c r="E47" s="174">
        <v>5962563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0.81428696034704595</v>
      </c>
      <c r="D49" s="175">
        <f>IF(D38=0,0,IF(D51=0,0,(D50/D51)/D38))</f>
        <v>0.85020578514564438</v>
      </c>
      <c r="E49" s="175">
        <f>IF(E38=0,0,IF(E51=0,0,(E50/E51)/E38))</f>
        <v>0.84960788712379798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45920967</v>
      </c>
      <c r="D50" s="176">
        <v>49143622</v>
      </c>
      <c r="E50" s="176">
        <v>47069698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157966228</v>
      </c>
      <c r="D51" s="176">
        <v>161483379</v>
      </c>
      <c r="E51" s="176">
        <v>147497330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0.74564884132702125</v>
      </c>
      <c r="D53" s="175">
        <f>IF(D38=0,0,IF(D55=0,0,(D54/D55)/D38))</f>
        <v>0.71254534803892755</v>
      </c>
      <c r="E53" s="175">
        <f>IF(E38=0,0,IF(E55=0,0,(E54/E55)/E38))</f>
        <v>0.72370918543653406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9867439</v>
      </c>
      <c r="D54" s="176">
        <v>12487258</v>
      </c>
      <c r="E54" s="176">
        <v>18244907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37068141</v>
      </c>
      <c r="D55" s="176">
        <v>48959762</v>
      </c>
      <c r="E55" s="176">
        <v>67117976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3471915.3910288601</v>
      </c>
      <c r="D57" s="53">
        <f>+D60*D38</f>
        <v>4010209.826102599</v>
      </c>
      <c r="E57" s="53">
        <f>+E60*E38</f>
        <v>3782697.4859047201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558883</v>
      </c>
      <c r="D58" s="51">
        <v>259103</v>
      </c>
      <c r="E58" s="52">
        <v>223751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9166346</v>
      </c>
      <c r="D59" s="51">
        <v>10944348</v>
      </c>
      <c r="E59" s="52">
        <v>9847024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9725229</v>
      </c>
      <c r="D60" s="51">
        <v>11203451</v>
      </c>
      <c r="E60" s="52">
        <v>10070775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2.6777610979446382E-2</v>
      </c>
      <c r="D62" s="178">
        <f>IF(D63=0,0,+D57/D63)</f>
        <v>3.0615178961991008E-2</v>
      </c>
      <c r="E62" s="178">
        <f>IF(E63=0,0,+E57/E63)</f>
        <v>2.8679715314530983E-2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129657399</v>
      </c>
      <c r="D63" s="176">
        <v>130987633</v>
      </c>
      <c r="E63" s="176">
        <v>131894527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1.2528575910467785</v>
      </c>
      <c r="D67" s="179">
        <f>IF(D69=0,0,D68/D69)</f>
        <v>1.3736187548958319</v>
      </c>
      <c r="E67" s="179">
        <f>IF(E69=0,0,E68/E69)</f>
        <v>1.1885794800870639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29039941</v>
      </c>
      <c r="D68" s="180">
        <v>29386098</v>
      </c>
      <c r="E68" s="180">
        <v>32740835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23178964</v>
      </c>
      <c r="D69" s="180">
        <v>21393198</v>
      </c>
      <c r="E69" s="180">
        <v>27546189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20.105063218910558</v>
      </c>
      <c r="D71" s="181">
        <f>IF((D77/365)=0,0,+D74/(D77/365))</f>
        <v>24.332681587563567</v>
      </c>
      <c r="E71" s="181">
        <f>IF((E77/365)=0,0,+E74/(E77/365))</f>
        <v>12.638835104343295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6746197</v>
      </c>
      <c r="D72" s="182">
        <v>8286702</v>
      </c>
      <c r="E72" s="182">
        <v>4272881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96062</v>
      </c>
      <c r="D73" s="184">
        <v>96165</v>
      </c>
      <c r="E73" s="184">
        <v>96343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6842259</v>
      </c>
      <c r="D74" s="180">
        <f>+D72+D73</f>
        <v>8382867</v>
      </c>
      <c r="E74" s="180">
        <f>+E72+E73</f>
        <v>4369224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129657399</v>
      </c>
      <c r="D75" s="180">
        <f>+D14</f>
        <v>130987633</v>
      </c>
      <c r="E75" s="180">
        <f>+E14</f>
        <v>131894527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5438713</v>
      </c>
      <c r="D76" s="180">
        <v>5241260</v>
      </c>
      <c r="E76" s="180">
        <v>5714642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124218686</v>
      </c>
      <c r="D77" s="180">
        <f>+D75-D76</f>
        <v>125746373</v>
      </c>
      <c r="E77" s="180">
        <f>+E75-E76</f>
        <v>126179885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45.194548225330848</v>
      </c>
      <c r="D79" s="179">
        <f>IF((D84/365)=0,0,+D83/(D84/365))</f>
        <v>43.422427486339089</v>
      </c>
      <c r="E79" s="179">
        <f>IF((E84/365)=0,0,+E83/(E84/365))</f>
        <v>66.101057908702487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16448223</v>
      </c>
      <c r="D80" s="189">
        <v>15483112</v>
      </c>
      <c r="E80" s="189">
        <v>20427829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2379937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971897</v>
      </c>
      <c r="D82" s="190">
        <v>327508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15476326</v>
      </c>
      <c r="D83" s="191">
        <f>+D80+D81-D82</f>
        <v>15155604</v>
      </c>
      <c r="E83" s="191">
        <f>+E80+E81-E82</f>
        <v>22807766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124989832</v>
      </c>
      <c r="D84" s="191">
        <f>+D11</f>
        <v>127394892</v>
      </c>
      <c r="E84" s="191">
        <f>+E11</f>
        <v>125941019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68.10828654233228</v>
      </c>
      <c r="D86" s="179">
        <f>IF((D90/365)=0,0,+D87/(D90/365))</f>
        <v>62.09735584182615</v>
      </c>
      <c r="E86" s="179">
        <f>IF((E90/365)=0,0,+E87/(E90/365))</f>
        <v>79.682740121375133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23178964</v>
      </c>
      <c r="D87" s="51">
        <f>+D69</f>
        <v>21393198</v>
      </c>
      <c r="E87" s="51">
        <f>+E69</f>
        <v>27546189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129657399</v>
      </c>
      <c r="D88" s="51">
        <f t="shared" si="0"/>
        <v>130987633</v>
      </c>
      <c r="E88" s="51">
        <f t="shared" si="0"/>
        <v>131894527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5438713</v>
      </c>
      <c r="D89" s="52">
        <f t="shared" si="0"/>
        <v>5241260</v>
      </c>
      <c r="E89" s="52">
        <f t="shared" si="0"/>
        <v>5714642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124218686</v>
      </c>
      <c r="D90" s="51">
        <f>+D88-D89</f>
        <v>125746373</v>
      </c>
      <c r="E90" s="51">
        <f>+E88-E89</f>
        <v>126179885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7.6663709270054792</v>
      </c>
      <c r="D94" s="192">
        <f>IF(D96=0,0,(D95/D96)*100)</f>
        <v>8.4187276977067356</v>
      </c>
      <c r="E94" s="192">
        <f>IF(E96=0,0,(E95/E96)*100)</f>
        <v>7.7727325130201974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7239260</v>
      </c>
      <c r="D95" s="51">
        <f>+D32</f>
        <v>8220533</v>
      </c>
      <c r="E95" s="51">
        <f>+E32</f>
        <v>8015688</v>
      </c>
      <c r="F95" s="28"/>
    </row>
    <row r="96" spans="1:6" ht="24" customHeight="1" x14ac:dyDescent="0.25">
      <c r="A96" s="21">
        <v>3</v>
      </c>
      <c r="B96" s="48" t="s">
        <v>43</v>
      </c>
      <c r="C96" s="51">
        <v>94428773</v>
      </c>
      <c r="D96" s="51">
        <v>97645788</v>
      </c>
      <c r="E96" s="51">
        <v>103125741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11.499772155717158</v>
      </c>
      <c r="D98" s="192">
        <f>IF(D104=0,0,(D101/D104)*100)</f>
        <v>14.415680231508324</v>
      </c>
      <c r="E98" s="192">
        <f>IF(E104=0,0,(E101/E104)*100)</f>
        <v>14.613175404418611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373398</v>
      </c>
      <c r="D99" s="51">
        <f>+D28</f>
        <v>1785817</v>
      </c>
      <c r="E99" s="51">
        <f>+E28</f>
        <v>2190536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5438713</v>
      </c>
      <c r="D100" s="52">
        <f>+D76</f>
        <v>5241260</v>
      </c>
      <c r="E100" s="52">
        <f>+E76</f>
        <v>5714642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5812111</v>
      </c>
      <c r="D101" s="51">
        <f>+D99+D100</f>
        <v>7027077</v>
      </c>
      <c r="E101" s="51">
        <f>+E99+E100</f>
        <v>7905178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23178964</v>
      </c>
      <c r="D102" s="180">
        <f>+D69</f>
        <v>21393198</v>
      </c>
      <c r="E102" s="180">
        <f>+E69</f>
        <v>27546189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27362133</v>
      </c>
      <c r="D103" s="194">
        <v>27352868</v>
      </c>
      <c r="E103" s="194">
        <v>26550048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50541097</v>
      </c>
      <c r="D104" s="180">
        <f>+D102+D103</f>
        <v>48746066</v>
      </c>
      <c r="E104" s="180">
        <f>+E102+E103</f>
        <v>54096237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79.078125554078127</v>
      </c>
      <c r="D106" s="197">
        <f>IF(D109=0,0,(D107/D109)*100)</f>
        <v>76.891349241530207</v>
      </c>
      <c r="E106" s="197">
        <f>IF(E109=0,0,(E107/E109)*100)</f>
        <v>76.810307178183621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27362133</v>
      </c>
      <c r="D107" s="180">
        <f>+D103</f>
        <v>27352868</v>
      </c>
      <c r="E107" s="180">
        <f>+E103</f>
        <v>26550048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7239260</v>
      </c>
      <c r="D108" s="180">
        <f>+D32</f>
        <v>8220533</v>
      </c>
      <c r="E108" s="180">
        <f>+E32</f>
        <v>8015688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34601393</v>
      </c>
      <c r="D109" s="180">
        <f>+D107+D108</f>
        <v>35573401</v>
      </c>
      <c r="E109" s="180">
        <f>+E107+E108</f>
        <v>34565736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2.386571126136857</v>
      </c>
      <c r="D111" s="197">
        <f>IF((+D113+D115)=0,0,((+D112+D113+D114)/(+D113+D115)))</f>
        <v>4.6727003542945083</v>
      </c>
      <c r="E111" s="197">
        <f>IF((+E113+E115)=0,0,((+E112+E113+E114)/(+E113+E115)))</f>
        <v>3.712481420501093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373398</v>
      </c>
      <c r="D112" s="180">
        <f>+D17</f>
        <v>1785817</v>
      </c>
      <c r="E112" s="180">
        <f>+E17</f>
        <v>2190536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1891953</v>
      </c>
      <c r="D113" s="180">
        <v>1693322</v>
      </c>
      <c r="E113" s="180">
        <v>1833355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5438713</v>
      </c>
      <c r="D114" s="180">
        <v>5241260</v>
      </c>
      <c r="E114" s="180">
        <v>5714642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1336136</v>
      </c>
      <c r="D115" s="180">
        <v>172922</v>
      </c>
      <c r="E115" s="180">
        <v>789832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16.241675190435679</v>
      </c>
      <c r="D119" s="197">
        <f>IF(+D121=0,0,(+D120)/(+D121))</f>
        <v>17.842842751552109</v>
      </c>
      <c r="E119" s="197">
        <f>IF(+E121=0,0,(+E120)/(+E121))</f>
        <v>17.356421627111551</v>
      </c>
    </row>
    <row r="120" spans="1:8" ht="24" customHeight="1" x14ac:dyDescent="0.25">
      <c r="A120" s="17">
        <v>21</v>
      </c>
      <c r="B120" s="48" t="s">
        <v>369</v>
      </c>
      <c r="C120" s="180">
        <v>88333810</v>
      </c>
      <c r="D120" s="180">
        <v>93518978</v>
      </c>
      <c r="E120" s="180">
        <v>99185736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5438713</v>
      </c>
      <c r="D121" s="180">
        <v>5241260</v>
      </c>
      <c r="E121" s="180">
        <v>5714642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33658</v>
      </c>
      <c r="D124" s="198">
        <v>30673</v>
      </c>
      <c r="E124" s="198">
        <v>28670</v>
      </c>
    </row>
    <row r="125" spans="1:8" ht="24" customHeight="1" x14ac:dyDescent="0.2">
      <c r="A125" s="44">
        <v>2</v>
      </c>
      <c r="B125" s="48" t="s">
        <v>373</v>
      </c>
      <c r="C125" s="198">
        <v>7846</v>
      </c>
      <c r="D125" s="198">
        <v>7617</v>
      </c>
      <c r="E125" s="198">
        <v>7316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4.289829212337497</v>
      </c>
      <c r="D126" s="199">
        <f>IF(D125=0,0,D124/D125)</f>
        <v>4.0269134829985562</v>
      </c>
      <c r="E126" s="199">
        <f>IF(E125=0,0,E124/E125)</f>
        <v>3.9188080918534718</v>
      </c>
    </row>
    <row r="127" spans="1:8" ht="24" customHeight="1" x14ac:dyDescent="0.2">
      <c r="A127" s="44">
        <v>4</v>
      </c>
      <c r="B127" s="48" t="s">
        <v>375</v>
      </c>
      <c r="C127" s="198">
        <v>132</v>
      </c>
      <c r="D127" s="198">
        <v>132</v>
      </c>
      <c r="E127" s="198">
        <v>132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154</v>
      </c>
      <c r="E128" s="198">
        <v>154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154</v>
      </c>
      <c r="D129" s="198">
        <v>154</v>
      </c>
      <c r="E129" s="198">
        <v>154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0.69850000000000001</v>
      </c>
      <c r="D130" s="171">
        <v>0.63660000000000005</v>
      </c>
      <c r="E130" s="171">
        <v>0.59499999999999997</v>
      </c>
    </row>
    <row r="131" spans="1:8" ht="24" customHeight="1" x14ac:dyDescent="0.2">
      <c r="A131" s="44">
        <v>7</v>
      </c>
      <c r="B131" s="48" t="s">
        <v>379</v>
      </c>
      <c r="C131" s="171">
        <v>0.59870000000000001</v>
      </c>
      <c r="D131" s="171">
        <v>0.54559999999999997</v>
      </c>
      <c r="E131" s="171">
        <v>0.51</v>
      </c>
    </row>
    <row r="132" spans="1:8" ht="24" customHeight="1" x14ac:dyDescent="0.2">
      <c r="A132" s="44">
        <v>8</v>
      </c>
      <c r="B132" s="48" t="s">
        <v>380</v>
      </c>
      <c r="C132" s="199">
        <v>899.4</v>
      </c>
      <c r="D132" s="199">
        <v>873.3</v>
      </c>
      <c r="E132" s="199">
        <v>860.8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0.3995355943257351</v>
      </c>
      <c r="D135" s="203">
        <f>IF(D149=0,0,D143/D149)</f>
        <v>0.36275305754629994</v>
      </c>
      <c r="E135" s="203">
        <f>IF(E149=0,0,E143/E149)</f>
        <v>0.35777683007021238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0.43990451574452849</v>
      </c>
      <c r="D136" s="203">
        <f>IF(D149=0,0,D144/D149)</f>
        <v>0.44638109284691946</v>
      </c>
      <c r="E136" s="203">
        <f>IF(E149=0,0,E144/E149)</f>
        <v>0.42747212714627242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0.1032273975431945</v>
      </c>
      <c r="D137" s="203">
        <f>IF(D149=0,0,D145/D149)</f>
        <v>0.13533722295398018</v>
      </c>
      <c r="E137" s="203">
        <f>IF(E149=0,0,E145/E149)</f>
        <v>0.19451920906278414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3.7644102210095801E-2</v>
      </c>
      <c r="D138" s="203">
        <f>IF(D149=0,0,D146/D149)</f>
        <v>3.4038701597451114E-2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1.794331131462629E-2</v>
      </c>
      <c r="D139" s="203">
        <f>IF(D149=0,0,D147/D149)</f>
        <v>1.8010328983749095E-2</v>
      </c>
      <c r="E139" s="203">
        <f>IF(E149=0,0,E147/E149)</f>
        <v>1.7280512731001025E-2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1.7450788618198461E-3</v>
      </c>
      <c r="D140" s="203">
        <f>IF(D149=0,0,D148/D149)</f>
        <v>3.4795960716001851E-3</v>
      </c>
      <c r="E140" s="203">
        <f>IF(E149=0,0,E148/E149)</f>
        <v>2.9513209897300179E-3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143470068</v>
      </c>
      <c r="D143" s="205">
        <f>+D46-D147</f>
        <v>131229997</v>
      </c>
      <c r="E143" s="205">
        <f>+E46-E147</f>
        <v>123449282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157966228</v>
      </c>
      <c r="D144" s="205">
        <f>+D51</f>
        <v>161483379</v>
      </c>
      <c r="E144" s="205">
        <f>+E51</f>
        <v>147497330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37068141</v>
      </c>
      <c r="D145" s="205">
        <f>+D55</f>
        <v>48959762</v>
      </c>
      <c r="E145" s="205">
        <f>+E55</f>
        <v>67117976</v>
      </c>
    </row>
    <row r="146" spans="1:7" ht="20.100000000000001" customHeight="1" x14ac:dyDescent="0.2">
      <c r="A146" s="202">
        <v>11</v>
      </c>
      <c r="B146" s="201" t="s">
        <v>392</v>
      </c>
      <c r="C146" s="204">
        <v>13517699</v>
      </c>
      <c r="D146" s="205">
        <v>12313883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6443301</v>
      </c>
      <c r="D147" s="205">
        <f>+D47</f>
        <v>6515439</v>
      </c>
      <c r="E147" s="205">
        <f>+E47</f>
        <v>5962563</v>
      </c>
    </row>
    <row r="148" spans="1:7" ht="20.100000000000001" customHeight="1" x14ac:dyDescent="0.2">
      <c r="A148" s="202">
        <v>13</v>
      </c>
      <c r="B148" s="201" t="s">
        <v>394</v>
      </c>
      <c r="C148" s="206">
        <v>626644</v>
      </c>
      <c r="D148" s="205">
        <v>1258783</v>
      </c>
      <c r="E148" s="205">
        <v>1018340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359092081</v>
      </c>
      <c r="D149" s="205">
        <f>SUM(D143:D148)</f>
        <v>361761243</v>
      </c>
      <c r="E149" s="205">
        <f>SUM(E143:E148)</f>
        <v>345045491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0.5096702342926962</v>
      </c>
      <c r="D152" s="203">
        <f>IF(D166=0,0,D160/D166)</f>
        <v>0.45908594070584141</v>
      </c>
      <c r="E152" s="203">
        <f>IF(E166=0,0,E160/E166)</f>
        <v>0.43042318383049877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0.38769388106143282</v>
      </c>
      <c r="D153" s="203">
        <f>IF(D166=0,0,D161/D166)</f>
        <v>0.41301708697372713</v>
      </c>
      <c r="E153" s="203">
        <f>IF(E166=0,0,E161/E166)</f>
        <v>0.40694548614242737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8.3307168205907861E-2</v>
      </c>
      <c r="D154" s="203">
        <f>IF(D166=0,0,D162/D166)</f>
        <v>0.10494649587385663</v>
      </c>
      <c r="E154" s="203">
        <f>IF(E166=0,0,E162/E166)</f>
        <v>0.15773805365690632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1.5422158085976703E-2</v>
      </c>
      <c r="D155" s="203">
        <f>IF(D166=0,0,D163/D166)</f>
        <v>1.7091629701952563E-2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2.4628765175907581E-3</v>
      </c>
      <c r="D156" s="203">
        <f>IF(D166=0,0,D164/D166)</f>
        <v>3.4243266010682959E-3</v>
      </c>
      <c r="E156" s="203">
        <f>IF(E166=0,0,E164/E166)</f>
        <v>2.4902508826805379E-3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1.4436818363956481E-3</v>
      </c>
      <c r="D157" s="203">
        <f>IF(D166=0,0,D165/D166)</f>
        <v>2.4345201435539568E-3</v>
      </c>
      <c r="E157" s="203">
        <f>IF(E166=0,0,E165/E166)</f>
        <v>2.4030254874869901E-3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0.99999999999999989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60368634</v>
      </c>
      <c r="D160" s="208">
        <f>+D44-D164</f>
        <v>54625212</v>
      </c>
      <c r="E160" s="208">
        <f>+E44-E164</f>
        <v>49785266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45920967</v>
      </c>
      <c r="D161" s="208">
        <f>+D50</f>
        <v>49143622</v>
      </c>
      <c r="E161" s="208">
        <f>+E50</f>
        <v>47069698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9867439</v>
      </c>
      <c r="D162" s="208">
        <f>+D54</f>
        <v>12487258</v>
      </c>
      <c r="E162" s="208">
        <f>+E54</f>
        <v>18244907</v>
      </c>
    </row>
    <row r="163" spans="1:6" ht="20.100000000000001" customHeight="1" x14ac:dyDescent="0.2">
      <c r="A163" s="202">
        <v>11</v>
      </c>
      <c r="B163" s="201" t="s">
        <v>408</v>
      </c>
      <c r="C163" s="207">
        <v>1826700</v>
      </c>
      <c r="D163" s="208">
        <v>2033680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291719</v>
      </c>
      <c r="D164" s="208">
        <f>+D45</f>
        <v>407450</v>
      </c>
      <c r="E164" s="208">
        <f>+E45</f>
        <v>288037</v>
      </c>
    </row>
    <row r="165" spans="1:6" ht="20.100000000000001" customHeight="1" x14ac:dyDescent="0.2">
      <c r="A165" s="202">
        <v>13</v>
      </c>
      <c r="B165" s="201" t="s">
        <v>410</v>
      </c>
      <c r="C165" s="209">
        <v>170999</v>
      </c>
      <c r="D165" s="208">
        <v>289676</v>
      </c>
      <c r="E165" s="208">
        <v>277948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118446458</v>
      </c>
      <c r="D166" s="208">
        <f>SUM(D160:D165)</f>
        <v>118986898</v>
      </c>
      <c r="E166" s="208">
        <f>SUM(E160:E165)</f>
        <v>115665856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2731</v>
      </c>
      <c r="D169" s="198">
        <v>2486</v>
      </c>
      <c r="E169" s="198">
        <v>2320</v>
      </c>
    </row>
    <row r="170" spans="1:6" ht="20.100000000000001" customHeight="1" x14ac:dyDescent="0.2">
      <c r="A170" s="202">
        <v>2</v>
      </c>
      <c r="B170" s="201" t="s">
        <v>414</v>
      </c>
      <c r="C170" s="198">
        <v>3597</v>
      </c>
      <c r="D170" s="198">
        <v>3426</v>
      </c>
      <c r="E170" s="198">
        <v>3378</v>
      </c>
    </row>
    <row r="171" spans="1:6" ht="20.100000000000001" customHeight="1" x14ac:dyDescent="0.2">
      <c r="A171" s="202">
        <v>3</v>
      </c>
      <c r="B171" s="201" t="s">
        <v>415</v>
      </c>
      <c r="C171" s="198">
        <v>1507</v>
      </c>
      <c r="D171" s="198">
        <v>1685</v>
      </c>
      <c r="E171" s="198">
        <v>1593</v>
      </c>
    </row>
    <row r="172" spans="1:6" ht="20.100000000000001" customHeight="1" x14ac:dyDescent="0.2">
      <c r="A172" s="202">
        <v>4</v>
      </c>
      <c r="B172" s="201" t="s">
        <v>416</v>
      </c>
      <c r="C172" s="198">
        <v>1084</v>
      </c>
      <c r="D172" s="198">
        <v>1325</v>
      </c>
      <c r="E172" s="198">
        <v>1593</v>
      </c>
    </row>
    <row r="173" spans="1:6" ht="20.100000000000001" customHeight="1" x14ac:dyDescent="0.2">
      <c r="A173" s="202">
        <v>5</v>
      </c>
      <c r="B173" s="201" t="s">
        <v>417</v>
      </c>
      <c r="C173" s="198">
        <v>423</v>
      </c>
      <c r="D173" s="198">
        <v>360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11</v>
      </c>
      <c r="D174" s="198">
        <v>20</v>
      </c>
      <c r="E174" s="198">
        <v>25</v>
      </c>
    </row>
    <row r="175" spans="1:6" ht="20.100000000000001" customHeight="1" x14ac:dyDescent="0.2">
      <c r="A175" s="202">
        <v>7</v>
      </c>
      <c r="B175" s="201" t="s">
        <v>419</v>
      </c>
      <c r="C175" s="198">
        <v>43</v>
      </c>
      <c r="D175" s="198">
        <v>64</v>
      </c>
      <c r="E175" s="198">
        <v>38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7846</v>
      </c>
      <c r="D176" s="198">
        <f>+D169+D170+D171+D174</f>
        <v>7617</v>
      </c>
      <c r="E176" s="198">
        <f>+E169+E170+E171+E174</f>
        <v>7316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0.95589999999999997</v>
      </c>
      <c r="D179" s="210">
        <v>0.94640000000000002</v>
      </c>
      <c r="E179" s="210">
        <v>0.97450000000000003</v>
      </c>
    </row>
    <row r="180" spans="1:6" ht="20.100000000000001" customHeight="1" x14ac:dyDescent="0.2">
      <c r="A180" s="202">
        <v>2</v>
      </c>
      <c r="B180" s="201" t="s">
        <v>414</v>
      </c>
      <c r="C180" s="210">
        <v>1.3004</v>
      </c>
      <c r="D180" s="210">
        <v>1.2873000000000001</v>
      </c>
      <c r="E180" s="210">
        <v>1.2924</v>
      </c>
    </row>
    <row r="181" spans="1:6" ht="20.100000000000001" customHeight="1" x14ac:dyDescent="0.2">
      <c r="A181" s="202">
        <v>3</v>
      </c>
      <c r="B181" s="201" t="s">
        <v>415</v>
      </c>
      <c r="C181" s="210">
        <v>0.82920000000000005</v>
      </c>
      <c r="D181" s="210">
        <v>0.85442499999999999</v>
      </c>
      <c r="E181" s="210">
        <v>0.93069999999999997</v>
      </c>
    </row>
    <row r="182" spans="1:6" ht="20.100000000000001" customHeight="1" x14ac:dyDescent="0.2">
      <c r="A182" s="202">
        <v>4</v>
      </c>
      <c r="B182" s="201" t="s">
        <v>416</v>
      </c>
      <c r="C182" s="210">
        <v>0.80289999999999995</v>
      </c>
      <c r="D182" s="210">
        <v>0.83899999999999997</v>
      </c>
      <c r="E182" s="210">
        <v>0.93069999999999997</v>
      </c>
    </row>
    <row r="183" spans="1:6" ht="20.100000000000001" customHeight="1" x14ac:dyDescent="0.2">
      <c r="A183" s="202">
        <v>5</v>
      </c>
      <c r="B183" s="201" t="s">
        <v>417</v>
      </c>
      <c r="C183" s="210">
        <v>0.89659999999999995</v>
      </c>
      <c r="D183" s="210">
        <v>0.91120000000000001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1.054</v>
      </c>
      <c r="D184" s="210">
        <v>1.5094000000000001</v>
      </c>
      <c r="E184" s="210">
        <v>1.1613</v>
      </c>
    </row>
    <row r="185" spans="1:6" ht="20.100000000000001" customHeight="1" x14ac:dyDescent="0.2">
      <c r="A185" s="202">
        <v>7</v>
      </c>
      <c r="B185" s="201" t="s">
        <v>419</v>
      </c>
      <c r="C185" s="210">
        <v>0.96460000000000001</v>
      </c>
      <c r="D185" s="210">
        <v>0.89229999999999998</v>
      </c>
      <c r="E185" s="210">
        <v>0.8296</v>
      </c>
    </row>
    <row r="186" spans="1:6" ht="20.100000000000001" customHeight="1" x14ac:dyDescent="0.2">
      <c r="A186" s="202">
        <v>8</v>
      </c>
      <c r="B186" s="201" t="s">
        <v>423</v>
      </c>
      <c r="C186" s="210">
        <v>1.0896380000000001</v>
      </c>
      <c r="D186" s="210">
        <v>1.0808629999999999</v>
      </c>
      <c r="E186" s="210">
        <v>1.112384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5501</v>
      </c>
      <c r="D189" s="198">
        <v>5467</v>
      </c>
      <c r="E189" s="198">
        <v>5363</v>
      </c>
    </row>
    <row r="190" spans="1:6" ht="20.100000000000001" customHeight="1" x14ac:dyDescent="0.2">
      <c r="A190" s="202">
        <v>2</v>
      </c>
      <c r="B190" s="201" t="s">
        <v>427</v>
      </c>
      <c r="C190" s="198">
        <v>33551</v>
      </c>
      <c r="D190" s="198">
        <v>33293</v>
      </c>
      <c r="E190" s="198">
        <v>34497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39052</v>
      </c>
      <c r="D191" s="198">
        <f>+D190+D189</f>
        <v>38760</v>
      </c>
      <c r="E191" s="198">
        <f>+E190+E189</f>
        <v>39860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FILING&amp;RBRISTOL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5" width="21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105291</v>
      </c>
      <c r="D14" s="237">
        <v>437906</v>
      </c>
      <c r="E14" s="237">
        <f t="shared" ref="E14:E24" si="0">D14-C14</f>
        <v>332615</v>
      </c>
      <c r="F14" s="238">
        <f t="shared" ref="F14:F24" si="1">IF(C14=0,0,E14/C14)</f>
        <v>3.1590069426636656</v>
      </c>
    </row>
    <row r="15" spans="1:7" ht="20.25" customHeight="1" x14ac:dyDescent="0.3">
      <c r="A15" s="235">
        <v>2</v>
      </c>
      <c r="B15" s="236" t="s">
        <v>435</v>
      </c>
      <c r="C15" s="237">
        <v>49702</v>
      </c>
      <c r="D15" s="237">
        <v>121188</v>
      </c>
      <c r="E15" s="237">
        <f t="shared" si="0"/>
        <v>71486</v>
      </c>
      <c r="F15" s="238">
        <f t="shared" si="1"/>
        <v>1.4382922216409801</v>
      </c>
    </row>
    <row r="16" spans="1:7" ht="20.25" customHeight="1" x14ac:dyDescent="0.3">
      <c r="A16" s="235">
        <v>3</v>
      </c>
      <c r="B16" s="236" t="s">
        <v>436</v>
      </c>
      <c r="C16" s="237">
        <v>552121</v>
      </c>
      <c r="D16" s="237">
        <v>633084</v>
      </c>
      <c r="E16" s="237">
        <f t="shared" si="0"/>
        <v>80963</v>
      </c>
      <c r="F16" s="238">
        <f t="shared" si="1"/>
        <v>0.14663995754553802</v>
      </c>
    </row>
    <row r="17" spans="1:6" ht="20.25" customHeight="1" x14ac:dyDescent="0.3">
      <c r="A17" s="235">
        <v>4</v>
      </c>
      <c r="B17" s="236" t="s">
        <v>437</v>
      </c>
      <c r="C17" s="237">
        <v>169047</v>
      </c>
      <c r="D17" s="237">
        <v>234691</v>
      </c>
      <c r="E17" s="237">
        <f t="shared" si="0"/>
        <v>65644</v>
      </c>
      <c r="F17" s="238">
        <f t="shared" si="1"/>
        <v>0.38831804172804013</v>
      </c>
    </row>
    <row r="18" spans="1:6" ht="20.25" customHeight="1" x14ac:dyDescent="0.3">
      <c r="A18" s="235">
        <v>5</v>
      </c>
      <c r="B18" s="236" t="s">
        <v>373</v>
      </c>
      <c r="C18" s="239">
        <v>9</v>
      </c>
      <c r="D18" s="239">
        <v>19</v>
      </c>
      <c r="E18" s="239">
        <f t="shared" si="0"/>
        <v>10</v>
      </c>
      <c r="F18" s="238">
        <f t="shared" si="1"/>
        <v>1.1111111111111112</v>
      </c>
    </row>
    <row r="19" spans="1:6" ht="20.25" customHeight="1" x14ac:dyDescent="0.3">
      <c r="A19" s="235">
        <v>6</v>
      </c>
      <c r="B19" s="236" t="s">
        <v>372</v>
      </c>
      <c r="C19" s="239">
        <v>19</v>
      </c>
      <c r="D19" s="239">
        <v>89</v>
      </c>
      <c r="E19" s="239">
        <f t="shared" si="0"/>
        <v>70</v>
      </c>
      <c r="F19" s="238">
        <f t="shared" si="1"/>
        <v>3.6842105263157894</v>
      </c>
    </row>
    <row r="20" spans="1:6" ht="20.25" customHeight="1" x14ac:dyDescent="0.3">
      <c r="A20" s="235">
        <v>7</v>
      </c>
      <c r="B20" s="236" t="s">
        <v>438</v>
      </c>
      <c r="C20" s="239">
        <v>128</v>
      </c>
      <c r="D20" s="239">
        <v>243</v>
      </c>
      <c r="E20" s="239">
        <f t="shared" si="0"/>
        <v>115</v>
      </c>
      <c r="F20" s="238">
        <f t="shared" si="1"/>
        <v>0.8984375</v>
      </c>
    </row>
    <row r="21" spans="1:6" ht="20.25" customHeight="1" x14ac:dyDescent="0.3">
      <c r="A21" s="235">
        <v>8</v>
      </c>
      <c r="B21" s="236" t="s">
        <v>439</v>
      </c>
      <c r="C21" s="239">
        <v>13</v>
      </c>
      <c r="D21" s="239">
        <v>32</v>
      </c>
      <c r="E21" s="239">
        <f t="shared" si="0"/>
        <v>19</v>
      </c>
      <c r="F21" s="238">
        <f t="shared" si="1"/>
        <v>1.4615384615384615</v>
      </c>
    </row>
    <row r="22" spans="1:6" ht="20.25" customHeight="1" x14ac:dyDescent="0.3">
      <c r="A22" s="235">
        <v>9</v>
      </c>
      <c r="B22" s="236" t="s">
        <v>440</v>
      </c>
      <c r="C22" s="239">
        <v>9</v>
      </c>
      <c r="D22" s="239">
        <v>17</v>
      </c>
      <c r="E22" s="239">
        <f t="shared" si="0"/>
        <v>8</v>
      </c>
      <c r="F22" s="238">
        <f t="shared" si="1"/>
        <v>0.88888888888888884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657412</v>
      </c>
      <c r="D23" s="243">
        <f>+D14+D16</f>
        <v>1070990</v>
      </c>
      <c r="E23" s="243">
        <f t="shared" si="0"/>
        <v>413578</v>
      </c>
      <c r="F23" s="244">
        <f t="shared" si="1"/>
        <v>0.62910016853966766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218749</v>
      </c>
      <c r="D24" s="243">
        <f>+D15+D17</f>
        <v>355879</v>
      </c>
      <c r="E24" s="243">
        <f t="shared" si="0"/>
        <v>137130</v>
      </c>
      <c r="F24" s="244">
        <f t="shared" si="1"/>
        <v>0.62688286575024343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2137639</v>
      </c>
      <c r="D40" s="237">
        <v>2009391</v>
      </c>
      <c r="E40" s="237">
        <f t="shared" ref="E40:E50" si="4">D40-C40</f>
        <v>-128248</v>
      </c>
      <c r="F40" s="238">
        <f t="shared" ref="F40:F50" si="5">IF(C40=0,0,E40/C40)</f>
        <v>-5.9995162887653157E-2</v>
      </c>
    </row>
    <row r="41" spans="1:6" ht="20.25" customHeight="1" x14ac:dyDescent="0.3">
      <c r="A41" s="235">
        <v>2</v>
      </c>
      <c r="B41" s="236" t="s">
        <v>435</v>
      </c>
      <c r="C41" s="237">
        <v>760827</v>
      </c>
      <c r="D41" s="237">
        <v>657321</v>
      </c>
      <c r="E41" s="237">
        <f t="shared" si="4"/>
        <v>-103506</v>
      </c>
      <c r="F41" s="238">
        <f t="shared" si="5"/>
        <v>-0.13604406783670928</v>
      </c>
    </row>
    <row r="42" spans="1:6" ht="20.25" customHeight="1" x14ac:dyDescent="0.3">
      <c r="A42" s="235">
        <v>3</v>
      </c>
      <c r="B42" s="236" t="s">
        <v>436</v>
      </c>
      <c r="C42" s="237">
        <v>2923209</v>
      </c>
      <c r="D42" s="237">
        <v>3609521</v>
      </c>
      <c r="E42" s="237">
        <f t="shared" si="4"/>
        <v>686312</v>
      </c>
      <c r="F42" s="238">
        <f t="shared" si="5"/>
        <v>0.23478033900415604</v>
      </c>
    </row>
    <row r="43" spans="1:6" ht="20.25" customHeight="1" x14ac:dyDescent="0.3">
      <c r="A43" s="235">
        <v>4</v>
      </c>
      <c r="B43" s="236" t="s">
        <v>437</v>
      </c>
      <c r="C43" s="237">
        <v>594992</v>
      </c>
      <c r="D43" s="237">
        <v>857944</v>
      </c>
      <c r="E43" s="237">
        <f t="shared" si="4"/>
        <v>262952</v>
      </c>
      <c r="F43" s="238">
        <f t="shared" si="5"/>
        <v>0.44194207653212142</v>
      </c>
    </row>
    <row r="44" spans="1:6" ht="20.25" customHeight="1" x14ac:dyDescent="0.3">
      <c r="A44" s="235">
        <v>5</v>
      </c>
      <c r="B44" s="236" t="s">
        <v>373</v>
      </c>
      <c r="C44" s="239">
        <v>88</v>
      </c>
      <c r="D44" s="239">
        <v>93</v>
      </c>
      <c r="E44" s="239">
        <f t="shared" si="4"/>
        <v>5</v>
      </c>
      <c r="F44" s="238">
        <f t="shared" si="5"/>
        <v>5.6818181818181816E-2</v>
      </c>
    </row>
    <row r="45" spans="1:6" ht="20.25" customHeight="1" x14ac:dyDescent="0.3">
      <c r="A45" s="235">
        <v>6</v>
      </c>
      <c r="B45" s="236" t="s">
        <v>372</v>
      </c>
      <c r="C45" s="239">
        <v>401</v>
      </c>
      <c r="D45" s="239">
        <v>393</v>
      </c>
      <c r="E45" s="239">
        <f t="shared" si="4"/>
        <v>-8</v>
      </c>
      <c r="F45" s="238">
        <f t="shared" si="5"/>
        <v>-1.9950124688279301E-2</v>
      </c>
    </row>
    <row r="46" spans="1:6" ht="20.25" customHeight="1" x14ac:dyDescent="0.3">
      <c r="A46" s="235">
        <v>7</v>
      </c>
      <c r="B46" s="236" t="s">
        <v>438</v>
      </c>
      <c r="C46" s="239">
        <v>1311</v>
      </c>
      <c r="D46" s="239">
        <v>1868</v>
      </c>
      <c r="E46" s="239">
        <f t="shared" si="4"/>
        <v>557</v>
      </c>
      <c r="F46" s="238">
        <f t="shared" si="5"/>
        <v>0.42486651411136539</v>
      </c>
    </row>
    <row r="47" spans="1:6" ht="20.25" customHeight="1" x14ac:dyDescent="0.3">
      <c r="A47" s="235">
        <v>8</v>
      </c>
      <c r="B47" s="236" t="s">
        <v>439</v>
      </c>
      <c r="C47" s="239">
        <v>186</v>
      </c>
      <c r="D47" s="239">
        <v>230</v>
      </c>
      <c r="E47" s="239">
        <f t="shared" si="4"/>
        <v>44</v>
      </c>
      <c r="F47" s="238">
        <f t="shared" si="5"/>
        <v>0.23655913978494625</v>
      </c>
    </row>
    <row r="48" spans="1:6" ht="20.25" customHeight="1" x14ac:dyDescent="0.3">
      <c r="A48" s="235">
        <v>9</v>
      </c>
      <c r="B48" s="236" t="s">
        <v>440</v>
      </c>
      <c r="C48" s="239">
        <v>74</v>
      </c>
      <c r="D48" s="239">
        <v>77</v>
      </c>
      <c r="E48" s="239">
        <f t="shared" si="4"/>
        <v>3</v>
      </c>
      <c r="F48" s="238">
        <f t="shared" si="5"/>
        <v>4.0540540540540543E-2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5060848</v>
      </c>
      <c r="D49" s="243">
        <f>+D40+D42</f>
        <v>5618912</v>
      </c>
      <c r="E49" s="243">
        <f t="shared" si="4"/>
        <v>558064</v>
      </c>
      <c r="F49" s="244">
        <f t="shared" si="5"/>
        <v>0.11027084788952365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1355819</v>
      </c>
      <c r="D50" s="243">
        <f>+D41+D43</f>
        <v>1515265</v>
      </c>
      <c r="E50" s="243">
        <f t="shared" si="4"/>
        <v>159446</v>
      </c>
      <c r="F50" s="244">
        <f t="shared" si="5"/>
        <v>0.11760124323379448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7751443</v>
      </c>
      <c r="D53" s="237">
        <v>2494497</v>
      </c>
      <c r="E53" s="237">
        <f t="shared" ref="E53:E63" si="6">D53-C53</f>
        <v>-5256946</v>
      </c>
      <c r="F53" s="238">
        <f t="shared" ref="F53:F63" si="7">IF(C53=0,0,E53/C53)</f>
        <v>-0.67818933842382634</v>
      </c>
    </row>
    <row r="54" spans="1:6" ht="20.25" customHeight="1" x14ac:dyDescent="0.3">
      <c r="A54" s="235">
        <v>2</v>
      </c>
      <c r="B54" s="236" t="s">
        <v>435</v>
      </c>
      <c r="C54" s="237">
        <v>2727746</v>
      </c>
      <c r="D54" s="237">
        <v>836477</v>
      </c>
      <c r="E54" s="237">
        <f t="shared" si="6"/>
        <v>-1891269</v>
      </c>
      <c r="F54" s="238">
        <f t="shared" si="7"/>
        <v>-0.69334498153420443</v>
      </c>
    </row>
    <row r="55" spans="1:6" ht="20.25" customHeight="1" x14ac:dyDescent="0.3">
      <c r="A55" s="235">
        <v>3</v>
      </c>
      <c r="B55" s="236" t="s">
        <v>436</v>
      </c>
      <c r="C55" s="237">
        <v>11408873</v>
      </c>
      <c r="D55" s="237">
        <v>2186852</v>
      </c>
      <c r="E55" s="237">
        <f t="shared" si="6"/>
        <v>-9222021</v>
      </c>
      <c r="F55" s="238">
        <f t="shared" si="7"/>
        <v>-0.80832006807333201</v>
      </c>
    </row>
    <row r="56" spans="1:6" ht="20.25" customHeight="1" x14ac:dyDescent="0.3">
      <c r="A56" s="235">
        <v>4</v>
      </c>
      <c r="B56" s="236" t="s">
        <v>437</v>
      </c>
      <c r="C56" s="237">
        <v>2061617</v>
      </c>
      <c r="D56" s="237">
        <v>535155</v>
      </c>
      <c r="E56" s="237">
        <f t="shared" si="6"/>
        <v>-1526462</v>
      </c>
      <c r="F56" s="238">
        <f t="shared" si="7"/>
        <v>-0.74041977729132036</v>
      </c>
    </row>
    <row r="57" spans="1:6" ht="20.25" customHeight="1" x14ac:dyDescent="0.3">
      <c r="A57" s="235">
        <v>5</v>
      </c>
      <c r="B57" s="236" t="s">
        <v>373</v>
      </c>
      <c r="C57" s="239">
        <v>328</v>
      </c>
      <c r="D57" s="239">
        <v>96</v>
      </c>
      <c r="E57" s="239">
        <f t="shared" si="6"/>
        <v>-232</v>
      </c>
      <c r="F57" s="238">
        <f t="shared" si="7"/>
        <v>-0.70731707317073167</v>
      </c>
    </row>
    <row r="58" spans="1:6" ht="20.25" customHeight="1" x14ac:dyDescent="0.3">
      <c r="A58" s="235">
        <v>6</v>
      </c>
      <c r="B58" s="236" t="s">
        <v>372</v>
      </c>
      <c r="C58" s="239">
        <v>1607</v>
      </c>
      <c r="D58" s="239">
        <v>466</v>
      </c>
      <c r="E58" s="239">
        <f t="shared" si="6"/>
        <v>-1141</v>
      </c>
      <c r="F58" s="238">
        <f t="shared" si="7"/>
        <v>-0.71001866832607341</v>
      </c>
    </row>
    <row r="59" spans="1:6" ht="20.25" customHeight="1" x14ac:dyDescent="0.3">
      <c r="A59" s="235">
        <v>7</v>
      </c>
      <c r="B59" s="236" t="s">
        <v>438</v>
      </c>
      <c r="C59" s="239">
        <v>3889</v>
      </c>
      <c r="D59" s="239">
        <v>970</v>
      </c>
      <c r="E59" s="239">
        <f t="shared" si="6"/>
        <v>-2919</v>
      </c>
      <c r="F59" s="238">
        <f t="shared" si="7"/>
        <v>-0.7505785548984315</v>
      </c>
    </row>
    <row r="60" spans="1:6" ht="20.25" customHeight="1" x14ac:dyDescent="0.3">
      <c r="A60" s="235">
        <v>8</v>
      </c>
      <c r="B60" s="236" t="s">
        <v>439</v>
      </c>
      <c r="C60" s="239">
        <v>576</v>
      </c>
      <c r="D60" s="239">
        <v>150</v>
      </c>
      <c r="E60" s="239">
        <f t="shared" si="6"/>
        <v>-426</v>
      </c>
      <c r="F60" s="238">
        <f t="shared" si="7"/>
        <v>-0.73958333333333337</v>
      </c>
    </row>
    <row r="61" spans="1:6" ht="20.25" customHeight="1" x14ac:dyDescent="0.3">
      <c r="A61" s="235">
        <v>9</v>
      </c>
      <c r="B61" s="236" t="s">
        <v>440</v>
      </c>
      <c r="C61" s="239">
        <v>298</v>
      </c>
      <c r="D61" s="239">
        <v>81</v>
      </c>
      <c r="E61" s="239">
        <f t="shared" si="6"/>
        <v>-217</v>
      </c>
      <c r="F61" s="238">
        <f t="shared" si="7"/>
        <v>-0.72818791946308725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19160316</v>
      </c>
      <c r="D62" s="243">
        <f>+D53+D55</f>
        <v>4681349</v>
      </c>
      <c r="E62" s="243">
        <f t="shared" si="6"/>
        <v>-14478967</v>
      </c>
      <c r="F62" s="244">
        <f t="shared" si="7"/>
        <v>-0.75567474983189209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4789363</v>
      </c>
      <c r="D63" s="243">
        <f>+D54+D56</f>
        <v>1371632</v>
      </c>
      <c r="E63" s="243">
        <f t="shared" si="6"/>
        <v>-3417731</v>
      </c>
      <c r="F63" s="244">
        <f t="shared" si="7"/>
        <v>-0.71360867823132224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287300</v>
      </c>
      <c r="D66" s="237">
        <v>116175</v>
      </c>
      <c r="E66" s="237">
        <f t="shared" ref="E66:E76" si="8">D66-C66</f>
        <v>-171125</v>
      </c>
      <c r="F66" s="238">
        <f t="shared" ref="F66:F76" si="9">IF(C66=0,0,E66/C66)</f>
        <v>-0.59563174382178907</v>
      </c>
    </row>
    <row r="67" spans="1:6" ht="20.25" customHeight="1" x14ac:dyDescent="0.3">
      <c r="A67" s="235">
        <v>2</v>
      </c>
      <c r="B67" s="236" t="s">
        <v>435</v>
      </c>
      <c r="C67" s="237">
        <v>95905</v>
      </c>
      <c r="D67" s="237">
        <v>38531</v>
      </c>
      <c r="E67" s="237">
        <f t="shared" si="8"/>
        <v>-57374</v>
      </c>
      <c r="F67" s="238">
        <f t="shared" si="9"/>
        <v>-0.59823783952870024</v>
      </c>
    </row>
    <row r="68" spans="1:6" ht="20.25" customHeight="1" x14ac:dyDescent="0.3">
      <c r="A68" s="235">
        <v>3</v>
      </c>
      <c r="B68" s="236" t="s">
        <v>436</v>
      </c>
      <c r="C68" s="237">
        <v>330214</v>
      </c>
      <c r="D68" s="237">
        <v>115081</v>
      </c>
      <c r="E68" s="237">
        <f t="shared" si="8"/>
        <v>-215133</v>
      </c>
      <c r="F68" s="238">
        <f t="shared" si="9"/>
        <v>-0.6514956967299993</v>
      </c>
    </row>
    <row r="69" spans="1:6" ht="20.25" customHeight="1" x14ac:dyDescent="0.3">
      <c r="A69" s="235">
        <v>4</v>
      </c>
      <c r="B69" s="236" t="s">
        <v>437</v>
      </c>
      <c r="C69" s="237">
        <v>61299</v>
      </c>
      <c r="D69" s="237">
        <v>23188</v>
      </c>
      <c r="E69" s="237">
        <f t="shared" si="8"/>
        <v>-38111</v>
      </c>
      <c r="F69" s="238">
        <f t="shared" si="9"/>
        <v>-0.62172302973947369</v>
      </c>
    </row>
    <row r="70" spans="1:6" ht="20.25" customHeight="1" x14ac:dyDescent="0.3">
      <c r="A70" s="235">
        <v>5</v>
      </c>
      <c r="B70" s="236" t="s">
        <v>373</v>
      </c>
      <c r="C70" s="239">
        <v>11</v>
      </c>
      <c r="D70" s="239">
        <v>5</v>
      </c>
      <c r="E70" s="239">
        <f t="shared" si="8"/>
        <v>-6</v>
      </c>
      <c r="F70" s="238">
        <f t="shared" si="9"/>
        <v>-0.54545454545454541</v>
      </c>
    </row>
    <row r="71" spans="1:6" ht="20.25" customHeight="1" x14ac:dyDescent="0.3">
      <c r="A71" s="235">
        <v>6</v>
      </c>
      <c r="B71" s="236" t="s">
        <v>372</v>
      </c>
      <c r="C71" s="239">
        <v>42</v>
      </c>
      <c r="D71" s="239">
        <v>13</v>
      </c>
      <c r="E71" s="239">
        <f t="shared" si="8"/>
        <v>-29</v>
      </c>
      <c r="F71" s="238">
        <f t="shared" si="9"/>
        <v>-0.69047619047619047</v>
      </c>
    </row>
    <row r="72" spans="1:6" ht="20.25" customHeight="1" x14ac:dyDescent="0.3">
      <c r="A72" s="235">
        <v>7</v>
      </c>
      <c r="B72" s="236" t="s">
        <v>438</v>
      </c>
      <c r="C72" s="239">
        <v>123</v>
      </c>
      <c r="D72" s="239">
        <v>64</v>
      </c>
      <c r="E72" s="239">
        <f t="shared" si="8"/>
        <v>-59</v>
      </c>
      <c r="F72" s="238">
        <f t="shared" si="9"/>
        <v>-0.47967479674796748</v>
      </c>
    </row>
    <row r="73" spans="1:6" ht="20.25" customHeight="1" x14ac:dyDescent="0.3">
      <c r="A73" s="235">
        <v>8</v>
      </c>
      <c r="B73" s="236" t="s">
        <v>439</v>
      </c>
      <c r="C73" s="239">
        <v>39</v>
      </c>
      <c r="D73" s="239">
        <v>33</v>
      </c>
      <c r="E73" s="239">
        <f t="shared" si="8"/>
        <v>-6</v>
      </c>
      <c r="F73" s="238">
        <f t="shared" si="9"/>
        <v>-0.15384615384615385</v>
      </c>
    </row>
    <row r="74" spans="1:6" ht="20.25" customHeight="1" x14ac:dyDescent="0.3">
      <c r="A74" s="235">
        <v>9</v>
      </c>
      <c r="B74" s="236" t="s">
        <v>440</v>
      </c>
      <c r="C74" s="239">
        <v>9</v>
      </c>
      <c r="D74" s="239">
        <v>4</v>
      </c>
      <c r="E74" s="239">
        <f t="shared" si="8"/>
        <v>-5</v>
      </c>
      <c r="F74" s="238">
        <f t="shared" si="9"/>
        <v>-0.55555555555555558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617514</v>
      </c>
      <c r="D75" s="243">
        <f>+D66+D68</f>
        <v>231256</v>
      </c>
      <c r="E75" s="243">
        <f t="shared" si="8"/>
        <v>-386258</v>
      </c>
      <c r="F75" s="244">
        <f t="shared" si="9"/>
        <v>-0.62550484685367458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157204</v>
      </c>
      <c r="D76" s="243">
        <f>+D67+D69</f>
        <v>61719</v>
      </c>
      <c r="E76" s="243">
        <f t="shared" si="8"/>
        <v>-95485</v>
      </c>
      <c r="F76" s="244">
        <f t="shared" si="9"/>
        <v>-0.60739548611994609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798872</v>
      </c>
      <c r="D92" s="237">
        <v>5721008</v>
      </c>
      <c r="E92" s="237">
        <f t="shared" ref="E92:E102" si="12">D92-C92</f>
        <v>4922136</v>
      </c>
      <c r="F92" s="238">
        <f t="shared" ref="F92:F102" si="13">IF(C92=0,0,E92/C92)</f>
        <v>6.161357514094874</v>
      </c>
    </row>
    <row r="93" spans="1:6" ht="20.25" customHeight="1" x14ac:dyDescent="0.3">
      <c r="A93" s="235">
        <v>2</v>
      </c>
      <c r="B93" s="236" t="s">
        <v>435</v>
      </c>
      <c r="C93" s="237">
        <v>268280</v>
      </c>
      <c r="D93" s="237">
        <v>1942277</v>
      </c>
      <c r="E93" s="237">
        <f t="shared" si="12"/>
        <v>1673997</v>
      </c>
      <c r="F93" s="238">
        <f t="shared" si="13"/>
        <v>6.2397383330848371</v>
      </c>
    </row>
    <row r="94" spans="1:6" ht="20.25" customHeight="1" x14ac:dyDescent="0.3">
      <c r="A94" s="235">
        <v>3</v>
      </c>
      <c r="B94" s="236" t="s">
        <v>436</v>
      </c>
      <c r="C94" s="237">
        <v>634419</v>
      </c>
      <c r="D94" s="237">
        <v>7351324</v>
      </c>
      <c r="E94" s="237">
        <f t="shared" si="12"/>
        <v>6716905</v>
      </c>
      <c r="F94" s="238">
        <f t="shared" si="13"/>
        <v>10.587490286388018</v>
      </c>
    </row>
    <row r="95" spans="1:6" ht="20.25" customHeight="1" x14ac:dyDescent="0.3">
      <c r="A95" s="235">
        <v>4</v>
      </c>
      <c r="B95" s="236" t="s">
        <v>437</v>
      </c>
      <c r="C95" s="237">
        <v>138636</v>
      </c>
      <c r="D95" s="237">
        <v>1773979</v>
      </c>
      <c r="E95" s="237">
        <f t="shared" si="12"/>
        <v>1635343</v>
      </c>
      <c r="F95" s="238">
        <f t="shared" si="13"/>
        <v>11.795947661502064</v>
      </c>
    </row>
    <row r="96" spans="1:6" ht="20.25" customHeight="1" x14ac:dyDescent="0.3">
      <c r="A96" s="235">
        <v>5</v>
      </c>
      <c r="B96" s="236" t="s">
        <v>373</v>
      </c>
      <c r="C96" s="239">
        <v>30</v>
      </c>
      <c r="D96" s="239">
        <v>287</v>
      </c>
      <c r="E96" s="239">
        <f t="shared" si="12"/>
        <v>257</v>
      </c>
      <c r="F96" s="238">
        <f t="shared" si="13"/>
        <v>8.5666666666666664</v>
      </c>
    </row>
    <row r="97" spans="1:6" ht="20.25" customHeight="1" x14ac:dyDescent="0.3">
      <c r="A97" s="235">
        <v>6</v>
      </c>
      <c r="B97" s="236" t="s">
        <v>372</v>
      </c>
      <c r="C97" s="239">
        <v>155</v>
      </c>
      <c r="D97" s="239">
        <v>1181</v>
      </c>
      <c r="E97" s="239">
        <f t="shared" si="12"/>
        <v>1026</v>
      </c>
      <c r="F97" s="238">
        <f t="shared" si="13"/>
        <v>6.6193548387096772</v>
      </c>
    </row>
    <row r="98" spans="1:6" ht="20.25" customHeight="1" x14ac:dyDescent="0.3">
      <c r="A98" s="235">
        <v>7</v>
      </c>
      <c r="B98" s="236" t="s">
        <v>438</v>
      </c>
      <c r="C98" s="239">
        <v>299</v>
      </c>
      <c r="D98" s="239">
        <v>3829</v>
      </c>
      <c r="E98" s="239">
        <f t="shared" si="12"/>
        <v>3530</v>
      </c>
      <c r="F98" s="238">
        <f t="shared" si="13"/>
        <v>11.806020066889632</v>
      </c>
    </row>
    <row r="99" spans="1:6" ht="20.25" customHeight="1" x14ac:dyDescent="0.3">
      <c r="A99" s="235">
        <v>8</v>
      </c>
      <c r="B99" s="236" t="s">
        <v>439</v>
      </c>
      <c r="C99" s="239">
        <v>67</v>
      </c>
      <c r="D99" s="239">
        <v>534</v>
      </c>
      <c r="E99" s="239">
        <f t="shared" si="12"/>
        <v>467</v>
      </c>
      <c r="F99" s="238">
        <f t="shared" si="13"/>
        <v>6.9701492537313436</v>
      </c>
    </row>
    <row r="100" spans="1:6" ht="20.25" customHeight="1" x14ac:dyDescent="0.3">
      <c r="A100" s="235">
        <v>9</v>
      </c>
      <c r="B100" s="236" t="s">
        <v>440</v>
      </c>
      <c r="C100" s="239">
        <v>27</v>
      </c>
      <c r="D100" s="239">
        <v>247</v>
      </c>
      <c r="E100" s="239">
        <f t="shared" si="12"/>
        <v>220</v>
      </c>
      <c r="F100" s="238">
        <f t="shared" si="13"/>
        <v>8.1481481481481488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1433291</v>
      </c>
      <c r="D101" s="243">
        <f>+D92+D94</f>
        <v>13072332</v>
      </c>
      <c r="E101" s="243">
        <f t="shared" si="12"/>
        <v>11639041</v>
      </c>
      <c r="F101" s="244">
        <f t="shared" si="13"/>
        <v>8.1205010008435128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406916</v>
      </c>
      <c r="D102" s="243">
        <f>+D93+D95</f>
        <v>3716256</v>
      </c>
      <c r="E102" s="243">
        <f t="shared" si="12"/>
        <v>3309340</v>
      </c>
      <c r="F102" s="244">
        <f t="shared" si="13"/>
        <v>8.1327350116485952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418304</v>
      </c>
      <c r="D105" s="237">
        <v>561655</v>
      </c>
      <c r="E105" s="237">
        <f t="shared" ref="E105:E115" si="14">D105-C105</f>
        <v>143351</v>
      </c>
      <c r="F105" s="238">
        <f t="shared" ref="F105:F115" si="15">IF(C105=0,0,E105/C105)</f>
        <v>0.34269574280905751</v>
      </c>
    </row>
    <row r="106" spans="1:6" ht="20.25" customHeight="1" x14ac:dyDescent="0.3">
      <c r="A106" s="235">
        <v>2</v>
      </c>
      <c r="B106" s="236" t="s">
        <v>435</v>
      </c>
      <c r="C106" s="237">
        <v>132804</v>
      </c>
      <c r="D106" s="237">
        <v>160518</v>
      </c>
      <c r="E106" s="237">
        <f t="shared" si="14"/>
        <v>27714</v>
      </c>
      <c r="F106" s="238">
        <f t="shared" si="15"/>
        <v>0.20868347338935575</v>
      </c>
    </row>
    <row r="107" spans="1:6" ht="20.25" customHeight="1" x14ac:dyDescent="0.3">
      <c r="A107" s="235">
        <v>3</v>
      </c>
      <c r="B107" s="236" t="s">
        <v>436</v>
      </c>
      <c r="C107" s="237">
        <v>268878</v>
      </c>
      <c r="D107" s="237">
        <v>516643</v>
      </c>
      <c r="E107" s="237">
        <f t="shared" si="14"/>
        <v>247765</v>
      </c>
      <c r="F107" s="238">
        <f t="shared" si="15"/>
        <v>0.92147739867151646</v>
      </c>
    </row>
    <row r="108" spans="1:6" ht="20.25" customHeight="1" x14ac:dyDescent="0.3">
      <c r="A108" s="235">
        <v>4</v>
      </c>
      <c r="B108" s="236" t="s">
        <v>437</v>
      </c>
      <c r="C108" s="237">
        <v>52895</v>
      </c>
      <c r="D108" s="237">
        <v>92044</v>
      </c>
      <c r="E108" s="237">
        <f t="shared" si="14"/>
        <v>39149</v>
      </c>
      <c r="F108" s="238">
        <f t="shared" si="15"/>
        <v>0.74012666603648736</v>
      </c>
    </row>
    <row r="109" spans="1:6" ht="20.25" customHeight="1" x14ac:dyDescent="0.3">
      <c r="A109" s="235">
        <v>5</v>
      </c>
      <c r="B109" s="236" t="s">
        <v>373</v>
      </c>
      <c r="C109" s="239">
        <v>18</v>
      </c>
      <c r="D109" s="239">
        <v>27</v>
      </c>
      <c r="E109" s="239">
        <f t="shared" si="14"/>
        <v>9</v>
      </c>
      <c r="F109" s="238">
        <f t="shared" si="15"/>
        <v>0.5</v>
      </c>
    </row>
    <row r="110" spans="1:6" ht="20.25" customHeight="1" x14ac:dyDescent="0.3">
      <c r="A110" s="235">
        <v>6</v>
      </c>
      <c r="B110" s="236" t="s">
        <v>372</v>
      </c>
      <c r="C110" s="239">
        <v>81</v>
      </c>
      <c r="D110" s="239">
        <v>137</v>
      </c>
      <c r="E110" s="239">
        <f t="shared" si="14"/>
        <v>56</v>
      </c>
      <c r="F110" s="238">
        <f t="shared" si="15"/>
        <v>0.69135802469135799</v>
      </c>
    </row>
    <row r="111" spans="1:6" ht="20.25" customHeight="1" x14ac:dyDescent="0.3">
      <c r="A111" s="235">
        <v>7</v>
      </c>
      <c r="B111" s="236" t="s">
        <v>438</v>
      </c>
      <c r="C111" s="239">
        <v>128</v>
      </c>
      <c r="D111" s="239">
        <v>198</v>
      </c>
      <c r="E111" s="239">
        <f t="shared" si="14"/>
        <v>70</v>
      </c>
      <c r="F111" s="238">
        <f t="shared" si="15"/>
        <v>0.546875</v>
      </c>
    </row>
    <row r="112" spans="1:6" ht="20.25" customHeight="1" x14ac:dyDescent="0.3">
      <c r="A112" s="235">
        <v>8</v>
      </c>
      <c r="B112" s="236" t="s">
        <v>439</v>
      </c>
      <c r="C112" s="239">
        <v>79</v>
      </c>
      <c r="D112" s="239">
        <v>84</v>
      </c>
      <c r="E112" s="239">
        <f t="shared" si="14"/>
        <v>5</v>
      </c>
      <c r="F112" s="238">
        <f t="shared" si="15"/>
        <v>6.3291139240506333E-2</v>
      </c>
    </row>
    <row r="113" spans="1:6" ht="20.25" customHeight="1" x14ac:dyDescent="0.3">
      <c r="A113" s="235">
        <v>9</v>
      </c>
      <c r="B113" s="236" t="s">
        <v>440</v>
      </c>
      <c r="C113" s="239">
        <v>17</v>
      </c>
      <c r="D113" s="239">
        <v>25</v>
      </c>
      <c r="E113" s="239">
        <f t="shared" si="14"/>
        <v>8</v>
      </c>
      <c r="F113" s="238">
        <f t="shared" si="15"/>
        <v>0.47058823529411764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687182</v>
      </c>
      <c r="D114" s="243">
        <f>+D105+D107</f>
        <v>1078298</v>
      </c>
      <c r="E114" s="243">
        <f t="shared" si="14"/>
        <v>391116</v>
      </c>
      <c r="F114" s="244">
        <f t="shared" si="15"/>
        <v>0.56915926202956424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185699</v>
      </c>
      <c r="D115" s="243">
        <f>+D106+D108</f>
        <v>252562</v>
      </c>
      <c r="E115" s="243">
        <f t="shared" si="14"/>
        <v>66863</v>
      </c>
      <c r="F115" s="244">
        <f t="shared" si="15"/>
        <v>0.36006117426588191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1151529</v>
      </c>
      <c r="D118" s="237">
        <v>843555</v>
      </c>
      <c r="E118" s="237">
        <f t="shared" ref="E118:E128" si="16">D118-C118</f>
        <v>-307974</v>
      </c>
      <c r="F118" s="238">
        <f t="shared" ref="F118:F128" si="17">IF(C118=0,0,E118/C118)</f>
        <v>-0.26744788885038934</v>
      </c>
    </row>
    <row r="119" spans="1:6" ht="20.25" customHeight="1" x14ac:dyDescent="0.3">
      <c r="A119" s="235">
        <v>2</v>
      </c>
      <c r="B119" s="236" t="s">
        <v>435</v>
      </c>
      <c r="C119" s="237">
        <v>574680</v>
      </c>
      <c r="D119" s="237">
        <v>330760</v>
      </c>
      <c r="E119" s="237">
        <f t="shared" si="16"/>
        <v>-243920</v>
      </c>
      <c r="F119" s="238">
        <f t="shared" si="17"/>
        <v>-0.42444490847080113</v>
      </c>
    </row>
    <row r="120" spans="1:6" ht="20.25" customHeight="1" x14ac:dyDescent="0.3">
      <c r="A120" s="235">
        <v>3</v>
      </c>
      <c r="B120" s="236" t="s">
        <v>436</v>
      </c>
      <c r="C120" s="237">
        <v>1130645</v>
      </c>
      <c r="D120" s="237">
        <v>910453</v>
      </c>
      <c r="E120" s="237">
        <f t="shared" si="16"/>
        <v>-220192</v>
      </c>
      <c r="F120" s="238">
        <f t="shared" si="17"/>
        <v>-0.19474901494279814</v>
      </c>
    </row>
    <row r="121" spans="1:6" ht="20.25" customHeight="1" x14ac:dyDescent="0.3">
      <c r="A121" s="235">
        <v>4</v>
      </c>
      <c r="B121" s="236" t="s">
        <v>437</v>
      </c>
      <c r="C121" s="237">
        <v>385412</v>
      </c>
      <c r="D121" s="237">
        <v>283602</v>
      </c>
      <c r="E121" s="237">
        <f t="shared" si="16"/>
        <v>-101810</v>
      </c>
      <c r="F121" s="238">
        <f t="shared" si="17"/>
        <v>-0.26415887413988148</v>
      </c>
    </row>
    <row r="122" spans="1:6" ht="20.25" customHeight="1" x14ac:dyDescent="0.3">
      <c r="A122" s="235">
        <v>5</v>
      </c>
      <c r="B122" s="236" t="s">
        <v>373</v>
      </c>
      <c r="C122" s="239">
        <v>51</v>
      </c>
      <c r="D122" s="239">
        <v>41</v>
      </c>
      <c r="E122" s="239">
        <f t="shared" si="16"/>
        <v>-10</v>
      </c>
      <c r="F122" s="238">
        <f t="shared" si="17"/>
        <v>-0.19607843137254902</v>
      </c>
    </row>
    <row r="123" spans="1:6" ht="20.25" customHeight="1" x14ac:dyDescent="0.3">
      <c r="A123" s="235">
        <v>6</v>
      </c>
      <c r="B123" s="236" t="s">
        <v>372</v>
      </c>
      <c r="C123" s="239">
        <v>232</v>
      </c>
      <c r="D123" s="239">
        <v>155</v>
      </c>
      <c r="E123" s="239">
        <f t="shared" si="16"/>
        <v>-77</v>
      </c>
      <c r="F123" s="238">
        <f t="shared" si="17"/>
        <v>-0.33189655172413796</v>
      </c>
    </row>
    <row r="124" spans="1:6" ht="20.25" customHeight="1" x14ac:dyDescent="0.3">
      <c r="A124" s="235">
        <v>7</v>
      </c>
      <c r="B124" s="236" t="s">
        <v>438</v>
      </c>
      <c r="C124" s="239">
        <v>657</v>
      </c>
      <c r="D124" s="239">
        <v>583</v>
      </c>
      <c r="E124" s="239">
        <f t="shared" si="16"/>
        <v>-74</v>
      </c>
      <c r="F124" s="238">
        <f t="shared" si="17"/>
        <v>-0.11263318112633181</v>
      </c>
    </row>
    <row r="125" spans="1:6" ht="20.25" customHeight="1" x14ac:dyDescent="0.3">
      <c r="A125" s="235">
        <v>8</v>
      </c>
      <c r="B125" s="236" t="s">
        <v>439</v>
      </c>
      <c r="C125" s="239">
        <v>80</v>
      </c>
      <c r="D125" s="239">
        <v>61</v>
      </c>
      <c r="E125" s="239">
        <f t="shared" si="16"/>
        <v>-19</v>
      </c>
      <c r="F125" s="238">
        <f t="shared" si="17"/>
        <v>-0.23749999999999999</v>
      </c>
    </row>
    <row r="126" spans="1:6" ht="20.25" customHeight="1" x14ac:dyDescent="0.3">
      <c r="A126" s="235">
        <v>9</v>
      </c>
      <c r="B126" s="236" t="s">
        <v>440</v>
      </c>
      <c r="C126" s="239">
        <v>41</v>
      </c>
      <c r="D126" s="239">
        <v>34</v>
      </c>
      <c r="E126" s="239">
        <f t="shared" si="16"/>
        <v>-7</v>
      </c>
      <c r="F126" s="238">
        <f t="shared" si="17"/>
        <v>-0.17073170731707318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2282174</v>
      </c>
      <c r="D127" s="243">
        <f>+D118+D120</f>
        <v>1754008</v>
      </c>
      <c r="E127" s="243">
        <f t="shared" si="16"/>
        <v>-528166</v>
      </c>
      <c r="F127" s="244">
        <f t="shared" si="17"/>
        <v>-0.23143108281840036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960092</v>
      </c>
      <c r="D128" s="243">
        <f>+D119+D121</f>
        <v>614362</v>
      </c>
      <c r="E128" s="243">
        <f t="shared" si="16"/>
        <v>-345730</v>
      </c>
      <c r="F128" s="244">
        <f t="shared" si="17"/>
        <v>-0.36010090699641284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9283</v>
      </c>
      <c r="D131" s="237">
        <v>12074</v>
      </c>
      <c r="E131" s="237">
        <f t="shared" ref="E131:E141" si="18">D131-C131</f>
        <v>2791</v>
      </c>
      <c r="F131" s="238">
        <f t="shared" ref="F131:F141" si="19">IF(C131=0,0,E131/C131)</f>
        <v>0.3006571151567381</v>
      </c>
    </row>
    <row r="132" spans="1:6" ht="20.25" customHeight="1" x14ac:dyDescent="0.3">
      <c r="A132" s="235">
        <v>2</v>
      </c>
      <c r="B132" s="236" t="s">
        <v>435</v>
      </c>
      <c r="C132" s="237">
        <v>7063</v>
      </c>
      <c r="D132" s="237">
        <v>5164</v>
      </c>
      <c r="E132" s="237">
        <f t="shared" si="18"/>
        <v>-1899</v>
      </c>
      <c r="F132" s="238">
        <f t="shared" si="19"/>
        <v>-0.26886592099674361</v>
      </c>
    </row>
    <row r="133" spans="1:6" ht="20.25" customHeight="1" x14ac:dyDescent="0.3">
      <c r="A133" s="235">
        <v>3</v>
      </c>
      <c r="B133" s="236" t="s">
        <v>436</v>
      </c>
      <c r="C133" s="237">
        <v>12448</v>
      </c>
      <c r="D133" s="237">
        <v>19568</v>
      </c>
      <c r="E133" s="237">
        <f t="shared" si="18"/>
        <v>7120</v>
      </c>
      <c r="F133" s="238">
        <f t="shared" si="19"/>
        <v>0.57197943444730082</v>
      </c>
    </row>
    <row r="134" spans="1:6" ht="20.25" customHeight="1" x14ac:dyDescent="0.3">
      <c r="A134" s="235">
        <v>4</v>
      </c>
      <c r="B134" s="236" t="s">
        <v>437</v>
      </c>
      <c r="C134" s="237">
        <v>1515</v>
      </c>
      <c r="D134" s="237">
        <v>4072</v>
      </c>
      <c r="E134" s="237">
        <f t="shared" si="18"/>
        <v>2557</v>
      </c>
      <c r="F134" s="238">
        <f t="shared" si="19"/>
        <v>1.6877887788778878</v>
      </c>
    </row>
    <row r="135" spans="1:6" ht="20.25" customHeight="1" x14ac:dyDescent="0.3">
      <c r="A135" s="235">
        <v>5</v>
      </c>
      <c r="B135" s="236" t="s">
        <v>373</v>
      </c>
      <c r="C135" s="239">
        <v>1</v>
      </c>
      <c r="D135" s="239">
        <v>1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2</v>
      </c>
      <c r="D136" s="239">
        <v>4</v>
      </c>
      <c r="E136" s="239">
        <f t="shared" si="18"/>
        <v>2</v>
      </c>
      <c r="F136" s="238">
        <f t="shared" si="19"/>
        <v>1</v>
      </c>
    </row>
    <row r="137" spans="1:6" ht="20.25" customHeight="1" x14ac:dyDescent="0.3">
      <c r="A137" s="235">
        <v>7</v>
      </c>
      <c r="B137" s="236" t="s">
        <v>438</v>
      </c>
      <c r="C137" s="239">
        <v>4</v>
      </c>
      <c r="D137" s="239">
        <v>8</v>
      </c>
      <c r="E137" s="239">
        <f t="shared" si="18"/>
        <v>4</v>
      </c>
      <c r="F137" s="238">
        <f t="shared" si="19"/>
        <v>1</v>
      </c>
    </row>
    <row r="138" spans="1:6" ht="20.25" customHeight="1" x14ac:dyDescent="0.3">
      <c r="A138" s="235">
        <v>8</v>
      </c>
      <c r="B138" s="236" t="s">
        <v>439</v>
      </c>
      <c r="C138" s="239">
        <v>4</v>
      </c>
      <c r="D138" s="239">
        <v>8</v>
      </c>
      <c r="E138" s="239">
        <f t="shared" si="18"/>
        <v>4</v>
      </c>
      <c r="F138" s="238">
        <f t="shared" si="19"/>
        <v>1</v>
      </c>
    </row>
    <row r="139" spans="1:6" ht="20.25" customHeight="1" x14ac:dyDescent="0.3">
      <c r="A139" s="235">
        <v>9</v>
      </c>
      <c r="B139" s="236" t="s">
        <v>440</v>
      </c>
      <c r="C139" s="239">
        <v>1</v>
      </c>
      <c r="D139" s="239">
        <v>1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21731</v>
      </c>
      <c r="D140" s="243">
        <f>+D131+D133</f>
        <v>31642</v>
      </c>
      <c r="E140" s="243">
        <f t="shared" si="18"/>
        <v>9911</v>
      </c>
      <c r="F140" s="244">
        <f t="shared" si="19"/>
        <v>0.4560765726381667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8578</v>
      </c>
      <c r="D141" s="243">
        <f>+D132+D134</f>
        <v>9236</v>
      </c>
      <c r="E141" s="243">
        <f t="shared" si="18"/>
        <v>658</v>
      </c>
      <c r="F141" s="244">
        <f t="shared" si="19"/>
        <v>7.6707857309396124E-2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721940</v>
      </c>
      <c r="D183" s="237">
        <v>525965</v>
      </c>
      <c r="E183" s="237">
        <f t="shared" ref="E183:E193" si="26">D183-C183</f>
        <v>-195975</v>
      </c>
      <c r="F183" s="238">
        <f t="shared" ref="F183:F193" si="27">IF(C183=0,0,E183/C183)</f>
        <v>-0.27145607668227278</v>
      </c>
    </row>
    <row r="184" spans="1:6" ht="20.25" customHeight="1" x14ac:dyDescent="0.3">
      <c r="A184" s="235">
        <v>2</v>
      </c>
      <c r="B184" s="236" t="s">
        <v>435</v>
      </c>
      <c r="C184" s="237">
        <v>265285</v>
      </c>
      <c r="D184" s="237">
        <v>174393</v>
      </c>
      <c r="E184" s="237">
        <f t="shared" si="26"/>
        <v>-90892</v>
      </c>
      <c r="F184" s="238">
        <f t="shared" si="27"/>
        <v>-0.34262020091599599</v>
      </c>
    </row>
    <row r="185" spans="1:6" ht="20.25" customHeight="1" x14ac:dyDescent="0.3">
      <c r="A185" s="235">
        <v>3</v>
      </c>
      <c r="B185" s="236" t="s">
        <v>436</v>
      </c>
      <c r="C185" s="237">
        <v>469595</v>
      </c>
      <c r="D185" s="237">
        <v>402980</v>
      </c>
      <c r="E185" s="237">
        <f t="shared" si="26"/>
        <v>-66615</v>
      </c>
      <c r="F185" s="238">
        <f t="shared" si="27"/>
        <v>-0.14185628041184425</v>
      </c>
    </row>
    <row r="186" spans="1:6" ht="20.25" customHeight="1" x14ac:dyDescent="0.3">
      <c r="A186" s="235">
        <v>4</v>
      </c>
      <c r="B186" s="236" t="s">
        <v>437</v>
      </c>
      <c r="C186" s="237">
        <v>98398</v>
      </c>
      <c r="D186" s="237">
        <v>100209</v>
      </c>
      <c r="E186" s="237">
        <f t="shared" si="26"/>
        <v>1811</v>
      </c>
      <c r="F186" s="238">
        <f t="shared" si="27"/>
        <v>1.8404845626943635E-2</v>
      </c>
    </row>
    <row r="187" spans="1:6" ht="20.25" customHeight="1" x14ac:dyDescent="0.3">
      <c r="A187" s="235">
        <v>5</v>
      </c>
      <c r="B187" s="236" t="s">
        <v>373</v>
      </c>
      <c r="C187" s="239">
        <v>38</v>
      </c>
      <c r="D187" s="239">
        <v>22</v>
      </c>
      <c r="E187" s="239">
        <f t="shared" si="26"/>
        <v>-16</v>
      </c>
      <c r="F187" s="238">
        <f t="shared" si="27"/>
        <v>-0.42105263157894735</v>
      </c>
    </row>
    <row r="188" spans="1:6" ht="20.25" customHeight="1" x14ac:dyDescent="0.3">
      <c r="A188" s="235">
        <v>6</v>
      </c>
      <c r="B188" s="236" t="s">
        <v>372</v>
      </c>
      <c r="C188" s="239">
        <v>193</v>
      </c>
      <c r="D188" s="239">
        <v>121</v>
      </c>
      <c r="E188" s="239">
        <f t="shared" si="26"/>
        <v>-72</v>
      </c>
      <c r="F188" s="238">
        <f t="shared" si="27"/>
        <v>-0.37305699481865284</v>
      </c>
    </row>
    <row r="189" spans="1:6" ht="20.25" customHeight="1" x14ac:dyDescent="0.3">
      <c r="A189" s="235">
        <v>7</v>
      </c>
      <c r="B189" s="236" t="s">
        <v>438</v>
      </c>
      <c r="C189" s="239">
        <v>271</v>
      </c>
      <c r="D189" s="239">
        <v>260</v>
      </c>
      <c r="E189" s="239">
        <f t="shared" si="26"/>
        <v>-11</v>
      </c>
      <c r="F189" s="238">
        <f t="shared" si="27"/>
        <v>-4.0590405904059039E-2</v>
      </c>
    </row>
    <row r="190" spans="1:6" ht="20.25" customHeight="1" x14ac:dyDescent="0.3">
      <c r="A190" s="235">
        <v>8</v>
      </c>
      <c r="B190" s="236" t="s">
        <v>439</v>
      </c>
      <c r="C190" s="239">
        <v>54</v>
      </c>
      <c r="D190" s="239">
        <v>65</v>
      </c>
      <c r="E190" s="239">
        <f t="shared" si="26"/>
        <v>11</v>
      </c>
      <c r="F190" s="238">
        <f t="shared" si="27"/>
        <v>0.20370370370370369</v>
      </c>
    </row>
    <row r="191" spans="1:6" ht="20.25" customHeight="1" x14ac:dyDescent="0.3">
      <c r="A191" s="235">
        <v>9</v>
      </c>
      <c r="B191" s="236" t="s">
        <v>440</v>
      </c>
      <c r="C191" s="239">
        <v>38</v>
      </c>
      <c r="D191" s="239">
        <v>19</v>
      </c>
      <c r="E191" s="239">
        <f t="shared" si="26"/>
        <v>-19</v>
      </c>
      <c r="F191" s="238">
        <f t="shared" si="27"/>
        <v>-0.5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1191535</v>
      </c>
      <c r="D192" s="243">
        <f>+D183+D185</f>
        <v>928945</v>
      </c>
      <c r="E192" s="243">
        <f t="shared" si="26"/>
        <v>-262590</v>
      </c>
      <c r="F192" s="244">
        <f t="shared" si="27"/>
        <v>-0.22037959438875065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363683</v>
      </c>
      <c r="D193" s="243">
        <f>+D184+D186</f>
        <v>274602</v>
      </c>
      <c r="E193" s="243">
        <f t="shared" si="26"/>
        <v>-89081</v>
      </c>
      <c r="F193" s="244">
        <f t="shared" si="27"/>
        <v>-0.24494133627362291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13381601</v>
      </c>
      <c r="D198" s="243">
        <f t="shared" si="28"/>
        <v>12722226</v>
      </c>
      <c r="E198" s="243">
        <f t="shared" ref="E198:E208" si="29">D198-C198</f>
        <v>-659375</v>
      </c>
      <c r="F198" s="251">
        <f t="shared" ref="F198:F208" si="30">IF(C198=0,0,E198/C198)</f>
        <v>-4.9274746721263023E-2</v>
      </c>
    </row>
    <row r="199" spans="1:9" ht="20.25" customHeight="1" x14ac:dyDescent="0.3">
      <c r="A199" s="249"/>
      <c r="B199" s="250" t="s">
        <v>461</v>
      </c>
      <c r="C199" s="243">
        <f t="shared" si="28"/>
        <v>4882292</v>
      </c>
      <c r="D199" s="243">
        <f t="shared" si="28"/>
        <v>4266629</v>
      </c>
      <c r="E199" s="243">
        <f t="shared" si="29"/>
        <v>-615663</v>
      </c>
      <c r="F199" s="251">
        <f t="shared" si="30"/>
        <v>-0.1261012245887792</v>
      </c>
    </row>
    <row r="200" spans="1:9" ht="20.25" customHeight="1" x14ac:dyDescent="0.3">
      <c r="A200" s="249"/>
      <c r="B200" s="250" t="s">
        <v>462</v>
      </c>
      <c r="C200" s="243">
        <f t="shared" si="28"/>
        <v>17730402</v>
      </c>
      <c r="D200" s="243">
        <f t="shared" si="28"/>
        <v>15745506</v>
      </c>
      <c r="E200" s="243">
        <f t="shared" si="29"/>
        <v>-1984896</v>
      </c>
      <c r="F200" s="251">
        <f t="shared" si="30"/>
        <v>-0.11194873077327858</v>
      </c>
    </row>
    <row r="201" spans="1:9" ht="20.25" customHeight="1" x14ac:dyDescent="0.3">
      <c r="A201" s="249"/>
      <c r="B201" s="250" t="s">
        <v>463</v>
      </c>
      <c r="C201" s="243">
        <f t="shared" si="28"/>
        <v>3563811</v>
      </c>
      <c r="D201" s="243">
        <f t="shared" si="28"/>
        <v>3904884</v>
      </c>
      <c r="E201" s="243">
        <f t="shared" si="29"/>
        <v>341073</v>
      </c>
      <c r="F201" s="251">
        <f t="shared" si="30"/>
        <v>9.5704570191853605E-2</v>
      </c>
    </row>
    <row r="202" spans="1:9" ht="20.25" customHeight="1" x14ac:dyDescent="0.3">
      <c r="A202" s="249"/>
      <c r="B202" s="250" t="s">
        <v>464</v>
      </c>
      <c r="C202" s="252">
        <f t="shared" si="28"/>
        <v>574</v>
      </c>
      <c r="D202" s="252">
        <f t="shared" si="28"/>
        <v>591</v>
      </c>
      <c r="E202" s="252">
        <f t="shared" si="29"/>
        <v>17</v>
      </c>
      <c r="F202" s="251">
        <f t="shared" si="30"/>
        <v>2.9616724738675958E-2</v>
      </c>
    </row>
    <row r="203" spans="1:9" ht="20.25" customHeight="1" x14ac:dyDescent="0.3">
      <c r="A203" s="249"/>
      <c r="B203" s="250" t="s">
        <v>465</v>
      </c>
      <c r="C203" s="252">
        <f t="shared" si="28"/>
        <v>2732</v>
      </c>
      <c r="D203" s="252">
        <f t="shared" si="28"/>
        <v>2559</v>
      </c>
      <c r="E203" s="252">
        <f t="shared" si="29"/>
        <v>-173</v>
      </c>
      <c r="F203" s="251">
        <f t="shared" si="30"/>
        <v>-6.332357247437774E-2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6810</v>
      </c>
      <c r="D204" s="252">
        <f t="shared" si="28"/>
        <v>8023</v>
      </c>
      <c r="E204" s="252">
        <f t="shared" si="29"/>
        <v>1213</v>
      </c>
      <c r="F204" s="251">
        <f t="shared" si="30"/>
        <v>0.17812041116005875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1098</v>
      </c>
      <c r="D205" s="252">
        <f t="shared" si="28"/>
        <v>1197</v>
      </c>
      <c r="E205" s="252">
        <f t="shared" si="29"/>
        <v>99</v>
      </c>
      <c r="F205" s="251">
        <f t="shared" si="30"/>
        <v>9.0163934426229511E-2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514</v>
      </c>
      <c r="D206" s="252">
        <f t="shared" si="28"/>
        <v>505</v>
      </c>
      <c r="E206" s="252">
        <f t="shared" si="29"/>
        <v>-9</v>
      </c>
      <c r="F206" s="251">
        <f t="shared" si="30"/>
        <v>-1.7509727626459144E-2</v>
      </c>
    </row>
    <row r="207" spans="1:9" ht="20.25" customHeight="1" x14ac:dyDescent="0.3">
      <c r="A207" s="249"/>
      <c r="B207" s="242" t="s">
        <v>469</v>
      </c>
      <c r="C207" s="243">
        <f>+C198+C200</f>
        <v>31112003</v>
      </c>
      <c r="D207" s="243">
        <f>+D198+D200</f>
        <v>28467732</v>
      </c>
      <c r="E207" s="243">
        <f t="shared" si="29"/>
        <v>-2644271</v>
      </c>
      <c r="F207" s="251">
        <f t="shared" si="30"/>
        <v>-8.4991988461816492E-2</v>
      </c>
    </row>
    <row r="208" spans="1:9" ht="20.25" customHeight="1" x14ac:dyDescent="0.3">
      <c r="A208" s="249"/>
      <c r="B208" s="242" t="s">
        <v>470</v>
      </c>
      <c r="C208" s="243">
        <f>+C199+C201</f>
        <v>8446103</v>
      </c>
      <c r="D208" s="243">
        <f>+D199+D201</f>
        <v>8171513</v>
      </c>
      <c r="E208" s="243">
        <f t="shared" si="29"/>
        <v>-274590</v>
      </c>
      <c r="F208" s="251">
        <f t="shared" si="30"/>
        <v>-3.2510851454215041E-2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FILING&amp;RBRISTOL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6077</v>
      </c>
      <c r="D14" s="237">
        <v>0</v>
      </c>
      <c r="E14" s="237">
        <f t="shared" ref="E14:E24" si="0">D14-C14</f>
        <v>-6077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60292</v>
      </c>
      <c r="D16" s="237">
        <v>0</v>
      </c>
      <c r="E16" s="237">
        <f t="shared" si="0"/>
        <v>-60292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15598</v>
      </c>
      <c r="D17" s="237">
        <v>0</v>
      </c>
      <c r="E17" s="237">
        <f t="shared" si="0"/>
        <v>-15598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1</v>
      </c>
      <c r="D18" s="239">
        <v>0</v>
      </c>
      <c r="E18" s="239">
        <f t="shared" si="0"/>
        <v>-1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1</v>
      </c>
      <c r="D19" s="239">
        <v>0</v>
      </c>
      <c r="E19" s="239">
        <f t="shared" si="0"/>
        <v>-1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1</v>
      </c>
      <c r="D20" s="239">
        <v>0</v>
      </c>
      <c r="E20" s="239">
        <f t="shared" si="0"/>
        <v>-1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45</v>
      </c>
      <c r="D21" s="239">
        <v>0</v>
      </c>
      <c r="E21" s="239">
        <f t="shared" si="0"/>
        <v>-45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1</v>
      </c>
      <c r="D22" s="239">
        <v>0</v>
      </c>
      <c r="E22" s="239">
        <f t="shared" si="0"/>
        <v>-1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66369</v>
      </c>
      <c r="D23" s="243">
        <f>+D14+D16</f>
        <v>0</v>
      </c>
      <c r="E23" s="243">
        <f t="shared" si="0"/>
        <v>-66369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15598</v>
      </c>
      <c r="D24" s="243">
        <f>+D15+D17</f>
        <v>0</v>
      </c>
      <c r="E24" s="243">
        <f t="shared" si="0"/>
        <v>-15598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6034128</v>
      </c>
      <c r="D26" s="237">
        <v>5957223</v>
      </c>
      <c r="E26" s="237">
        <f t="shared" ref="E26:E36" si="2">D26-C26</f>
        <v>-76905</v>
      </c>
      <c r="F26" s="238">
        <f t="shared" ref="F26:F36" si="3">IF(C26=0,0,E26/C26)</f>
        <v>-1.2745006403576457E-2</v>
      </c>
    </row>
    <row r="27" spans="1:6" ht="20.25" customHeight="1" x14ac:dyDescent="0.3">
      <c r="A27" s="235">
        <v>2</v>
      </c>
      <c r="B27" s="236" t="s">
        <v>435</v>
      </c>
      <c r="C27" s="237">
        <v>1225843</v>
      </c>
      <c r="D27" s="237">
        <v>1504568</v>
      </c>
      <c r="E27" s="237">
        <f t="shared" si="2"/>
        <v>278725</v>
      </c>
      <c r="F27" s="238">
        <f t="shared" si="3"/>
        <v>0.22737414171309051</v>
      </c>
    </row>
    <row r="28" spans="1:6" ht="20.25" customHeight="1" x14ac:dyDescent="0.3">
      <c r="A28" s="235">
        <v>3</v>
      </c>
      <c r="B28" s="236" t="s">
        <v>436</v>
      </c>
      <c r="C28" s="237">
        <v>16393071</v>
      </c>
      <c r="D28" s="237">
        <v>18418803</v>
      </c>
      <c r="E28" s="237">
        <f t="shared" si="2"/>
        <v>2025732</v>
      </c>
      <c r="F28" s="238">
        <f t="shared" si="3"/>
        <v>0.12357245326394305</v>
      </c>
    </row>
    <row r="29" spans="1:6" ht="20.25" customHeight="1" x14ac:dyDescent="0.3">
      <c r="A29" s="235">
        <v>4</v>
      </c>
      <c r="B29" s="236" t="s">
        <v>437</v>
      </c>
      <c r="C29" s="237">
        <v>4091545</v>
      </c>
      <c r="D29" s="237">
        <v>4569375</v>
      </c>
      <c r="E29" s="237">
        <f t="shared" si="2"/>
        <v>477830</v>
      </c>
      <c r="F29" s="238">
        <f t="shared" si="3"/>
        <v>0.11678473535058273</v>
      </c>
    </row>
    <row r="30" spans="1:6" ht="20.25" customHeight="1" x14ac:dyDescent="0.3">
      <c r="A30" s="235">
        <v>5</v>
      </c>
      <c r="B30" s="236" t="s">
        <v>373</v>
      </c>
      <c r="C30" s="239">
        <v>530</v>
      </c>
      <c r="D30" s="239">
        <v>534</v>
      </c>
      <c r="E30" s="239">
        <f t="shared" si="2"/>
        <v>4</v>
      </c>
      <c r="F30" s="238">
        <f t="shared" si="3"/>
        <v>7.5471698113207548E-3</v>
      </c>
    </row>
    <row r="31" spans="1:6" ht="20.25" customHeight="1" x14ac:dyDescent="0.3">
      <c r="A31" s="235">
        <v>6</v>
      </c>
      <c r="B31" s="236" t="s">
        <v>372</v>
      </c>
      <c r="C31" s="239">
        <v>1351</v>
      </c>
      <c r="D31" s="239">
        <v>1420</v>
      </c>
      <c r="E31" s="239">
        <f t="shared" si="2"/>
        <v>69</v>
      </c>
      <c r="F31" s="238">
        <f t="shared" si="3"/>
        <v>5.1073279052553662E-2</v>
      </c>
    </row>
    <row r="32" spans="1:6" ht="20.25" customHeight="1" x14ac:dyDescent="0.3">
      <c r="A32" s="235">
        <v>7</v>
      </c>
      <c r="B32" s="236" t="s">
        <v>438</v>
      </c>
      <c r="C32" s="239">
        <v>12740</v>
      </c>
      <c r="D32" s="239">
        <v>7408</v>
      </c>
      <c r="E32" s="239">
        <f t="shared" si="2"/>
        <v>-5332</v>
      </c>
      <c r="F32" s="238">
        <f t="shared" si="3"/>
        <v>-0.41852433281004708</v>
      </c>
    </row>
    <row r="33" spans="1:6" ht="20.25" customHeight="1" x14ac:dyDescent="0.3">
      <c r="A33" s="235">
        <v>8</v>
      </c>
      <c r="B33" s="236" t="s">
        <v>439</v>
      </c>
      <c r="C33" s="239">
        <v>6287</v>
      </c>
      <c r="D33" s="239">
        <v>6027</v>
      </c>
      <c r="E33" s="239">
        <f t="shared" si="2"/>
        <v>-260</v>
      </c>
      <c r="F33" s="238">
        <f t="shared" si="3"/>
        <v>-4.135517735008748E-2</v>
      </c>
    </row>
    <row r="34" spans="1:6" ht="20.25" customHeight="1" x14ac:dyDescent="0.3">
      <c r="A34" s="235">
        <v>9</v>
      </c>
      <c r="B34" s="236" t="s">
        <v>440</v>
      </c>
      <c r="C34" s="239">
        <v>162</v>
      </c>
      <c r="D34" s="239">
        <v>135</v>
      </c>
      <c r="E34" s="239">
        <f t="shared" si="2"/>
        <v>-27</v>
      </c>
      <c r="F34" s="238">
        <f t="shared" si="3"/>
        <v>-0.16666666666666666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22427199</v>
      </c>
      <c r="D35" s="243">
        <f>+D26+D28</f>
        <v>24376026</v>
      </c>
      <c r="E35" s="243">
        <f t="shared" si="2"/>
        <v>1948827</v>
      </c>
      <c r="F35" s="244">
        <f t="shared" si="3"/>
        <v>8.6895693037726207E-2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5317388</v>
      </c>
      <c r="D36" s="243">
        <f>+D27+D29</f>
        <v>6073943</v>
      </c>
      <c r="E36" s="243">
        <f t="shared" si="2"/>
        <v>756555</v>
      </c>
      <c r="F36" s="244">
        <f t="shared" si="3"/>
        <v>0.14227944246310406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3809</v>
      </c>
      <c r="D40" s="237">
        <v>0</v>
      </c>
      <c r="E40" s="237">
        <f t="shared" si="4"/>
        <v>-3809</v>
      </c>
      <c r="F40" s="238">
        <f t="shared" si="5"/>
        <v>-1</v>
      </c>
    </row>
    <row r="41" spans="1:6" ht="20.25" customHeight="1" x14ac:dyDescent="0.3">
      <c r="A41" s="235">
        <v>4</v>
      </c>
      <c r="B41" s="236" t="s">
        <v>437</v>
      </c>
      <c r="C41" s="237">
        <v>719</v>
      </c>
      <c r="D41" s="237">
        <v>0</v>
      </c>
      <c r="E41" s="237">
        <f t="shared" si="4"/>
        <v>-719</v>
      </c>
      <c r="F41" s="238">
        <f t="shared" si="5"/>
        <v>-1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11</v>
      </c>
      <c r="D44" s="239">
        <v>0</v>
      </c>
      <c r="E44" s="239">
        <f t="shared" si="4"/>
        <v>-11</v>
      </c>
      <c r="F44" s="238">
        <f t="shared" si="5"/>
        <v>-1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3809</v>
      </c>
      <c r="D47" s="243">
        <f>+D38+D40</f>
        <v>0</v>
      </c>
      <c r="E47" s="243">
        <f t="shared" si="4"/>
        <v>-3809</v>
      </c>
      <c r="F47" s="244">
        <f t="shared" si="5"/>
        <v>-1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719</v>
      </c>
      <c r="D48" s="243">
        <f>+D39+D41</f>
        <v>0</v>
      </c>
      <c r="E48" s="243">
        <f t="shared" si="4"/>
        <v>-719</v>
      </c>
      <c r="F48" s="244">
        <f t="shared" si="5"/>
        <v>-1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986611</v>
      </c>
      <c r="D50" s="237">
        <v>981374</v>
      </c>
      <c r="E50" s="237">
        <f t="shared" ref="E50:E60" si="6">D50-C50</f>
        <v>-5237</v>
      </c>
      <c r="F50" s="238">
        <f t="shared" ref="F50:F60" si="7">IF(C50=0,0,E50/C50)</f>
        <v>-5.3080697458268763E-3</v>
      </c>
    </row>
    <row r="51" spans="1:6" ht="20.25" customHeight="1" x14ac:dyDescent="0.3">
      <c r="A51" s="235">
        <v>2</v>
      </c>
      <c r="B51" s="236" t="s">
        <v>435</v>
      </c>
      <c r="C51" s="237">
        <v>285967</v>
      </c>
      <c r="D51" s="237">
        <v>278206</v>
      </c>
      <c r="E51" s="237">
        <f t="shared" si="6"/>
        <v>-7761</v>
      </c>
      <c r="F51" s="238">
        <f t="shared" si="7"/>
        <v>-2.7139495116569396E-2</v>
      </c>
    </row>
    <row r="52" spans="1:6" ht="20.25" customHeight="1" x14ac:dyDescent="0.3">
      <c r="A52" s="235">
        <v>3</v>
      </c>
      <c r="B52" s="236" t="s">
        <v>436</v>
      </c>
      <c r="C52" s="237">
        <v>826331</v>
      </c>
      <c r="D52" s="237">
        <v>829883</v>
      </c>
      <c r="E52" s="237">
        <f t="shared" si="6"/>
        <v>3552</v>
      </c>
      <c r="F52" s="238">
        <f t="shared" si="7"/>
        <v>4.2985196004990739E-3</v>
      </c>
    </row>
    <row r="53" spans="1:6" ht="20.25" customHeight="1" x14ac:dyDescent="0.3">
      <c r="A53" s="235">
        <v>4</v>
      </c>
      <c r="B53" s="236" t="s">
        <v>437</v>
      </c>
      <c r="C53" s="237">
        <v>317573</v>
      </c>
      <c r="D53" s="237">
        <v>248092</v>
      </c>
      <c r="E53" s="237">
        <f t="shared" si="6"/>
        <v>-69481</v>
      </c>
      <c r="F53" s="238">
        <f t="shared" si="7"/>
        <v>-0.2187874913799347</v>
      </c>
    </row>
    <row r="54" spans="1:6" ht="20.25" customHeight="1" x14ac:dyDescent="0.3">
      <c r="A54" s="235">
        <v>5</v>
      </c>
      <c r="B54" s="236" t="s">
        <v>373</v>
      </c>
      <c r="C54" s="239">
        <v>110</v>
      </c>
      <c r="D54" s="239">
        <v>105</v>
      </c>
      <c r="E54" s="239">
        <f t="shared" si="6"/>
        <v>-5</v>
      </c>
      <c r="F54" s="238">
        <f t="shared" si="7"/>
        <v>-4.5454545454545456E-2</v>
      </c>
    </row>
    <row r="55" spans="1:6" ht="20.25" customHeight="1" x14ac:dyDescent="0.3">
      <c r="A55" s="235">
        <v>6</v>
      </c>
      <c r="B55" s="236" t="s">
        <v>372</v>
      </c>
      <c r="C55" s="239">
        <v>410</v>
      </c>
      <c r="D55" s="239">
        <v>404</v>
      </c>
      <c r="E55" s="239">
        <f t="shared" si="6"/>
        <v>-6</v>
      </c>
      <c r="F55" s="238">
        <f t="shared" si="7"/>
        <v>-1.4634146341463415E-2</v>
      </c>
    </row>
    <row r="56" spans="1:6" ht="20.25" customHeight="1" x14ac:dyDescent="0.3">
      <c r="A56" s="235">
        <v>7</v>
      </c>
      <c r="B56" s="236" t="s">
        <v>438</v>
      </c>
      <c r="C56" s="239">
        <v>1445</v>
      </c>
      <c r="D56" s="239">
        <v>1407</v>
      </c>
      <c r="E56" s="239">
        <f t="shared" si="6"/>
        <v>-38</v>
      </c>
      <c r="F56" s="238">
        <f t="shared" si="7"/>
        <v>-2.6297577854671281E-2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13</v>
      </c>
      <c r="E57" s="239">
        <f t="shared" si="6"/>
        <v>13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98</v>
      </c>
      <c r="D58" s="239">
        <v>91</v>
      </c>
      <c r="E58" s="239">
        <f t="shared" si="6"/>
        <v>-7</v>
      </c>
      <c r="F58" s="238">
        <f t="shared" si="7"/>
        <v>-7.1428571428571425E-2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1812942</v>
      </c>
      <c r="D59" s="243">
        <f>+D50+D52</f>
        <v>1811257</v>
      </c>
      <c r="E59" s="243">
        <f t="shared" si="6"/>
        <v>-1685</v>
      </c>
      <c r="F59" s="244">
        <f t="shared" si="7"/>
        <v>-9.2942852005193765E-4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603540</v>
      </c>
      <c r="D60" s="243">
        <f>+D51+D53</f>
        <v>526298</v>
      </c>
      <c r="E60" s="243">
        <f t="shared" si="6"/>
        <v>-77242</v>
      </c>
      <c r="F60" s="244">
        <f t="shared" si="7"/>
        <v>-0.12798157537197202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327982</v>
      </c>
      <c r="D86" s="237">
        <v>848011</v>
      </c>
      <c r="E86" s="237">
        <f t="shared" ref="E86:E96" si="12">D86-C86</f>
        <v>520029</v>
      </c>
      <c r="F86" s="238">
        <f t="shared" ref="F86:F96" si="13">IF(C86=0,0,E86/C86)</f>
        <v>1.585541279704374</v>
      </c>
    </row>
    <row r="87" spans="1:6" ht="20.25" customHeight="1" x14ac:dyDescent="0.3">
      <c r="A87" s="235">
        <v>2</v>
      </c>
      <c r="B87" s="236" t="s">
        <v>435</v>
      </c>
      <c r="C87" s="237">
        <v>91536</v>
      </c>
      <c r="D87" s="237">
        <v>209169</v>
      </c>
      <c r="E87" s="237">
        <f t="shared" si="12"/>
        <v>117633</v>
      </c>
      <c r="F87" s="238">
        <f t="shared" si="13"/>
        <v>1.2851009438909282</v>
      </c>
    </row>
    <row r="88" spans="1:6" ht="20.25" customHeight="1" x14ac:dyDescent="0.3">
      <c r="A88" s="235">
        <v>3</v>
      </c>
      <c r="B88" s="236" t="s">
        <v>436</v>
      </c>
      <c r="C88" s="237">
        <v>983554</v>
      </c>
      <c r="D88" s="237">
        <v>1340181</v>
      </c>
      <c r="E88" s="237">
        <f t="shared" si="12"/>
        <v>356627</v>
      </c>
      <c r="F88" s="238">
        <f t="shared" si="13"/>
        <v>0.36259015773409492</v>
      </c>
    </row>
    <row r="89" spans="1:6" ht="20.25" customHeight="1" x14ac:dyDescent="0.3">
      <c r="A89" s="235">
        <v>4</v>
      </c>
      <c r="B89" s="236" t="s">
        <v>437</v>
      </c>
      <c r="C89" s="237">
        <v>236151</v>
      </c>
      <c r="D89" s="237">
        <v>299597</v>
      </c>
      <c r="E89" s="237">
        <f t="shared" si="12"/>
        <v>63446</v>
      </c>
      <c r="F89" s="238">
        <f t="shared" si="13"/>
        <v>0.2686670816553815</v>
      </c>
    </row>
    <row r="90" spans="1:6" ht="20.25" customHeight="1" x14ac:dyDescent="0.3">
      <c r="A90" s="235">
        <v>5</v>
      </c>
      <c r="B90" s="236" t="s">
        <v>373</v>
      </c>
      <c r="C90" s="239">
        <v>31</v>
      </c>
      <c r="D90" s="239">
        <v>67</v>
      </c>
      <c r="E90" s="239">
        <f t="shared" si="12"/>
        <v>36</v>
      </c>
      <c r="F90" s="238">
        <f t="shared" si="13"/>
        <v>1.1612903225806452</v>
      </c>
    </row>
    <row r="91" spans="1:6" ht="20.25" customHeight="1" x14ac:dyDescent="0.3">
      <c r="A91" s="235">
        <v>6</v>
      </c>
      <c r="B91" s="236" t="s">
        <v>372</v>
      </c>
      <c r="C91" s="239">
        <v>83</v>
      </c>
      <c r="D91" s="239">
        <v>195</v>
      </c>
      <c r="E91" s="239">
        <f t="shared" si="12"/>
        <v>112</v>
      </c>
      <c r="F91" s="238">
        <f t="shared" si="13"/>
        <v>1.3493975903614457</v>
      </c>
    </row>
    <row r="92" spans="1:6" ht="20.25" customHeight="1" x14ac:dyDescent="0.3">
      <c r="A92" s="235">
        <v>7</v>
      </c>
      <c r="B92" s="236" t="s">
        <v>438</v>
      </c>
      <c r="C92" s="239">
        <v>322</v>
      </c>
      <c r="D92" s="239">
        <v>655</v>
      </c>
      <c r="E92" s="239">
        <f t="shared" si="12"/>
        <v>333</v>
      </c>
      <c r="F92" s="238">
        <f t="shared" si="13"/>
        <v>1.0341614906832297</v>
      </c>
    </row>
    <row r="93" spans="1:6" ht="20.25" customHeight="1" x14ac:dyDescent="0.3">
      <c r="A93" s="235">
        <v>8</v>
      </c>
      <c r="B93" s="236" t="s">
        <v>439</v>
      </c>
      <c r="C93" s="239">
        <v>480</v>
      </c>
      <c r="D93" s="239">
        <v>546</v>
      </c>
      <c r="E93" s="239">
        <f t="shared" si="12"/>
        <v>66</v>
      </c>
      <c r="F93" s="238">
        <f t="shared" si="13"/>
        <v>0.13750000000000001</v>
      </c>
    </row>
    <row r="94" spans="1:6" ht="20.25" customHeight="1" x14ac:dyDescent="0.3">
      <c r="A94" s="235">
        <v>9</v>
      </c>
      <c r="B94" s="236" t="s">
        <v>440</v>
      </c>
      <c r="C94" s="239">
        <v>10</v>
      </c>
      <c r="D94" s="239">
        <v>19</v>
      </c>
      <c r="E94" s="239">
        <f t="shared" si="12"/>
        <v>9</v>
      </c>
      <c r="F94" s="238">
        <f t="shared" si="13"/>
        <v>0.9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1311536</v>
      </c>
      <c r="D95" s="243">
        <f>+D86+D88</f>
        <v>2188192</v>
      </c>
      <c r="E95" s="243">
        <f t="shared" si="12"/>
        <v>876656</v>
      </c>
      <c r="F95" s="244">
        <f t="shared" si="13"/>
        <v>0.66841931902746088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327687</v>
      </c>
      <c r="D96" s="243">
        <f>+D87+D89</f>
        <v>508766</v>
      </c>
      <c r="E96" s="243">
        <f t="shared" si="12"/>
        <v>181079</v>
      </c>
      <c r="F96" s="244">
        <f t="shared" si="13"/>
        <v>0.55259744817463008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1160713</v>
      </c>
      <c r="D98" s="237">
        <v>398159</v>
      </c>
      <c r="E98" s="237">
        <f t="shared" ref="E98:E108" si="14">D98-C98</f>
        <v>-762554</v>
      </c>
      <c r="F98" s="238">
        <f t="shared" ref="F98:F108" si="15">IF(C98=0,0,E98/C98)</f>
        <v>-0.65697032772097841</v>
      </c>
    </row>
    <row r="99" spans="1:7" ht="20.25" customHeight="1" x14ac:dyDescent="0.3">
      <c r="A99" s="235">
        <v>2</v>
      </c>
      <c r="B99" s="236" t="s">
        <v>435</v>
      </c>
      <c r="C99" s="237">
        <v>278024</v>
      </c>
      <c r="D99" s="237">
        <v>69791</v>
      </c>
      <c r="E99" s="237">
        <f t="shared" si="14"/>
        <v>-208233</v>
      </c>
      <c r="F99" s="238">
        <f t="shared" si="15"/>
        <v>-0.7489749086409806</v>
      </c>
    </row>
    <row r="100" spans="1:7" ht="20.25" customHeight="1" x14ac:dyDescent="0.3">
      <c r="A100" s="235">
        <v>3</v>
      </c>
      <c r="B100" s="236" t="s">
        <v>436</v>
      </c>
      <c r="C100" s="237">
        <v>2462931</v>
      </c>
      <c r="D100" s="237">
        <v>1582812</v>
      </c>
      <c r="E100" s="237">
        <f t="shared" si="14"/>
        <v>-880119</v>
      </c>
      <c r="F100" s="238">
        <f t="shared" si="15"/>
        <v>-0.3573461863121622</v>
      </c>
    </row>
    <row r="101" spans="1:7" ht="20.25" customHeight="1" x14ac:dyDescent="0.3">
      <c r="A101" s="235">
        <v>4</v>
      </c>
      <c r="B101" s="236" t="s">
        <v>437</v>
      </c>
      <c r="C101" s="237">
        <v>653070</v>
      </c>
      <c r="D101" s="237">
        <v>354907</v>
      </c>
      <c r="E101" s="237">
        <f t="shared" si="14"/>
        <v>-298163</v>
      </c>
      <c r="F101" s="238">
        <f t="shared" si="15"/>
        <v>-0.45655595877930388</v>
      </c>
    </row>
    <row r="102" spans="1:7" ht="20.25" customHeight="1" x14ac:dyDescent="0.3">
      <c r="A102" s="235">
        <v>5</v>
      </c>
      <c r="B102" s="236" t="s">
        <v>373</v>
      </c>
      <c r="C102" s="239">
        <v>104</v>
      </c>
      <c r="D102" s="239">
        <v>29</v>
      </c>
      <c r="E102" s="239">
        <f t="shared" si="14"/>
        <v>-75</v>
      </c>
      <c r="F102" s="238">
        <f t="shared" si="15"/>
        <v>-0.72115384615384615</v>
      </c>
    </row>
    <row r="103" spans="1:7" ht="20.25" customHeight="1" x14ac:dyDescent="0.3">
      <c r="A103" s="235">
        <v>6</v>
      </c>
      <c r="B103" s="236" t="s">
        <v>372</v>
      </c>
      <c r="C103" s="239">
        <v>267</v>
      </c>
      <c r="D103" s="239">
        <v>73</v>
      </c>
      <c r="E103" s="239">
        <f t="shared" si="14"/>
        <v>-194</v>
      </c>
      <c r="F103" s="238">
        <f t="shared" si="15"/>
        <v>-0.72659176029962547</v>
      </c>
    </row>
    <row r="104" spans="1:7" ht="20.25" customHeight="1" x14ac:dyDescent="0.3">
      <c r="A104" s="235">
        <v>7</v>
      </c>
      <c r="B104" s="236" t="s">
        <v>438</v>
      </c>
      <c r="C104" s="239">
        <v>612</v>
      </c>
      <c r="D104" s="239">
        <v>176</v>
      </c>
      <c r="E104" s="239">
        <f t="shared" si="14"/>
        <v>-436</v>
      </c>
      <c r="F104" s="238">
        <f t="shared" si="15"/>
        <v>-0.71241830065359479</v>
      </c>
    </row>
    <row r="105" spans="1:7" ht="20.25" customHeight="1" x14ac:dyDescent="0.3">
      <c r="A105" s="235">
        <v>8</v>
      </c>
      <c r="B105" s="236" t="s">
        <v>439</v>
      </c>
      <c r="C105" s="239">
        <v>1220</v>
      </c>
      <c r="D105" s="239">
        <v>999</v>
      </c>
      <c r="E105" s="239">
        <f t="shared" si="14"/>
        <v>-221</v>
      </c>
      <c r="F105" s="238">
        <f t="shared" si="15"/>
        <v>-0.18114754098360655</v>
      </c>
    </row>
    <row r="106" spans="1:7" ht="20.25" customHeight="1" x14ac:dyDescent="0.3">
      <c r="A106" s="235">
        <v>9</v>
      </c>
      <c r="B106" s="236" t="s">
        <v>440</v>
      </c>
      <c r="C106" s="239">
        <v>52</v>
      </c>
      <c r="D106" s="239">
        <v>22</v>
      </c>
      <c r="E106" s="239">
        <f t="shared" si="14"/>
        <v>-30</v>
      </c>
      <c r="F106" s="238">
        <f t="shared" si="15"/>
        <v>-0.57692307692307687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3623644</v>
      </c>
      <c r="D107" s="243">
        <f>+D98+D100</f>
        <v>1980971</v>
      </c>
      <c r="E107" s="243">
        <f t="shared" si="14"/>
        <v>-1642673</v>
      </c>
      <c r="F107" s="244">
        <f t="shared" si="15"/>
        <v>-0.4533207456361607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931094</v>
      </c>
      <c r="D108" s="243">
        <f>+D99+D101</f>
        <v>424698</v>
      </c>
      <c r="E108" s="243">
        <f t="shared" si="14"/>
        <v>-506396</v>
      </c>
      <c r="F108" s="244">
        <f t="shared" si="15"/>
        <v>-0.54387204729060656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8515511</v>
      </c>
      <c r="D112" s="243">
        <f t="shared" si="16"/>
        <v>8184767</v>
      </c>
      <c r="E112" s="243">
        <f t="shared" ref="E112:E122" si="17">D112-C112</f>
        <v>-330744</v>
      </c>
      <c r="F112" s="244">
        <f t="shared" ref="F112:F122" si="18">IF(C112=0,0,E112/C112)</f>
        <v>-3.8840182344899797E-2</v>
      </c>
    </row>
    <row r="113" spans="1:6" ht="20.25" customHeight="1" x14ac:dyDescent="0.3">
      <c r="A113" s="249"/>
      <c r="B113" s="250" t="s">
        <v>461</v>
      </c>
      <c r="C113" s="243">
        <f t="shared" si="16"/>
        <v>1881370</v>
      </c>
      <c r="D113" s="243">
        <f t="shared" si="16"/>
        <v>2061734</v>
      </c>
      <c r="E113" s="243">
        <f t="shared" si="17"/>
        <v>180364</v>
      </c>
      <c r="F113" s="244">
        <f t="shared" si="18"/>
        <v>9.5868436299079929E-2</v>
      </c>
    </row>
    <row r="114" spans="1:6" ht="20.25" customHeight="1" x14ac:dyDescent="0.3">
      <c r="A114" s="249"/>
      <c r="B114" s="250" t="s">
        <v>462</v>
      </c>
      <c r="C114" s="243">
        <f t="shared" si="16"/>
        <v>20729988</v>
      </c>
      <c r="D114" s="243">
        <f t="shared" si="16"/>
        <v>22171679</v>
      </c>
      <c r="E114" s="243">
        <f t="shared" si="17"/>
        <v>1441691</v>
      </c>
      <c r="F114" s="244">
        <f t="shared" si="18"/>
        <v>6.954615699729301E-2</v>
      </c>
    </row>
    <row r="115" spans="1:6" ht="20.25" customHeight="1" x14ac:dyDescent="0.3">
      <c r="A115" s="249"/>
      <c r="B115" s="250" t="s">
        <v>463</v>
      </c>
      <c r="C115" s="243">
        <f t="shared" si="16"/>
        <v>5314656</v>
      </c>
      <c r="D115" s="243">
        <f t="shared" si="16"/>
        <v>5471971</v>
      </c>
      <c r="E115" s="243">
        <f t="shared" si="17"/>
        <v>157315</v>
      </c>
      <c r="F115" s="244">
        <f t="shared" si="18"/>
        <v>2.9600222479121883E-2</v>
      </c>
    </row>
    <row r="116" spans="1:6" ht="20.25" customHeight="1" x14ac:dyDescent="0.3">
      <c r="A116" s="249"/>
      <c r="B116" s="250" t="s">
        <v>464</v>
      </c>
      <c r="C116" s="252">
        <f t="shared" si="16"/>
        <v>776</v>
      </c>
      <c r="D116" s="252">
        <f t="shared" si="16"/>
        <v>735</v>
      </c>
      <c r="E116" s="252">
        <f t="shared" si="17"/>
        <v>-41</v>
      </c>
      <c r="F116" s="244">
        <f t="shared" si="18"/>
        <v>-5.2835051546391752E-2</v>
      </c>
    </row>
    <row r="117" spans="1:6" ht="20.25" customHeight="1" x14ac:dyDescent="0.3">
      <c r="A117" s="249"/>
      <c r="B117" s="250" t="s">
        <v>465</v>
      </c>
      <c r="C117" s="252">
        <f t="shared" si="16"/>
        <v>2112</v>
      </c>
      <c r="D117" s="252">
        <f t="shared" si="16"/>
        <v>2092</v>
      </c>
      <c r="E117" s="252">
        <f t="shared" si="17"/>
        <v>-20</v>
      </c>
      <c r="F117" s="244">
        <f t="shared" si="18"/>
        <v>-9.46969696969697E-3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15131</v>
      </c>
      <c r="D118" s="252">
        <f t="shared" si="16"/>
        <v>9646</v>
      </c>
      <c r="E118" s="252">
        <f t="shared" si="17"/>
        <v>-5485</v>
      </c>
      <c r="F118" s="244">
        <f t="shared" si="18"/>
        <v>-0.36250082611856455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8032</v>
      </c>
      <c r="D119" s="252">
        <f t="shared" si="16"/>
        <v>7585</v>
      </c>
      <c r="E119" s="252">
        <f t="shared" si="17"/>
        <v>-447</v>
      </c>
      <c r="F119" s="244">
        <f t="shared" si="18"/>
        <v>-5.5652390438247011E-2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323</v>
      </c>
      <c r="D120" s="252">
        <f t="shared" si="16"/>
        <v>267</v>
      </c>
      <c r="E120" s="252">
        <f t="shared" si="17"/>
        <v>-56</v>
      </c>
      <c r="F120" s="244">
        <f t="shared" si="18"/>
        <v>-0.17337461300309598</v>
      </c>
    </row>
    <row r="121" spans="1:6" ht="39.950000000000003" customHeight="1" x14ac:dyDescent="0.3">
      <c r="A121" s="249"/>
      <c r="B121" s="242" t="s">
        <v>441</v>
      </c>
      <c r="C121" s="243">
        <f>+C112+C114</f>
        <v>29245499</v>
      </c>
      <c r="D121" s="243">
        <f>+D112+D114</f>
        <v>30356446</v>
      </c>
      <c r="E121" s="243">
        <f t="shared" si="17"/>
        <v>1110947</v>
      </c>
      <c r="F121" s="244">
        <f t="shared" si="18"/>
        <v>3.7986939460325157E-2</v>
      </c>
    </row>
    <row r="122" spans="1:6" ht="39.950000000000003" customHeight="1" x14ac:dyDescent="0.3">
      <c r="A122" s="249"/>
      <c r="B122" s="242" t="s">
        <v>470</v>
      </c>
      <c r="C122" s="243">
        <f>+C113+C115</f>
        <v>7196026</v>
      </c>
      <c r="D122" s="243">
        <f>+D113+D115</f>
        <v>7533705</v>
      </c>
      <c r="E122" s="243">
        <f t="shared" si="17"/>
        <v>337679</v>
      </c>
      <c r="F122" s="244">
        <f t="shared" si="18"/>
        <v>4.6925761524485875E-2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FILING&amp;RBRISTOL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11995841</v>
      </c>
      <c r="D13" s="23">
        <v>9063284</v>
      </c>
      <c r="E13" s="23">
        <f t="shared" ref="E13:E22" si="0">D13-C13</f>
        <v>-2932557</v>
      </c>
      <c r="F13" s="24">
        <f t="shared" ref="F13:F22" si="1">IF(C13=0,0,E13/C13)</f>
        <v>-0.24446447731342888</v>
      </c>
    </row>
    <row r="14" spans="1:8" ht="24" customHeight="1" x14ac:dyDescent="0.2">
      <c r="A14" s="21">
        <v>2</v>
      </c>
      <c r="B14" s="22" t="s">
        <v>17</v>
      </c>
      <c r="C14" s="23">
        <v>96165</v>
      </c>
      <c r="D14" s="23">
        <v>96343</v>
      </c>
      <c r="E14" s="23">
        <f t="shared" si="0"/>
        <v>178</v>
      </c>
      <c r="F14" s="24">
        <f t="shared" si="1"/>
        <v>1.850985285706858E-3</v>
      </c>
    </row>
    <row r="15" spans="1:8" ht="35.1" customHeight="1" x14ac:dyDescent="0.2">
      <c r="A15" s="21">
        <v>3</v>
      </c>
      <c r="B15" s="22" t="s">
        <v>18</v>
      </c>
      <c r="C15" s="23">
        <v>18907341</v>
      </c>
      <c r="D15" s="23">
        <v>24121394</v>
      </c>
      <c r="E15" s="23">
        <f t="shared" si="0"/>
        <v>5214053</v>
      </c>
      <c r="F15" s="24">
        <f t="shared" si="1"/>
        <v>0.27576870803779335</v>
      </c>
    </row>
    <row r="16" spans="1:8" ht="35.1" customHeight="1" x14ac:dyDescent="0.2">
      <c r="A16" s="21">
        <v>4</v>
      </c>
      <c r="B16" s="22" t="s">
        <v>19</v>
      </c>
      <c r="C16" s="23">
        <v>650669</v>
      </c>
      <c r="D16" s="23">
        <v>654455</v>
      </c>
      <c r="E16" s="23">
        <f t="shared" si="0"/>
        <v>3786</v>
      </c>
      <c r="F16" s="24">
        <f t="shared" si="1"/>
        <v>5.8186266750068008E-3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2379937</v>
      </c>
      <c r="E18" s="23">
        <f t="shared" si="0"/>
        <v>2379937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1474469</v>
      </c>
      <c r="D19" s="23">
        <v>1731093</v>
      </c>
      <c r="E19" s="23">
        <f t="shared" si="0"/>
        <v>256624</v>
      </c>
      <c r="F19" s="24">
        <f t="shared" si="1"/>
        <v>0.17404502909182898</v>
      </c>
    </row>
    <row r="20" spans="1:11" ht="24" customHeight="1" x14ac:dyDescent="0.2">
      <c r="A20" s="21">
        <v>8</v>
      </c>
      <c r="B20" s="22" t="s">
        <v>23</v>
      </c>
      <c r="C20" s="23">
        <v>1016410</v>
      </c>
      <c r="D20" s="23">
        <v>518896</v>
      </c>
      <c r="E20" s="23">
        <f t="shared" si="0"/>
        <v>-497514</v>
      </c>
      <c r="F20" s="24">
        <f t="shared" si="1"/>
        <v>-0.48948160683188868</v>
      </c>
    </row>
    <row r="21" spans="1:11" ht="24" customHeight="1" x14ac:dyDescent="0.2">
      <c r="A21" s="21">
        <v>9</v>
      </c>
      <c r="B21" s="22" t="s">
        <v>24</v>
      </c>
      <c r="C21" s="23">
        <v>1902570</v>
      </c>
      <c r="D21" s="23">
        <v>1618950</v>
      </c>
      <c r="E21" s="23">
        <f t="shared" si="0"/>
        <v>-283620</v>
      </c>
      <c r="F21" s="24">
        <f t="shared" si="1"/>
        <v>-0.14907204465538718</v>
      </c>
    </row>
    <row r="22" spans="1:11" ht="24" customHeight="1" x14ac:dyDescent="0.25">
      <c r="A22" s="25"/>
      <c r="B22" s="26" t="s">
        <v>25</v>
      </c>
      <c r="C22" s="27">
        <f>SUM(C13:C21)</f>
        <v>36043465</v>
      </c>
      <c r="D22" s="27">
        <f>SUM(D13:D21)</f>
        <v>40184352</v>
      </c>
      <c r="E22" s="27">
        <f t="shared" si="0"/>
        <v>4140887</v>
      </c>
      <c r="F22" s="28">
        <f t="shared" si="1"/>
        <v>0.11488593008469081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6444079</v>
      </c>
      <c r="D26" s="23">
        <v>6253488</v>
      </c>
      <c r="E26" s="23">
        <f>D26-C26</f>
        <v>-190591</v>
      </c>
      <c r="F26" s="24">
        <f>IF(C26=0,0,E26/C26)</f>
        <v>-2.9576142688505214E-2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15632088</v>
      </c>
      <c r="D28" s="23">
        <v>15480513</v>
      </c>
      <c r="E28" s="23">
        <f>D28-C28</f>
        <v>-151575</v>
      </c>
      <c r="F28" s="24">
        <f>IF(C28=0,0,E28/C28)</f>
        <v>-9.6964014020391905E-3</v>
      </c>
    </row>
    <row r="29" spans="1:11" ht="35.1" customHeight="1" x14ac:dyDescent="0.25">
      <c r="A29" s="25"/>
      <c r="B29" s="26" t="s">
        <v>32</v>
      </c>
      <c r="C29" s="27">
        <f>SUM(C25:C28)</f>
        <v>22076167</v>
      </c>
      <c r="D29" s="27">
        <f>SUM(D25:D28)</f>
        <v>21734001</v>
      </c>
      <c r="E29" s="27">
        <f>D29-C29</f>
        <v>-342166</v>
      </c>
      <c r="F29" s="28">
        <f>IF(C29=0,0,E29/C29)</f>
        <v>-1.5499339174232556E-2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1605640</v>
      </c>
      <c r="D31" s="23">
        <v>1493598</v>
      </c>
      <c r="E31" s="23">
        <f>D31-C31</f>
        <v>-112042</v>
      </c>
      <c r="F31" s="24">
        <f>IF(C31=0,0,E31/C31)</f>
        <v>-6.9780274532273728E-2</v>
      </c>
    </row>
    <row r="32" spans="1:11" ht="24" customHeight="1" x14ac:dyDescent="0.2">
      <c r="A32" s="21">
        <v>6</v>
      </c>
      <c r="B32" s="22" t="s">
        <v>34</v>
      </c>
      <c r="C32" s="23">
        <v>6220475</v>
      </c>
      <c r="D32" s="23">
        <v>6015999</v>
      </c>
      <c r="E32" s="23">
        <f>D32-C32</f>
        <v>-204476</v>
      </c>
      <c r="F32" s="24">
        <f>IF(C32=0,0,E32/C32)</f>
        <v>-3.2871444704785403E-2</v>
      </c>
    </row>
    <row r="33" spans="1:8" ht="24" customHeight="1" x14ac:dyDescent="0.2">
      <c r="A33" s="21">
        <v>7</v>
      </c>
      <c r="B33" s="22" t="s">
        <v>35</v>
      </c>
      <c r="C33" s="23">
        <v>3071595</v>
      </c>
      <c r="D33" s="23">
        <v>2552059</v>
      </c>
      <c r="E33" s="23">
        <f>D33-C33</f>
        <v>-519536</v>
      </c>
      <c r="F33" s="24">
        <f>IF(C33=0,0,E33/C33)</f>
        <v>-0.16914209067276123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141773363</v>
      </c>
      <c r="D36" s="23">
        <v>153806770</v>
      </c>
      <c r="E36" s="23">
        <f>D36-C36</f>
        <v>12033407</v>
      </c>
      <c r="F36" s="24">
        <f>IF(C36=0,0,E36/C36)</f>
        <v>8.4877770727636609E-2</v>
      </c>
    </row>
    <row r="37" spans="1:8" ht="24" customHeight="1" x14ac:dyDescent="0.2">
      <c r="A37" s="21">
        <v>2</v>
      </c>
      <c r="B37" s="22" t="s">
        <v>39</v>
      </c>
      <c r="C37" s="23">
        <v>102951387</v>
      </c>
      <c r="D37" s="23">
        <v>109172229</v>
      </c>
      <c r="E37" s="23">
        <f>D37-C37</f>
        <v>6220842</v>
      </c>
      <c r="F37" s="23">
        <f>IF(C37=0,0,E37/C37)</f>
        <v>6.0425043132250368E-2</v>
      </c>
    </row>
    <row r="38" spans="1:8" ht="24" customHeight="1" x14ac:dyDescent="0.25">
      <c r="A38" s="25"/>
      <c r="B38" s="26" t="s">
        <v>40</v>
      </c>
      <c r="C38" s="27">
        <f>C36-C37</f>
        <v>38821976</v>
      </c>
      <c r="D38" s="27">
        <f>D36-D37</f>
        <v>44634541</v>
      </c>
      <c r="E38" s="27">
        <f>D38-C38</f>
        <v>5812565</v>
      </c>
      <c r="F38" s="28">
        <f>IF(C38=0,0,E38/C38)</f>
        <v>0.14972357409112819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2656646</v>
      </c>
      <c r="D40" s="23">
        <v>149341</v>
      </c>
      <c r="E40" s="23">
        <f>D40-C40</f>
        <v>-2507305</v>
      </c>
      <c r="F40" s="24">
        <f>IF(C40=0,0,E40/C40)</f>
        <v>-0.94378588641467476</v>
      </c>
    </row>
    <row r="41" spans="1:8" ht="24" customHeight="1" x14ac:dyDescent="0.25">
      <c r="A41" s="25"/>
      <c r="B41" s="26" t="s">
        <v>42</v>
      </c>
      <c r="C41" s="27">
        <f>+C38+C40</f>
        <v>41478622</v>
      </c>
      <c r="D41" s="27">
        <f>+D38+D40</f>
        <v>44783882</v>
      </c>
      <c r="E41" s="27">
        <f>D41-C41</f>
        <v>3305260</v>
      </c>
      <c r="F41" s="28">
        <f>IF(C41=0,0,E41/C41)</f>
        <v>7.9685868059936993E-2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110495964</v>
      </c>
      <c r="D43" s="27">
        <f>D22+D29+D31+D32+D33+D41</f>
        <v>116763891</v>
      </c>
      <c r="E43" s="27">
        <f>D43-C43</f>
        <v>6267927</v>
      </c>
      <c r="F43" s="28">
        <f>IF(C43=0,0,E43/C43)</f>
        <v>5.672539315553643E-2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10417635</v>
      </c>
      <c r="D49" s="23">
        <v>13113207</v>
      </c>
      <c r="E49" s="23">
        <f t="shared" ref="E49:E56" si="2">D49-C49</f>
        <v>2695572</v>
      </c>
      <c r="F49" s="24">
        <f t="shared" ref="F49:F56" si="3">IF(C49=0,0,E49/C49)</f>
        <v>0.25875085852019197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7522197</v>
      </c>
      <c r="D50" s="23">
        <v>12731046</v>
      </c>
      <c r="E50" s="23">
        <f t="shared" si="2"/>
        <v>5208849</v>
      </c>
      <c r="F50" s="24">
        <f t="shared" si="3"/>
        <v>0.69246378418432808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327508</v>
      </c>
      <c r="D51" s="23">
        <v>0</v>
      </c>
      <c r="E51" s="23">
        <f t="shared" si="2"/>
        <v>-327508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1197973</v>
      </c>
      <c r="D53" s="23">
        <v>1230305</v>
      </c>
      <c r="E53" s="23">
        <f t="shared" si="2"/>
        <v>32332</v>
      </c>
      <c r="F53" s="24">
        <f t="shared" si="3"/>
        <v>2.6988922120949305E-2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7083</v>
      </c>
      <c r="D54" s="23">
        <v>7444</v>
      </c>
      <c r="E54" s="23">
        <f t="shared" si="2"/>
        <v>361</v>
      </c>
      <c r="F54" s="24">
        <f t="shared" si="3"/>
        <v>5.0967104334321618E-2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4904173</v>
      </c>
      <c r="D55" s="23">
        <v>3952806</v>
      </c>
      <c r="E55" s="23">
        <f t="shared" si="2"/>
        <v>-951367</v>
      </c>
      <c r="F55" s="24">
        <f t="shared" si="3"/>
        <v>-0.19399132126864202</v>
      </c>
    </row>
    <row r="56" spans="1:6" ht="24" customHeight="1" x14ac:dyDescent="0.25">
      <c r="A56" s="25"/>
      <c r="B56" s="26" t="s">
        <v>54</v>
      </c>
      <c r="C56" s="27">
        <f>SUM(C49:C55)</f>
        <v>24376569</v>
      </c>
      <c r="D56" s="27">
        <f>SUM(D49:D55)</f>
        <v>31034808</v>
      </c>
      <c r="E56" s="27">
        <f t="shared" si="2"/>
        <v>6658239</v>
      </c>
      <c r="F56" s="28">
        <f t="shared" si="3"/>
        <v>0.27314094120464616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32333981</v>
      </c>
      <c r="D59" s="23">
        <v>31065526</v>
      </c>
      <c r="E59" s="23">
        <f>D59-C59</f>
        <v>-1268455</v>
      </c>
      <c r="F59" s="24">
        <f>IF(C59=0,0,E59/C59)</f>
        <v>-3.9229781201393046E-2</v>
      </c>
    </row>
    <row r="60" spans="1:6" ht="24" customHeight="1" x14ac:dyDescent="0.2">
      <c r="A60" s="21">
        <v>2</v>
      </c>
      <c r="B60" s="22" t="s">
        <v>57</v>
      </c>
      <c r="C60" s="23">
        <v>305407</v>
      </c>
      <c r="D60" s="23">
        <v>297963</v>
      </c>
      <c r="E60" s="23">
        <f>D60-C60</f>
        <v>-7444</v>
      </c>
      <c r="F60" s="24">
        <f>IF(C60=0,0,E60/C60)</f>
        <v>-2.4374032029390289E-2</v>
      </c>
    </row>
    <row r="61" spans="1:6" ht="24" customHeight="1" x14ac:dyDescent="0.25">
      <c r="A61" s="25"/>
      <c r="B61" s="26" t="s">
        <v>58</v>
      </c>
      <c r="C61" s="27">
        <f>SUM(C59:C60)</f>
        <v>32639388</v>
      </c>
      <c r="D61" s="27">
        <f>SUM(D59:D60)</f>
        <v>31363489</v>
      </c>
      <c r="E61" s="27">
        <f>D61-C61</f>
        <v>-1275899</v>
      </c>
      <c r="F61" s="28">
        <f>IF(C61=0,0,E61/C61)</f>
        <v>-3.9090775844203944E-2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25355098</v>
      </c>
      <c r="D63" s="23">
        <v>25622329</v>
      </c>
      <c r="E63" s="23">
        <f>D63-C63</f>
        <v>267231</v>
      </c>
      <c r="F63" s="24">
        <f>IF(C63=0,0,E63/C63)</f>
        <v>1.0539537255979054E-2</v>
      </c>
    </row>
    <row r="64" spans="1:6" ht="24" customHeight="1" x14ac:dyDescent="0.2">
      <c r="A64" s="21">
        <v>4</v>
      </c>
      <c r="B64" s="22" t="s">
        <v>60</v>
      </c>
      <c r="C64" s="23">
        <v>16796133</v>
      </c>
      <c r="D64" s="23">
        <v>17247851</v>
      </c>
      <c r="E64" s="23">
        <f>D64-C64</f>
        <v>451718</v>
      </c>
      <c r="F64" s="24">
        <f>IF(C64=0,0,E64/C64)</f>
        <v>2.6894166651335757E-2</v>
      </c>
    </row>
    <row r="65" spans="1:6" ht="24" customHeight="1" x14ac:dyDescent="0.25">
      <c r="A65" s="25"/>
      <c r="B65" s="26" t="s">
        <v>61</v>
      </c>
      <c r="C65" s="27">
        <f>SUM(C61:C64)</f>
        <v>74790619</v>
      </c>
      <c r="D65" s="27">
        <f>SUM(D61:D64)</f>
        <v>74233669</v>
      </c>
      <c r="E65" s="27">
        <f>D65-C65</f>
        <v>-556950</v>
      </c>
      <c r="F65" s="28">
        <f>IF(C65=0,0,E65/C65)</f>
        <v>-7.4467895499033109E-3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2731601</v>
      </c>
      <c r="D70" s="23">
        <v>2677931</v>
      </c>
      <c r="E70" s="23">
        <f>D70-C70</f>
        <v>-53670</v>
      </c>
      <c r="F70" s="24">
        <f>IF(C70=0,0,E70/C70)</f>
        <v>-1.9647818257498076E-2</v>
      </c>
    </row>
    <row r="71" spans="1:6" ht="24" customHeight="1" x14ac:dyDescent="0.2">
      <c r="A71" s="21">
        <v>2</v>
      </c>
      <c r="B71" s="22" t="s">
        <v>65</v>
      </c>
      <c r="C71" s="23">
        <v>1933084</v>
      </c>
      <c r="D71" s="23">
        <v>2250412</v>
      </c>
      <c r="E71" s="23">
        <f>D71-C71</f>
        <v>317328</v>
      </c>
      <c r="F71" s="24">
        <f>IF(C71=0,0,E71/C71)</f>
        <v>0.16415634292146641</v>
      </c>
    </row>
    <row r="72" spans="1:6" ht="24" customHeight="1" x14ac:dyDescent="0.2">
      <c r="A72" s="21">
        <v>3</v>
      </c>
      <c r="B72" s="22" t="s">
        <v>66</v>
      </c>
      <c r="C72" s="23">
        <v>6664091</v>
      </c>
      <c r="D72" s="23">
        <v>6567071</v>
      </c>
      <c r="E72" s="23">
        <f>D72-C72</f>
        <v>-97020</v>
      </c>
      <c r="F72" s="24">
        <f>IF(C72=0,0,E72/C72)</f>
        <v>-1.4558624724662373E-2</v>
      </c>
    </row>
    <row r="73" spans="1:6" ht="24" customHeight="1" x14ac:dyDescent="0.25">
      <c r="A73" s="21"/>
      <c r="B73" s="26" t="s">
        <v>67</v>
      </c>
      <c r="C73" s="27">
        <f>SUM(C70:C72)</f>
        <v>11328776</v>
      </c>
      <c r="D73" s="27">
        <f>SUM(D70:D72)</f>
        <v>11495414</v>
      </c>
      <c r="E73" s="27">
        <f>D73-C73</f>
        <v>166638</v>
      </c>
      <c r="F73" s="28">
        <f>IF(C73=0,0,E73/C73)</f>
        <v>1.4709267797333092E-2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110495964</v>
      </c>
      <c r="D75" s="27">
        <f>D56+D65+D67+D73</f>
        <v>116763891</v>
      </c>
      <c r="E75" s="27">
        <f>D75-C75</f>
        <v>6267927</v>
      </c>
      <c r="F75" s="28">
        <f>IF(C75=0,0,E75/C75)</f>
        <v>5.672539315553643E-2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FILING&amp;RBRISTOL HOSPITAL &amp;AMP; HEALTH CARE GROUP,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403084252</v>
      </c>
      <c r="D12" s="51">
        <v>390926400</v>
      </c>
      <c r="E12" s="51">
        <f t="shared" ref="E12:E19" si="0">D12-C12</f>
        <v>-12157852</v>
      </c>
      <c r="F12" s="70">
        <f t="shared" ref="F12:F19" si="1">IF(C12=0,0,E12/C12)</f>
        <v>-3.0162061503707666E-2</v>
      </c>
    </row>
    <row r="13" spans="1:8" ht="23.1" customHeight="1" x14ac:dyDescent="0.2">
      <c r="A13" s="25">
        <v>2</v>
      </c>
      <c r="B13" s="48" t="s">
        <v>72</v>
      </c>
      <c r="C13" s="51">
        <v>248519495</v>
      </c>
      <c r="D13" s="51">
        <v>235543944</v>
      </c>
      <c r="E13" s="51">
        <f t="shared" si="0"/>
        <v>-12975551</v>
      </c>
      <c r="F13" s="70">
        <f t="shared" si="1"/>
        <v>-5.2211400960717386E-2</v>
      </c>
    </row>
    <row r="14" spans="1:8" ht="23.1" customHeight="1" x14ac:dyDescent="0.2">
      <c r="A14" s="25">
        <v>3</v>
      </c>
      <c r="B14" s="48" t="s">
        <v>73</v>
      </c>
      <c r="C14" s="51">
        <v>259103</v>
      </c>
      <c r="D14" s="51">
        <v>223751</v>
      </c>
      <c r="E14" s="51">
        <f t="shared" si="0"/>
        <v>-35352</v>
      </c>
      <c r="F14" s="70">
        <f t="shared" si="1"/>
        <v>-0.13643994859187272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154305654</v>
      </c>
      <c r="D16" s="27">
        <f>D12-D13-D14-D15</f>
        <v>155158705</v>
      </c>
      <c r="E16" s="27">
        <f t="shared" si="0"/>
        <v>853051</v>
      </c>
      <c r="F16" s="28">
        <f t="shared" si="1"/>
        <v>5.5283197853527779E-3</v>
      </c>
    </row>
    <row r="17" spans="1:7" ht="23.1" customHeight="1" x14ac:dyDescent="0.2">
      <c r="A17" s="25">
        <v>5</v>
      </c>
      <c r="B17" s="48" t="s">
        <v>76</v>
      </c>
      <c r="C17" s="51">
        <v>7156743</v>
      </c>
      <c r="D17" s="51">
        <v>8394129</v>
      </c>
      <c r="E17" s="51">
        <f t="shared" si="0"/>
        <v>1237386</v>
      </c>
      <c r="F17" s="70">
        <f t="shared" si="1"/>
        <v>0.17289792297976886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161462397</v>
      </c>
      <c r="D19" s="27">
        <f>SUM(D16:D18)</f>
        <v>163552834</v>
      </c>
      <c r="E19" s="27">
        <f t="shared" si="0"/>
        <v>2090437</v>
      </c>
      <c r="F19" s="28">
        <f t="shared" si="1"/>
        <v>1.2946896855495091E-2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72107323</v>
      </c>
      <c r="D22" s="51">
        <v>72229733</v>
      </c>
      <c r="E22" s="51">
        <f t="shared" ref="E22:E31" si="2">D22-C22</f>
        <v>122410</v>
      </c>
      <c r="F22" s="70">
        <f t="shared" ref="F22:F31" si="3">IF(C22=0,0,E22/C22)</f>
        <v>1.6976084384660902E-3</v>
      </c>
    </row>
    <row r="23" spans="1:7" ht="23.1" customHeight="1" x14ac:dyDescent="0.2">
      <c r="A23" s="25">
        <v>2</v>
      </c>
      <c r="B23" s="48" t="s">
        <v>81</v>
      </c>
      <c r="C23" s="51">
        <v>18836459</v>
      </c>
      <c r="D23" s="51">
        <v>20027192</v>
      </c>
      <c r="E23" s="51">
        <f t="shared" si="2"/>
        <v>1190733</v>
      </c>
      <c r="F23" s="70">
        <f t="shared" si="3"/>
        <v>6.3214269730844846E-2</v>
      </c>
    </row>
    <row r="24" spans="1:7" ht="23.1" customHeight="1" x14ac:dyDescent="0.2">
      <c r="A24" s="25">
        <v>3</v>
      </c>
      <c r="B24" s="48" t="s">
        <v>82</v>
      </c>
      <c r="C24" s="51">
        <v>5204980</v>
      </c>
      <c r="D24" s="51">
        <v>2274756</v>
      </c>
      <c r="E24" s="51">
        <f t="shared" si="2"/>
        <v>-2930224</v>
      </c>
      <c r="F24" s="70">
        <f t="shared" si="3"/>
        <v>-0.5629654676867154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19350570</v>
      </c>
      <c r="D25" s="51">
        <v>19027463</v>
      </c>
      <c r="E25" s="51">
        <f t="shared" si="2"/>
        <v>-323107</v>
      </c>
      <c r="F25" s="70">
        <f t="shared" si="3"/>
        <v>-1.669754431006425E-2</v>
      </c>
    </row>
    <row r="26" spans="1:7" ht="23.1" customHeight="1" x14ac:dyDescent="0.2">
      <c r="A26" s="25">
        <v>5</v>
      </c>
      <c r="B26" s="48" t="s">
        <v>84</v>
      </c>
      <c r="C26" s="51">
        <v>5850296</v>
      </c>
      <c r="D26" s="51">
        <v>6287283</v>
      </c>
      <c r="E26" s="51">
        <f t="shared" si="2"/>
        <v>436987</v>
      </c>
      <c r="F26" s="70">
        <f t="shared" si="3"/>
        <v>7.4694853046751816E-2</v>
      </c>
    </row>
    <row r="27" spans="1:7" ht="23.1" customHeight="1" x14ac:dyDescent="0.2">
      <c r="A27" s="25">
        <v>6</v>
      </c>
      <c r="B27" s="48" t="s">
        <v>85</v>
      </c>
      <c r="C27" s="51">
        <v>12199961</v>
      </c>
      <c r="D27" s="51">
        <v>11141062</v>
      </c>
      <c r="E27" s="51">
        <f t="shared" si="2"/>
        <v>-1058899</v>
      </c>
      <c r="F27" s="70">
        <f t="shared" si="3"/>
        <v>-8.6795277460313194E-2</v>
      </c>
    </row>
    <row r="28" spans="1:7" ht="23.1" customHeight="1" x14ac:dyDescent="0.2">
      <c r="A28" s="25">
        <v>7</v>
      </c>
      <c r="B28" s="48" t="s">
        <v>86</v>
      </c>
      <c r="C28" s="51">
        <v>2012629</v>
      </c>
      <c r="D28" s="51">
        <v>2148712</v>
      </c>
      <c r="E28" s="51">
        <f t="shared" si="2"/>
        <v>136083</v>
      </c>
      <c r="F28" s="70">
        <f t="shared" si="3"/>
        <v>6.7614547937051489E-2</v>
      </c>
    </row>
    <row r="29" spans="1:7" ht="23.1" customHeight="1" x14ac:dyDescent="0.2">
      <c r="A29" s="25">
        <v>8</v>
      </c>
      <c r="B29" s="48" t="s">
        <v>87</v>
      </c>
      <c r="C29" s="51">
        <v>1777579</v>
      </c>
      <c r="D29" s="51">
        <v>1863983</v>
      </c>
      <c r="E29" s="51">
        <f t="shared" si="2"/>
        <v>86404</v>
      </c>
      <c r="F29" s="70">
        <f t="shared" si="3"/>
        <v>4.860768494677311E-2</v>
      </c>
    </row>
    <row r="30" spans="1:7" ht="23.1" customHeight="1" x14ac:dyDescent="0.2">
      <c r="A30" s="25">
        <v>9</v>
      </c>
      <c r="B30" s="48" t="s">
        <v>88</v>
      </c>
      <c r="C30" s="51">
        <v>23198574</v>
      </c>
      <c r="D30" s="51">
        <v>29004715</v>
      </c>
      <c r="E30" s="51">
        <f t="shared" si="2"/>
        <v>5806141</v>
      </c>
      <c r="F30" s="70">
        <f t="shared" si="3"/>
        <v>0.25028008187054945</v>
      </c>
    </row>
    <row r="31" spans="1:7" ht="23.1" customHeight="1" x14ac:dyDescent="0.25">
      <c r="A31" s="29"/>
      <c r="B31" s="71" t="s">
        <v>89</v>
      </c>
      <c r="C31" s="27">
        <f>SUM(C22:C30)</f>
        <v>160538371</v>
      </c>
      <c r="D31" s="27">
        <f>SUM(D22:D30)</f>
        <v>164004899</v>
      </c>
      <c r="E31" s="27">
        <f t="shared" si="2"/>
        <v>3466528</v>
      </c>
      <c r="F31" s="28">
        <f t="shared" si="3"/>
        <v>2.159314298760388E-2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924026</v>
      </c>
      <c r="D33" s="27">
        <f>+D19-D31</f>
        <v>-452065</v>
      </c>
      <c r="E33" s="27">
        <f>D33-C33</f>
        <v>-1376091</v>
      </c>
      <c r="F33" s="28">
        <f>IF(C33=0,0,E33/C33)</f>
        <v>-1.4892340691712138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294112</v>
      </c>
      <c r="D36" s="51">
        <v>528681</v>
      </c>
      <c r="E36" s="51">
        <f>D36-C36</f>
        <v>234569</v>
      </c>
      <c r="F36" s="70">
        <f>IF(C36=0,0,E36/C36)</f>
        <v>0.79754991295832878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352260</v>
      </c>
      <c r="D38" s="51">
        <v>1641535</v>
      </c>
      <c r="E38" s="51">
        <f>D38-C38</f>
        <v>1289275</v>
      </c>
      <c r="F38" s="70">
        <f>IF(C38=0,0,E38/C38)</f>
        <v>3.6600096519616194</v>
      </c>
    </row>
    <row r="39" spans="1:6" ht="23.1" customHeight="1" x14ac:dyDescent="0.25">
      <c r="A39" s="20"/>
      <c r="B39" s="71" t="s">
        <v>95</v>
      </c>
      <c r="C39" s="27">
        <f>SUM(C36:C38)</f>
        <v>646372</v>
      </c>
      <c r="D39" s="27">
        <f>SUM(D36:D38)</f>
        <v>2170216</v>
      </c>
      <c r="E39" s="27">
        <f>D39-C39</f>
        <v>1523844</v>
      </c>
      <c r="F39" s="28">
        <f>IF(C39=0,0,E39/C39)</f>
        <v>2.3575340515987699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1570398</v>
      </c>
      <c r="D41" s="27">
        <f>D33+D39</f>
        <v>1718151</v>
      </c>
      <c r="E41" s="27">
        <f>D41-C41</f>
        <v>147753</v>
      </c>
      <c r="F41" s="28">
        <f>IF(C41=0,0,E41/C41)</f>
        <v>9.408633989600089E-2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1570398</v>
      </c>
      <c r="D48" s="27">
        <f>D41+D46</f>
        <v>1718151</v>
      </c>
      <c r="E48" s="27">
        <f>D48-C48</f>
        <v>147753</v>
      </c>
      <c r="F48" s="28">
        <f>IF(C48=0,0,E48/C48)</f>
        <v>9.408633989600089E-2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FILING&amp;R&amp;8BRISTOL HOSPITAL &amp;AMP; HEALTH CARE GROUP,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2007-12-14T18:49:33Z</cp:lastPrinted>
  <dcterms:created xsi:type="dcterms:W3CDTF">2006-08-03T13:49:12Z</dcterms:created>
  <dcterms:modified xsi:type="dcterms:W3CDTF">2012-06-27T19:50:05Z</dcterms:modified>
</cp:coreProperties>
</file>