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71" i="14"/>
  <c r="D172" i="14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138" i="14" s="1"/>
  <c r="D135" i="14"/>
  <c r="D130" i="14"/>
  <c r="D129" i="14"/>
  <c r="D123" i="14"/>
  <c r="D124" i="14" s="1"/>
  <c r="D120" i="14"/>
  <c r="D110" i="14"/>
  <c r="D109" i="14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 s="1"/>
  <c r="D86" i="19"/>
  <c r="D88" i="19" s="1"/>
  <c r="C86" i="19"/>
  <c r="C88" i="19" s="1"/>
  <c r="E83" i="19"/>
  <c r="E102" i="19" s="1"/>
  <c r="D83" i="19"/>
  <c r="D102" i="19" s="1"/>
  <c r="C83" i="19"/>
  <c r="C101" i="19" s="1"/>
  <c r="E76" i="19"/>
  <c r="D76" i="19"/>
  <c r="C76" i="19"/>
  <c r="E75" i="19"/>
  <c r="E77" i="19" s="1"/>
  <c r="E109" i="19" s="1"/>
  <c r="D75" i="19"/>
  <c r="D77" i="19"/>
  <c r="D109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 s="1"/>
  <c r="E110" i="19" s="1"/>
  <c r="E33" i="19"/>
  <c r="D12" i="19"/>
  <c r="D34" i="19"/>
  <c r="D33" i="19"/>
  <c r="C12" i="19"/>
  <c r="C23" i="19" s="1"/>
  <c r="D21" i="18"/>
  <c r="C21" i="18"/>
  <c r="E21" i="18"/>
  <c r="F21" i="18" s="1"/>
  <c r="D19" i="18"/>
  <c r="C19" i="18"/>
  <c r="E19" i="18"/>
  <c r="F19" i="18" s="1"/>
  <c r="E17" i="18"/>
  <c r="F17" i="18" s="1"/>
  <c r="E15" i="18"/>
  <c r="F15" i="18" s="1"/>
  <c r="D45" i="17"/>
  <c r="E45" i="17" s="1"/>
  <c r="C45" i="17"/>
  <c r="D44" i="17"/>
  <c r="E44" i="17" s="1"/>
  <c r="C44" i="17"/>
  <c r="D43" i="17"/>
  <c r="D46" i="17" s="1"/>
  <c r="C43" i="17"/>
  <c r="D36" i="17"/>
  <c r="D40" i="17"/>
  <c r="C36" i="17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C39" i="17" s="1"/>
  <c r="E24" i="17"/>
  <c r="F24" i="17" s="1"/>
  <c r="E23" i="17"/>
  <c r="F23" i="17" s="1"/>
  <c r="E22" i="17"/>
  <c r="F22" i="17" s="1"/>
  <c r="D19" i="17"/>
  <c r="D20" i="17" s="1"/>
  <c r="C19" i="17"/>
  <c r="E18" i="17"/>
  <c r="F18" i="17"/>
  <c r="D16" i="17"/>
  <c r="E16" i="17"/>
  <c r="C16" i="17"/>
  <c r="E15" i="17"/>
  <c r="F15" i="17" s="1"/>
  <c r="E13" i="17"/>
  <c r="F13" i="17" s="1"/>
  <c r="E12" i="17"/>
  <c r="F12" i="17" s="1"/>
  <c r="C115" i="16"/>
  <c r="C105" i="16"/>
  <c r="C137" i="16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49" i="16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/>
  <c r="C320" i="15" s="1"/>
  <c r="E308" i="15"/>
  <c r="E305" i="15"/>
  <c r="D301" i="15"/>
  <c r="C301" i="15"/>
  <c r="E301" i="15"/>
  <c r="D293" i="15"/>
  <c r="E293" i="15"/>
  <c r="C293" i="15"/>
  <c r="D292" i="15"/>
  <c r="E292" i="15" s="1"/>
  <c r="C292" i="15"/>
  <c r="D291" i="15"/>
  <c r="E291" i="15"/>
  <c r="C291" i="15"/>
  <c r="D290" i="15"/>
  <c r="E290" i="15" s="1"/>
  <c r="C290" i="15"/>
  <c r="D288" i="15"/>
  <c r="E288" i="15"/>
  <c r="C288" i="15"/>
  <c r="D287" i="15"/>
  <c r="C287" i="15"/>
  <c r="E287" i="15"/>
  <c r="D282" i="15"/>
  <c r="E282" i="15"/>
  <c r="C282" i="15"/>
  <c r="D281" i="15"/>
  <c r="E281" i="15" s="1"/>
  <c r="C281" i="15"/>
  <c r="D280" i="15"/>
  <c r="C280" i="15"/>
  <c r="E280" i="15" s="1"/>
  <c r="D279" i="15"/>
  <c r="E279" i="15" s="1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E251" i="15" s="1"/>
  <c r="C251" i="15"/>
  <c r="D233" i="15"/>
  <c r="E233" i="15"/>
  <c r="C233" i="15"/>
  <c r="D232" i="15"/>
  <c r="E232" i="15" s="1"/>
  <c r="C232" i="15"/>
  <c r="D231" i="15"/>
  <c r="C231" i="15"/>
  <c r="D230" i="15"/>
  <c r="E230" i="15"/>
  <c r="C230" i="15"/>
  <c r="D228" i="15"/>
  <c r="C228" i="15"/>
  <c r="D227" i="15"/>
  <c r="C227" i="15"/>
  <c r="E227" i="15"/>
  <c r="D221" i="15"/>
  <c r="E221" i="15"/>
  <c r="C221" i="15"/>
  <c r="C245" i="15"/>
  <c r="D220" i="15"/>
  <c r="E220" i="15"/>
  <c r="C220" i="15"/>
  <c r="C244" i="15"/>
  <c r="D219" i="15"/>
  <c r="D243" i="15"/>
  <c r="C219" i="15"/>
  <c r="E219" i="15"/>
  <c r="D218" i="15"/>
  <c r="E218" i="15"/>
  <c r="C218" i="15"/>
  <c r="C242" i="15"/>
  <c r="C217" i="15"/>
  <c r="D217" i="15"/>
  <c r="D216" i="15"/>
  <c r="C216" i="15"/>
  <c r="E216" i="15"/>
  <c r="D215" i="15"/>
  <c r="D239" i="15"/>
  <c r="C215" i="15"/>
  <c r="E209" i="15"/>
  <c r="E208" i="15"/>
  <c r="E207" i="15"/>
  <c r="E206" i="15"/>
  <c r="D205" i="15"/>
  <c r="D210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E189" i="15" s="1"/>
  <c r="C188" i="15"/>
  <c r="C189" i="15" s="1"/>
  <c r="C261" i="15"/>
  <c r="E186" i="15"/>
  <c r="E185" i="15"/>
  <c r="D179" i="15"/>
  <c r="E179" i="15"/>
  <c r="C179" i="15"/>
  <c r="D178" i="15"/>
  <c r="E178" i="15" s="1"/>
  <c r="C178" i="15"/>
  <c r="D177" i="15"/>
  <c r="E177" i="15"/>
  <c r="C177" i="15"/>
  <c r="D176" i="15"/>
  <c r="C176" i="15"/>
  <c r="E176" i="15"/>
  <c r="D174" i="15"/>
  <c r="E174" i="15"/>
  <c r="C174" i="15"/>
  <c r="D173" i="15"/>
  <c r="E173" i="15" s="1"/>
  <c r="C173" i="15"/>
  <c r="D167" i="15"/>
  <c r="C167" i="15"/>
  <c r="E167" i="15" s="1"/>
  <c r="D166" i="15"/>
  <c r="E166" i="15" s="1"/>
  <c r="C166" i="15"/>
  <c r="D165" i="15"/>
  <c r="C165" i="15"/>
  <c r="E165" i="15" s="1"/>
  <c r="D164" i="15"/>
  <c r="E164" i="15" s="1"/>
  <c r="C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 s="1"/>
  <c r="C157" i="15" s="1"/>
  <c r="E150" i="15"/>
  <c r="E149" i="15"/>
  <c r="E143" i="15"/>
  <c r="E142" i="15"/>
  <c r="E141" i="15"/>
  <c r="E140" i="15"/>
  <c r="D139" i="15"/>
  <c r="D163" i="15"/>
  <c r="C139" i="15"/>
  <c r="C163" i="15"/>
  <c r="C144" i="15"/>
  <c r="E138" i="15"/>
  <c r="E137" i="15"/>
  <c r="D75" i="15"/>
  <c r="E75" i="15" s="1"/>
  <c r="C75" i="15"/>
  <c r="D74" i="15"/>
  <c r="E74" i="15"/>
  <c r="C74" i="15"/>
  <c r="D73" i="15"/>
  <c r="C73" i="15"/>
  <c r="D72" i="15"/>
  <c r="C72" i="15"/>
  <c r="E72" i="15" s="1"/>
  <c r="D70" i="15"/>
  <c r="C70" i="15"/>
  <c r="C76" i="15" s="1"/>
  <c r="D69" i="15"/>
  <c r="C69" i="15"/>
  <c r="E69" i="15" s="1"/>
  <c r="E64" i="15"/>
  <c r="E63" i="15"/>
  <c r="E62" i="15"/>
  <c r="E61" i="15"/>
  <c r="D60" i="15"/>
  <c r="D71" i="15"/>
  <c r="D289" i="15"/>
  <c r="C60" i="15"/>
  <c r="C241" i="15" s="1"/>
  <c r="C71" i="15"/>
  <c r="E59" i="15"/>
  <c r="E58" i="15"/>
  <c r="D55" i="15"/>
  <c r="D54" i="15"/>
  <c r="C54" i="15"/>
  <c r="E54" i="15" s="1"/>
  <c r="E53" i="15"/>
  <c r="E52" i="15"/>
  <c r="E51" i="15"/>
  <c r="E50" i="15"/>
  <c r="E49" i="15"/>
  <c r="E48" i="15"/>
  <c r="E47" i="15"/>
  <c r="D42" i="15"/>
  <c r="E42" i="15"/>
  <c r="C42" i="15"/>
  <c r="D41" i="15"/>
  <c r="E41" i="15" s="1"/>
  <c r="C41" i="15"/>
  <c r="D40" i="15"/>
  <c r="C40" i="15"/>
  <c r="E40" i="15" s="1"/>
  <c r="D39" i="15"/>
  <c r="E39" i="15" s="1"/>
  <c r="C39" i="15"/>
  <c r="D38" i="15"/>
  <c r="E38" i="15"/>
  <c r="C38" i="15"/>
  <c r="D37" i="15"/>
  <c r="C37" i="15"/>
  <c r="C43" i="15"/>
  <c r="D36" i="15"/>
  <c r="C36" i="15"/>
  <c r="E36" i="15" s="1"/>
  <c r="D33" i="15"/>
  <c r="D32" i="15"/>
  <c r="C32" i="15"/>
  <c r="E31" i="15"/>
  <c r="E30" i="15"/>
  <c r="E29" i="15"/>
  <c r="E28" i="15"/>
  <c r="E27" i="15"/>
  <c r="E26" i="15"/>
  <c r="E25" i="15"/>
  <c r="D21" i="15"/>
  <c r="C21" i="15"/>
  <c r="C22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08" i="14"/>
  <c r="F308" i="14"/>
  <c r="C307" i="14"/>
  <c r="E307" i="14"/>
  <c r="F307" i="14" s="1"/>
  <c r="C299" i="14"/>
  <c r="E299" i="14" s="1"/>
  <c r="C298" i="14"/>
  <c r="C297" i="14"/>
  <c r="E297" i="14"/>
  <c r="C296" i="14"/>
  <c r="E296" i="14"/>
  <c r="C295" i="14"/>
  <c r="E295" i="14"/>
  <c r="C294" i="14"/>
  <c r="E294" i="14"/>
  <c r="C250" i="14"/>
  <c r="E250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C239" i="14"/>
  <c r="E239" i="14" s="1"/>
  <c r="E234" i="14"/>
  <c r="F234" i="14" s="1"/>
  <c r="E233" i="14"/>
  <c r="F233" i="14" s="1"/>
  <c r="C230" i="14"/>
  <c r="E230" i="14" s="1"/>
  <c r="C229" i="14"/>
  <c r="E228" i="14"/>
  <c r="F228" i="14"/>
  <c r="C226" i="14"/>
  <c r="C227" i="14"/>
  <c r="E225" i="14"/>
  <c r="F225" i="14"/>
  <c r="E224" i="14"/>
  <c r="F224" i="14"/>
  <c r="C223" i="14"/>
  <c r="E223" i="14"/>
  <c r="E222" i="14"/>
  <c r="F222" i="14"/>
  <c r="E221" i="14"/>
  <c r="F221" i="14"/>
  <c r="C204" i="14"/>
  <c r="C269" i="14"/>
  <c r="C203" i="14"/>
  <c r="C283" i="14"/>
  <c r="E203" i="14"/>
  <c r="F203" i="14"/>
  <c r="C198" i="14"/>
  <c r="E198" i="14" s="1"/>
  <c r="C191" i="14"/>
  <c r="E191" i="14"/>
  <c r="C189" i="14"/>
  <c r="C199" i="14"/>
  <c r="C188" i="14"/>
  <c r="C277" i="14"/>
  <c r="C180" i="14"/>
  <c r="E180" i="14" s="1"/>
  <c r="C179" i="14"/>
  <c r="C181" i="14" s="1"/>
  <c r="C171" i="14"/>
  <c r="E171" i="14"/>
  <c r="C170" i="14"/>
  <c r="E170" i="14"/>
  <c r="F170" i="14" s="1"/>
  <c r="E169" i="14"/>
  <c r="F169" i="14" s="1"/>
  <c r="E168" i="14"/>
  <c r="F168" i="14" s="1"/>
  <c r="C165" i="14"/>
  <c r="E165" i="14" s="1"/>
  <c r="F165" i="14" s="1"/>
  <c r="C164" i="14"/>
  <c r="E164" i="14"/>
  <c r="F164" i="14" s="1"/>
  <c r="E163" i="14"/>
  <c r="F163" i="14" s="1"/>
  <c r="C158" i="14"/>
  <c r="E158" i="14" s="1"/>
  <c r="E157" i="14"/>
  <c r="F157" i="14" s="1"/>
  <c r="E156" i="14"/>
  <c r="F156" i="14" s="1"/>
  <c r="C155" i="14"/>
  <c r="E155" i="14" s="1"/>
  <c r="F155" i="14" s="1"/>
  <c r="E154" i="14"/>
  <c r="F154" i="14"/>
  <c r="E153" i="14"/>
  <c r="F153" i="14" s="1"/>
  <c r="C145" i="14"/>
  <c r="E145" i="14"/>
  <c r="C144" i="14"/>
  <c r="C146" i="14"/>
  <c r="C136" i="14"/>
  <c r="E136" i="14"/>
  <c r="C135" i="14"/>
  <c r="E135" i="14"/>
  <c r="F135" i="14" s="1"/>
  <c r="E134" i="14"/>
  <c r="F134" i="14" s="1"/>
  <c r="F133" i="14"/>
  <c r="E133" i="14"/>
  <c r="C130" i="14"/>
  <c r="E130" i="14" s="1"/>
  <c r="F130" i="14" s="1"/>
  <c r="C129" i="14"/>
  <c r="E129" i="14"/>
  <c r="E128" i="14"/>
  <c r="F128" i="14"/>
  <c r="C123" i="14"/>
  <c r="C193" i="14"/>
  <c r="C194" i="14" s="1"/>
  <c r="E122" i="14"/>
  <c r="F122" i="14" s="1"/>
  <c r="F121" i="14"/>
  <c r="E121" i="14"/>
  <c r="C120" i="14"/>
  <c r="E120" i="14" s="1"/>
  <c r="E119" i="14"/>
  <c r="F119" i="14" s="1"/>
  <c r="E118" i="14"/>
  <c r="F118" i="14" s="1"/>
  <c r="C110" i="14"/>
  <c r="E110" i="14" s="1"/>
  <c r="C109" i="14"/>
  <c r="E109" i="14" s="1"/>
  <c r="C101" i="14"/>
  <c r="C102" i="14" s="1"/>
  <c r="C100" i="14"/>
  <c r="E100" i="14" s="1"/>
  <c r="F100" i="14" s="1"/>
  <c r="E99" i="14"/>
  <c r="F99" i="14"/>
  <c r="E98" i="14"/>
  <c r="F98" i="14"/>
  <c r="C95" i="14"/>
  <c r="E95" i="14"/>
  <c r="C94" i="14"/>
  <c r="E93" i="14"/>
  <c r="F93" i="14" s="1"/>
  <c r="C88" i="14"/>
  <c r="C89" i="14" s="1"/>
  <c r="E87" i="14"/>
  <c r="F87" i="14" s="1"/>
  <c r="E86" i="14"/>
  <c r="F86" i="14" s="1"/>
  <c r="C85" i="14"/>
  <c r="E84" i="14"/>
  <c r="F84" i="14" s="1"/>
  <c r="E83" i="14"/>
  <c r="F83" i="14"/>
  <c r="C76" i="14"/>
  <c r="C77" i="14"/>
  <c r="E77" i="14" s="1"/>
  <c r="E74" i="14"/>
  <c r="F74" i="14" s="1"/>
  <c r="E73" i="14"/>
  <c r="F73" i="14" s="1"/>
  <c r="C67" i="14"/>
  <c r="E67" i="14" s="1"/>
  <c r="F67" i="14" s="1"/>
  <c r="C66" i="14"/>
  <c r="E66" i="14" s="1"/>
  <c r="C59" i="14"/>
  <c r="C58" i="14"/>
  <c r="E58" i="14"/>
  <c r="F58" i="14" s="1"/>
  <c r="E57" i="14"/>
  <c r="F57" i="14" s="1"/>
  <c r="E56" i="14"/>
  <c r="F56" i="14" s="1"/>
  <c r="E53" i="14"/>
  <c r="C53" i="14"/>
  <c r="F53" i="14"/>
  <c r="C52" i="14"/>
  <c r="E52" i="14"/>
  <c r="E51" i="14"/>
  <c r="F51" i="14"/>
  <c r="C47" i="14"/>
  <c r="C48" i="14" s="1"/>
  <c r="E46" i="14"/>
  <c r="F46" i="14"/>
  <c r="E45" i="14"/>
  <c r="F45" i="14"/>
  <c r="C44" i="14"/>
  <c r="E44" i="14"/>
  <c r="E43" i="14"/>
  <c r="F43" i="14"/>
  <c r="E42" i="14"/>
  <c r="F42" i="14"/>
  <c r="C36" i="14"/>
  <c r="C35" i="14"/>
  <c r="C30" i="14"/>
  <c r="C29" i="14"/>
  <c r="E29" i="14" s="1"/>
  <c r="F29" i="14" s="1"/>
  <c r="E28" i="14"/>
  <c r="F28" i="14"/>
  <c r="E27" i="14"/>
  <c r="F27" i="14"/>
  <c r="C24" i="14"/>
  <c r="E24" i="14"/>
  <c r="F24" i="14" s="1"/>
  <c r="C23" i="14"/>
  <c r="E23" i="14" s="1"/>
  <c r="E22" i="14"/>
  <c r="F22" i="14" s="1"/>
  <c r="C20" i="14"/>
  <c r="E20" i="14" s="1"/>
  <c r="E19" i="14"/>
  <c r="F19" i="14" s="1"/>
  <c r="E18" i="14"/>
  <c r="F18" i="14" s="1"/>
  <c r="C17" i="14"/>
  <c r="E16" i="14"/>
  <c r="F16" i="14"/>
  <c r="E15" i="14"/>
  <c r="F15" i="14"/>
  <c r="D21" i="13"/>
  <c r="E21" i="13"/>
  <c r="C21" i="13"/>
  <c r="F20" i="13"/>
  <c r="E20" i="13"/>
  <c r="D17" i="13"/>
  <c r="E17" i="13" s="1"/>
  <c r="F17" i="13" s="1"/>
  <c r="C17" i="13"/>
  <c r="E16" i="13"/>
  <c r="F16" i="13" s="1"/>
  <c r="D13" i="13"/>
  <c r="E13" i="13" s="1"/>
  <c r="C13" i="13"/>
  <c r="E12" i="13"/>
  <c r="F12" i="13"/>
  <c r="D99" i="12"/>
  <c r="C99" i="12"/>
  <c r="E99" i="12" s="1"/>
  <c r="E98" i="12"/>
  <c r="F98" i="12" s="1"/>
  <c r="E97" i="12"/>
  <c r="F97" i="12" s="1"/>
  <c r="E96" i="12"/>
  <c r="F96" i="12" s="1"/>
  <c r="D92" i="12"/>
  <c r="E92" i="12" s="1"/>
  <c r="C92" i="12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E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E75" i="12"/>
  <c r="D70" i="12"/>
  <c r="E70" i="12"/>
  <c r="C70" i="12"/>
  <c r="F69" i="12"/>
  <c r="E69" i="12"/>
  <c r="E68" i="12"/>
  <c r="F68" i="12" s="1"/>
  <c r="D65" i="12"/>
  <c r="C65" i="12"/>
  <c r="F64" i="12"/>
  <c r="E64" i="12"/>
  <c r="E63" i="12"/>
  <c r="F63" i="12" s="1"/>
  <c r="D60" i="12"/>
  <c r="C60" i="12"/>
  <c r="F60" i="12"/>
  <c r="F59" i="12"/>
  <c r="E59" i="12"/>
  <c r="F58" i="12"/>
  <c r="E58" i="12"/>
  <c r="E60" i="12" s="1"/>
  <c r="D55" i="12"/>
  <c r="E55" i="12" s="1"/>
  <c r="C55" i="12"/>
  <c r="F55" i="12" s="1"/>
  <c r="F54" i="12"/>
  <c r="E54" i="12"/>
  <c r="F53" i="12"/>
  <c r="E53" i="12"/>
  <c r="D50" i="12"/>
  <c r="E50" i="12" s="1"/>
  <c r="C50" i="12"/>
  <c r="F50" i="12" s="1"/>
  <c r="F49" i="12"/>
  <c r="E49" i="12"/>
  <c r="F48" i="12"/>
  <c r="E48" i="12"/>
  <c r="D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F28" i="12"/>
  <c r="E28" i="12"/>
  <c r="E27" i="12"/>
  <c r="F27" i="12" s="1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E16" i="12" s="1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D17" i="11"/>
  <c r="D33" i="11"/>
  <c r="D31" i="11"/>
  <c r="C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/>
  <c r="D73" i="10"/>
  <c r="D75" i="10"/>
  <c r="C73" i="10"/>
  <c r="C75" i="10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C50" i="10"/>
  <c r="E46" i="10"/>
  <c r="E59" i="10"/>
  <c r="E61" i="10" s="1"/>
  <c r="E57" i="10" s="1"/>
  <c r="D46" i="10"/>
  <c r="D48" i="10"/>
  <c r="C46" i="10"/>
  <c r="C48" i="10" s="1"/>
  <c r="C42" i="10" s="1"/>
  <c r="C59" i="10"/>
  <c r="C61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/>
  <c r="E27" i="10" s="1"/>
  <c r="D13" i="10"/>
  <c r="D15" i="10" s="1"/>
  <c r="D25" i="10"/>
  <c r="D27" i="10" s="1"/>
  <c r="C13" i="10"/>
  <c r="C15" i="10" s="1"/>
  <c r="C25" i="10"/>
  <c r="C27" i="10" s="1"/>
  <c r="D46" i="9"/>
  <c r="C46" i="9"/>
  <c r="F46" i="9"/>
  <c r="F45" i="9"/>
  <c r="E45" i="9"/>
  <c r="F44" i="9"/>
  <c r="E44" i="9"/>
  <c r="D39" i="9"/>
  <c r="C39" i="9"/>
  <c r="E38" i="9"/>
  <c r="F38" i="9" s="1"/>
  <c r="F37" i="9"/>
  <c r="E37" i="9"/>
  <c r="E36" i="9"/>
  <c r="F36" i="9" s="1"/>
  <c r="D31" i="9"/>
  <c r="E31" i="9"/>
  <c r="C31" i="9"/>
  <c r="E30" i="9"/>
  <c r="F30" i="9" s="1"/>
  <c r="F29" i="9"/>
  <c r="E29" i="9"/>
  <c r="E28" i="9"/>
  <c r="F28" i="9" s="1"/>
  <c r="F27" i="9"/>
  <c r="E27" i="9"/>
  <c r="E26" i="9"/>
  <c r="F26" i="9" s="1"/>
  <c r="F25" i="9"/>
  <c r="E25" i="9"/>
  <c r="E24" i="9"/>
  <c r="F24" i="9" s="1"/>
  <c r="F23" i="9"/>
  <c r="E23" i="9"/>
  <c r="E22" i="9"/>
  <c r="F22" i="9" s="1"/>
  <c r="F18" i="9"/>
  <c r="E18" i="9"/>
  <c r="E17" i="9"/>
  <c r="F17" i="9" s="1"/>
  <c r="D16" i="9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E61" i="8"/>
  <c r="C61" i="8"/>
  <c r="C65" i="8"/>
  <c r="E60" i="8"/>
  <c r="F60" i="8" s="1"/>
  <c r="E59" i="8"/>
  <c r="F59" i="8" s="1"/>
  <c r="D56" i="8"/>
  <c r="E56" i="8" s="1"/>
  <c r="C56" i="8"/>
  <c r="C75" i="8" s="1"/>
  <c r="E55" i="8"/>
  <c r="F55" i="8"/>
  <c r="E54" i="8"/>
  <c r="F54" i="8"/>
  <c r="E53" i="8"/>
  <c r="F53" i="8"/>
  <c r="F52" i="8"/>
  <c r="E52" i="8"/>
  <c r="E51" i="8"/>
  <c r="F51" i="8"/>
  <c r="E50" i="8"/>
  <c r="F50" i="8"/>
  <c r="A50" i="8"/>
  <c r="A51" i="8"/>
  <c r="A52" i="8" s="1"/>
  <c r="A53" i="8" s="1"/>
  <c r="A54" i="8" s="1"/>
  <c r="A55" i="8" s="1"/>
  <c r="E49" i="8"/>
  <c r="F49" i="8"/>
  <c r="E40" i="8"/>
  <c r="F40" i="8" s="1"/>
  <c r="D38" i="8"/>
  <c r="D41" i="8"/>
  <c r="C38" i="8"/>
  <c r="C41" i="8"/>
  <c r="E37" i="8"/>
  <c r="F37" i="8"/>
  <c r="E36" i="8"/>
  <c r="F36" i="8" s="1"/>
  <c r="E33" i="8"/>
  <c r="F33" i="8"/>
  <c r="E32" i="8"/>
  <c r="F32" i="8" s="1"/>
  <c r="F31" i="8"/>
  <c r="E31" i="8"/>
  <c r="D29" i="8"/>
  <c r="C29" i="8"/>
  <c r="E28" i="8"/>
  <c r="F28" i="8" s="1"/>
  <c r="F27" i="8"/>
  <c r="E27" i="8"/>
  <c r="E26" i="8"/>
  <c r="F26" i="8" s="1"/>
  <c r="F25" i="8"/>
  <c r="E25" i="8"/>
  <c r="D22" i="8"/>
  <c r="C22" i="8"/>
  <c r="E21" i="8"/>
  <c r="F21" i="8"/>
  <c r="E20" i="8"/>
  <c r="F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D119" i="7"/>
  <c r="C119" i="7"/>
  <c r="D118" i="7"/>
  <c r="C118" i="7"/>
  <c r="E118" i="7" s="1"/>
  <c r="D117" i="7"/>
  <c r="E117" i="7" s="1"/>
  <c r="C117" i="7"/>
  <c r="D116" i="7"/>
  <c r="E116" i="7" s="1"/>
  <c r="F116" i="7" s="1"/>
  <c r="C116" i="7"/>
  <c r="D115" i="7"/>
  <c r="C115" i="7"/>
  <c r="D114" i="7"/>
  <c r="E114" i="7" s="1"/>
  <c r="C114" i="7"/>
  <c r="D113" i="7"/>
  <c r="E113" i="7" s="1"/>
  <c r="C113" i="7"/>
  <c r="C122" i="7"/>
  <c r="D112" i="7"/>
  <c r="E112" i="7"/>
  <c r="C112" i="7"/>
  <c r="D108" i="7"/>
  <c r="E108" i="7" s="1"/>
  <c r="C108" i="7"/>
  <c r="D107" i="7"/>
  <c r="E107" i="7"/>
  <c r="C107" i="7"/>
  <c r="E106" i="7"/>
  <c r="F106" i="7" s="1"/>
  <c r="F105" i="7"/>
  <c r="E105" i="7"/>
  <c r="E104" i="7"/>
  <c r="F104" i="7" s="1"/>
  <c r="F103" i="7"/>
  <c r="E103" i="7"/>
  <c r="E102" i="7"/>
  <c r="F102" i="7" s="1"/>
  <c r="F101" i="7"/>
  <c r="E101" i="7"/>
  <c r="E100" i="7"/>
  <c r="F100" i="7" s="1"/>
  <c r="F99" i="7"/>
  <c r="E99" i="7"/>
  <c r="E98" i="7"/>
  <c r="F98" i="7" s="1"/>
  <c r="D96" i="7"/>
  <c r="C96" i="7"/>
  <c r="D95" i="7"/>
  <c r="E95" i="7" s="1"/>
  <c r="F95" i="7" s="1"/>
  <c r="C95" i="7"/>
  <c r="F94" i="7"/>
  <c r="E94" i="7"/>
  <c r="E93" i="7"/>
  <c r="F93" i="7" s="1"/>
  <c r="F92" i="7"/>
  <c r="E92" i="7"/>
  <c r="E91" i="7"/>
  <c r="F91" i="7" s="1"/>
  <c r="F90" i="7"/>
  <c r="E90" i="7"/>
  <c r="E89" i="7"/>
  <c r="F89" i="7" s="1"/>
  <c r="F88" i="7"/>
  <c r="E88" i="7"/>
  <c r="E87" i="7"/>
  <c r="F87" i="7" s="1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E59" i="7" s="1"/>
  <c r="F59" i="7" s="1"/>
  <c r="C59" i="7"/>
  <c r="E58" i="7"/>
  <c r="F58" i="7" s="1"/>
  <c r="F57" i="7"/>
  <c r="E57" i="7"/>
  <c r="E56" i="7"/>
  <c r="F56" i="7" s="1"/>
  <c r="F55" i="7"/>
  <c r="E55" i="7"/>
  <c r="E54" i="7"/>
  <c r="F54" i="7" s="1"/>
  <c r="F53" i="7"/>
  <c r="E53" i="7"/>
  <c r="E52" i="7"/>
  <c r="F52" i="7" s="1"/>
  <c r="F51" i="7"/>
  <c r="E51" i="7"/>
  <c r="E50" i="7"/>
  <c r="F50" i="7" s="1"/>
  <c r="D48" i="7"/>
  <c r="E48" i="7" s="1"/>
  <c r="C48" i="7"/>
  <c r="F48" i="7" s="1"/>
  <c r="D47" i="7"/>
  <c r="C47" i="7"/>
  <c r="F46" i="7"/>
  <c r="E46" i="7"/>
  <c r="E45" i="7"/>
  <c r="F45" i="7" s="1"/>
  <c r="F44" i="7"/>
  <c r="E44" i="7"/>
  <c r="F43" i="7"/>
  <c r="E43" i="7"/>
  <c r="F42" i="7"/>
  <c r="E42" i="7"/>
  <c r="E41" i="7"/>
  <c r="F41" i="7" s="1"/>
  <c r="F40" i="7"/>
  <c r="E40" i="7"/>
  <c r="F39" i="7"/>
  <c r="E39" i="7"/>
  <c r="F38" i="7"/>
  <c r="E38" i="7"/>
  <c r="D36" i="7"/>
  <c r="E36" i="7" s="1"/>
  <c r="C36" i="7"/>
  <c r="F36" i="7" s="1"/>
  <c r="D35" i="7"/>
  <c r="E35" i="7" s="1"/>
  <c r="F35" i="7" s="1"/>
  <c r="C35" i="7"/>
  <c r="E34" i="7"/>
  <c r="F34" i="7" s="1"/>
  <c r="F33" i="7"/>
  <c r="E33" i="7"/>
  <c r="E32" i="7"/>
  <c r="F32" i="7" s="1"/>
  <c r="F31" i="7"/>
  <c r="E31" i="7"/>
  <c r="E30" i="7"/>
  <c r="F30" i="7" s="1"/>
  <c r="F29" i="7"/>
  <c r="E29" i="7"/>
  <c r="E28" i="7"/>
  <c r="F28" i="7" s="1"/>
  <c r="F27" i="7"/>
  <c r="E27" i="7"/>
  <c r="E26" i="7"/>
  <c r="F26" i="7" s="1"/>
  <c r="D24" i="7"/>
  <c r="E24" i="7" s="1"/>
  <c r="F24" i="7" s="1"/>
  <c r="C24" i="7"/>
  <c r="D23" i="7"/>
  <c r="C23" i="7"/>
  <c r="F22" i="7"/>
  <c r="E22" i="7"/>
  <c r="E21" i="7"/>
  <c r="F21" i="7" s="1"/>
  <c r="F20" i="7"/>
  <c r="E20" i="7"/>
  <c r="E19" i="7"/>
  <c r="F19" i="7" s="1"/>
  <c r="F18" i="7"/>
  <c r="E18" i="7"/>
  <c r="E17" i="7"/>
  <c r="F17" i="7" s="1"/>
  <c r="F16" i="7"/>
  <c r="E16" i="7"/>
  <c r="E15" i="7"/>
  <c r="F15" i="7" s="1"/>
  <c r="F14" i="7"/>
  <c r="E14" i="7"/>
  <c r="D206" i="6"/>
  <c r="E206" i="6" s="1"/>
  <c r="F206" i="6" s="1"/>
  <c r="C206" i="6"/>
  <c r="D205" i="6"/>
  <c r="E205" i="6" s="1"/>
  <c r="F205" i="6" s="1"/>
  <c r="C205" i="6"/>
  <c r="D204" i="6"/>
  <c r="E204" i="6" s="1"/>
  <c r="C204" i="6"/>
  <c r="D203" i="6"/>
  <c r="E203" i="6"/>
  <c r="C203" i="6"/>
  <c r="D202" i="6"/>
  <c r="E202" i="6" s="1"/>
  <c r="F202" i="6" s="1"/>
  <c r="C202" i="6"/>
  <c r="D201" i="6"/>
  <c r="C201" i="6"/>
  <c r="D200" i="6"/>
  <c r="E200" i="6" s="1"/>
  <c r="C200" i="6"/>
  <c r="D199" i="6"/>
  <c r="E199" i="6"/>
  <c r="C199" i="6"/>
  <c r="C208" i="6"/>
  <c r="D198" i="6"/>
  <c r="C198" i="6"/>
  <c r="E198" i="6" s="1"/>
  <c r="D193" i="6"/>
  <c r="E193" i="6" s="1"/>
  <c r="F193" i="6" s="1"/>
  <c r="C193" i="6"/>
  <c r="D192" i="6"/>
  <c r="E192" i="6" s="1"/>
  <c r="C192" i="6"/>
  <c r="F192" i="6" s="1"/>
  <c r="E191" i="6"/>
  <c r="F191" i="6" s="1"/>
  <c r="F190" i="6"/>
  <c r="E190" i="6"/>
  <c r="E189" i="6"/>
  <c r="F189" i="6" s="1"/>
  <c r="F188" i="6"/>
  <c r="E188" i="6"/>
  <c r="E187" i="6"/>
  <c r="F187" i="6" s="1"/>
  <c r="F186" i="6"/>
  <c r="E186" i="6"/>
  <c r="E185" i="6"/>
  <c r="F185" i="6" s="1"/>
  <c r="F184" i="6"/>
  <c r="E184" i="6"/>
  <c r="E183" i="6"/>
  <c r="F183" i="6" s="1"/>
  <c r="D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F141" i="6" s="1"/>
  <c r="C141" i="6"/>
  <c r="D140" i="6"/>
  <c r="E140" i="6" s="1"/>
  <c r="F140" i="6" s="1"/>
  <c r="C140" i="6"/>
  <c r="E139" i="6"/>
  <c r="F139" i="6" s="1"/>
  <c r="F138" i="6"/>
  <c r="E138" i="6"/>
  <c r="E137" i="6"/>
  <c r="F137" i="6" s="1"/>
  <c r="F136" i="6"/>
  <c r="E136" i="6"/>
  <c r="E135" i="6"/>
  <c r="F135" i="6" s="1"/>
  <c r="F134" i="6"/>
  <c r="E134" i="6"/>
  <c r="E133" i="6"/>
  <c r="F133" i="6" s="1"/>
  <c r="F132" i="6"/>
  <c r="E132" i="6"/>
  <c r="E131" i="6"/>
  <c r="F131" i="6" s="1"/>
  <c r="D128" i="6"/>
  <c r="C128" i="6"/>
  <c r="D127" i="6"/>
  <c r="C127" i="6"/>
  <c r="F126" i="6"/>
  <c r="E126" i="6"/>
  <c r="E125" i="6"/>
  <c r="F125" i="6" s="1"/>
  <c r="F124" i="6"/>
  <c r="E124" i="6"/>
  <c r="E123" i="6"/>
  <c r="F123" i="6" s="1"/>
  <c r="F122" i="6"/>
  <c r="E122" i="6"/>
  <c r="E121" i="6"/>
  <c r="F121" i="6" s="1"/>
  <c r="F120" i="6"/>
  <c r="E120" i="6"/>
  <c r="E119" i="6"/>
  <c r="F119" i="6" s="1"/>
  <c r="F118" i="6"/>
  <c r="E118" i="6"/>
  <c r="D115" i="6"/>
  <c r="E115" i="6" s="1"/>
  <c r="F115" i="6" s="1"/>
  <c r="C115" i="6"/>
  <c r="D114" i="6"/>
  <c r="E114" i="6" s="1"/>
  <c r="C114" i="6"/>
  <c r="E113" i="6"/>
  <c r="F113" i="6"/>
  <c r="E112" i="6"/>
  <c r="F112" i="6" s="1"/>
  <c r="E111" i="6"/>
  <c r="F111" i="6"/>
  <c r="E110" i="6"/>
  <c r="F110" i="6" s="1"/>
  <c r="E109" i="6"/>
  <c r="F109" i="6"/>
  <c r="E108" i="6"/>
  <c r="F108" i="6" s="1"/>
  <c r="E107" i="6"/>
  <c r="F107" i="6"/>
  <c r="E106" i="6"/>
  <c r="F106" i="6" s="1"/>
  <c r="E105" i="6"/>
  <c r="F105" i="6"/>
  <c r="D102" i="6"/>
  <c r="C102" i="6"/>
  <c r="D101" i="6"/>
  <c r="C101" i="6"/>
  <c r="E101" i="6" s="1"/>
  <c r="E100" i="6"/>
  <c r="F100" i="6" s="1"/>
  <c r="E99" i="6"/>
  <c r="F99" i="6"/>
  <c r="E98" i="6"/>
  <c r="F98" i="6" s="1"/>
  <c r="E97" i="6"/>
  <c r="F97" i="6"/>
  <c r="E96" i="6"/>
  <c r="F96" i="6" s="1"/>
  <c r="E95" i="6"/>
  <c r="F95" i="6"/>
  <c r="E94" i="6"/>
  <c r="F94" i="6" s="1"/>
  <c r="E93" i="6"/>
  <c r="F93" i="6"/>
  <c r="E92" i="6"/>
  <c r="F92" i="6" s="1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 s="1"/>
  <c r="D75" i="6"/>
  <c r="E75" i="6"/>
  <c r="C75" i="6"/>
  <c r="F75" i="6"/>
  <c r="E74" i="6"/>
  <c r="F74" i="6" s="1"/>
  <c r="E73" i="6"/>
  <c r="F73" i="6"/>
  <c r="E72" i="6"/>
  <c r="F72" i="6" s="1"/>
  <c r="E71" i="6"/>
  <c r="F71" i="6"/>
  <c r="E70" i="6"/>
  <c r="F70" i="6" s="1"/>
  <c r="E69" i="6"/>
  <c r="F69" i="6"/>
  <c r="E68" i="6"/>
  <c r="F68" i="6" s="1"/>
  <c r="E67" i="6"/>
  <c r="F67" i="6"/>
  <c r="E66" i="6"/>
  <c r="F66" i="6" s="1"/>
  <c r="D63" i="6"/>
  <c r="E63" i="6"/>
  <c r="C63" i="6"/>
  <c r="F63" i="6"/>
  <c r="D62" i="6"/>
  <c r="E62" i="6"/>
  <c r="C62" i="6"/>
  <c r="F62" i="6"/>
  <c r="E61" i="6"/>
  <c r="F61" i="6"/>
  <c r="E60" i="6"/>
  <c r="F60" i="6" s="1"/>
  <c r="E59" i="6"/>
  <c r="F59" i="6"/>
  <c r="E58" i="6"/>
  <c r="F58" i="6" s="1"/>
  <c r="E57" i="6"/>
  <c r="F57" i="6"/>
  <c r="E56" i="6"/>
  <c r="F56" i="6" s="1"/>
  <c r="E55" i="6"/>
  <c r="F55" i="6"/>
  <c r="E54" i="6"/>
  <c r="F54" i="6" s="1"/>
  <c r="E53" i="6"/>
  <c r="F53" i="6"/>
  <c r="D50" i="6"/>
  <c r="C50" i="6"/>
  <c r="E50" i="6" s="1"/>
  <c r="D49" i="6"/>
  <c r="C49" i="6"/>
  <c r="E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/>
  <c r="E20" i="6"/>
  <c r="F20" i="6" s="1"/>
  <c r="E19" i="6"/>
  <c r="F19" i="6"/>
  <c r="E18" i="6"/>
  <c r="F18" i="6" s="1"/>
  <c r="E17" i="6"/>
  <c r="F17" i="6"/>
  <c r="E16" i="6"/>
  <c r="F16" i="6" s="1"/>
  <c r="E15" i="6"/>
  <c r="F15" i="6"/>
  <c r="E14" i="6"/>
  <c r="F14" i="6" s="1"/>
  <c r="E191" i="5"/>
  <c r="D191" i="5"/>
  <c r="C191" i="5"/>
  <c r="E176" i="5"/>
  <c r="D176" i="5"/>
  <c r="C176" i="5"/>
  <c r="E164" i="5"/>
  <c r="D164" i="5"/>
  <c r="D160" i="5" s="1"/>
  <c r="D166" i="5" s="1"/>
  <c r="C164" i="5"/>
  <c r="E162" i="5"/>
  <c r="D162" i="5"/>
  <c r="C162" i="5"/>
  <c r="E161" i="5"/>
  <c r="D161" i="5"/>
  <c r="C161" i="5"/>
  <c r="E160" i="5"/>
  <c r="E166" i="5" s="1"/>
  <c r="C160" i="5"/>
  <c r="C166" i="5" s="1"/>
  <c r="E147" i="5"/>
  <c r="D147" i="5"/>
  <c r="D143" i="5"/>
  <c r="C147" i="5"/>
  <c r="C143" i="5"/>
  <c r="C149" i="5" s="1"/>
  <c r="E145" i="5"/>
  <c r="D145" i="5"/>
  <c r="C145" i="5"/>
  <c r="E144" i="5"/>
  <c r="D144" i="5"/>
  <c r="C144" i="5"/>
  <c r="E143" i="5"/>
  <c r="E149" i="5" s="1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/>
  <c r="D95" i="5"/>
  <c r="C95" i="5"/>
  <c r="D94" i="5"/>
  <c r="C94" i="5"/>
  <c r="E89" i="5"/>
  <c r="D89" i="5"/>
  <c r="C89" i="5"/>
  <c r="E87" i="5"/>
  <c r="D87" i="5"/>
  <c r="C87" i="5"/>
  <c r="E84" i="5"/>
  <c r="D84" i="5"/>
  <c r="D79" i="5"/>
  <c r="C84" i="5"/>
  <c r="E83" i="5"/>
  <c r="E79" i="5" s="1"/>
  <c r="D83" i="5"/>
  <c r="C83" i="5"/>
  <c r="C79" i="5" s="1"/>
  <c r="E75" i="5"/>
  <c r="E88" i="5" s="1"/>
  <c r="E90" i="5" s="1"/>
  <c r="E86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38" i="5"/>
  <c r="E43" i="5" s="1"/>
  <c r="D38" i="5"/>
  <c r="D57" i="5" s="1"/>
  <c r="D62" i="5" s="1"/>
  <c r="C38" i="5"/>
  <c r="C49" i="5"/>
  <c r="E33" i="5"/>
  <c r="E34" i="5" s="1"/>
  <c r="D33" i="5"/>
  <c r="D34" i="5" s="1"/>
  <c r="E26" i="5"/>
  <c r="D26" i="5"/>
  <c r="C26" i="5"/>
  <c r="C15" i="5"/>
  <c r="C24" i="5" s="1"/>
  <c r="E13" i="5"/>
  <c r="E25" i="5" s="1"/>
  <c r="E27" i="5" s="1"/>
  <c r="D13" i="5"/>
  <c r="D25" i="5"/>
  <c r="D27" i="5" s="1"/>
  <c r="D15" i="5"/>
  <c r="C13" i="5"/>
  <c r="C25" i="5"/>
  <c r="C27" i="5" s="1"/>
  <c r="C21" i="5" s="1"/>
  <c r="E174" i="4"/>
  <c r="F174" i="4"/>
  <c r="D171" i="4"/>
  <c r="E171" i="4"/>
  <c r="C171" i="4"/>
  <c r="E170" i="4"/>
  <c r="F170" i="4" s="1"/>
  <c r="E169" i="4"/>
  <c r="F169" i="4" s="1"/>
  <c r="E168" i="4"/>
  <c r="F168" i="4" s="1"/>
  <c r="E167" i="4"/>
  <c r="F167" i="4" s="1"/>
  <c r="F166" i="4"/>
  <c r="E166" i="4"/>
  <c r="F165" i="4"/>
  <c r="E165" i="4"/>
  <c r="E164" i="4"/>
  <c r="F164" i="4" s="1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E59" i="4"/>
  <c r="C59" i="4"/>
  <c r="F58" i="4"/>
  <c r="E58" i="4"/>
  <c r="F57" i="4"/>
  <c r="E57" i="4"/>
  <c r="F56" i="4"/>
  <c r="E56" i="4"/>
  <c r="E55" i="4"/>
  <c r="F55" i="4" s="1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F40" i="4"/>
  <c r="E40" i="4"/>
  <c r="F39" i="4"/>
  <c r="E39" i="4"/>
  <c r="F38" i="4"/>
  <c r="E38" i="4"/>
  <c r="D35" i="4"/>
  <c r="E35" i="4" s="1"/>
  <c r="F35" i="4" s="1"/>
  <c r="C35" i="4"/>
  <c r="E34" i="4"/>
  <c r="F34" i="4"/>
  <c r="E33" i="4"/>
  <c r="F33" i="4"/>
  <c r="D30" i="4"/>
  <c r="E30" i="4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E17" i="4"/>
  <c r="F17" i="4"/>
  <c r="E16" i="4"/>
  <c r="F16" i="4"/>
  <c r="E15" i="4"/>
  <c r="F15" i="4"/>
  <c r="D179" i="3"/>
  <c r="C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3" i="3" s="1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E137" i="3" s="1"/>
  <c r="F137" i="3" s="1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E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E81" i="3" s="1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E68" i="3" s="1"/>
  <c r="F68" i="3" s="1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C38" i="3"/>
  <c r="E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E39" i="2"/>
  <c r="C39" i="2"/>
  <c r="F39" i="2"/>
  <c r="E38" i="2"/>
  <c r="F38" i="2"/>
  <c r="F37" i="2"/>
  <c r="E37" i="2"/>
  <c r="E36" i="2"/>
  <c r="F36" i="2"/>
  <c r="D31" i="2"/>
  <c r="E31" i="2"/>
  <c r="C31" i="2"/>
  <c r="E30" i="2"/>
  <c r="F30" i="2" s="1"/>
  <c r="E29" i="2"/>
  <c r="F29" i="2" s="1"/>
  <c r="E28" i="2"/>
  <c r="F28" i="2" s="1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 s="1"/>
  <c r="F16" i="2" s="1"/>
  <c r="C16" i="2"/>
  <c r="F15" i="2"/>
  <c r="E15" i="2"/>
  <c r="E14" i="2"/>
  <c r="F14" i="2" s="1"/>
  <c r="E13" i="2"/>
  <c r="F13" i="2" s="1"/>
  <c r="E12" i="2"/>
  <c r="F12" i="2" s="1"/>
  <c r="D73" i="1"/>
  <c r="E73" i="1" s="1"/>
  <c r="C73" i="1"/>
  <c r="F73" i="1" s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E61" i="1" s="1"/>
  <c r="F61" i="1" s="1"/>
  <c r="C61" i="1"/>
  <c r="C65" i="1" s="1"/>
  <c r="E60" i="1"/>
  <c r="F60" i="1" s="1"/>
  <c r="E59" i="1"/>
  <c r="F59" i="1" s="1"/>
  <c r="D56" i="1"/>
  <c r="E56" i="1" s="1"/>
  <c r="C56" i="1"/>
  <c r="E55" i="1"/>
  <c r="F55" i="1" s="1"/>
  <c r="E54" i="1"/>
  <c r="F54" i="1" s="1"/>
  <c r="E53" i="1"/>
  <c r="F53" i="1" s="1"/>
  <c r="F52" i="1"/>
  <c r="E52" i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 s="1"/>
  <c r="F40" i="1"/>
  <c r="E40" i="1"/>
  <c r="D38" i="1"/>
  <c r="D41" i="1" s="1"/>
  <c r="C38" i="1"/>
  <c r="C41" i="1" s="1"/>
  <c r="C43" i="1" s="1"/>
  <c r="F37" i="1"/>
  <c r="E37" i="1"/>
  <c r="F36" i="1"/>
  <c r="E36" i="1"/>
  <c r="F33" i="1"/>
  <c r="E33" i="1"/>
  <c r="F32" i="1"/>
  <c r="E32" i="1"/>
  <c r="F31" i="1"/>
  <c r="E31" i="1"/>
  <c r="D29" i="1"/>
  <c r="E29" i="1" s="1"/>
  <c r="C29" i="1"/>
  <c r="F28" i="1"/>
  <c r="E28" i="1"/>
  <c r="F27" i="1"/>
  <c r="E27" i="1"/>
  <c r="F26" i="1"/>
  <c r="E26" i="1"/>
  <c r="F25" i="1"/>
  <c r="E25" i="1"/>
  <c r="D22" i="1"/>
  <c r="E22" i="1" s="1"/>
  <c r="F22" i="1" s="1"/>
  <c r="C22" i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F296" i="14"/>
  <c r="D68" i="14"/>
  <c r="D285" i="14"/>
  <c r="D288" i="14"/>
  <c r="D37" i="14"/>
  <c r="D111" i="14"/>
  <c r="D181" i="14"/>
  <c r="E181" i="14"/>
  <c r="D280" i="14"/>
  <c r="D277" i="14"/>
  <c r="E156" i="5"/>
  <c r="E152" i="5"/>
  <c r="E155" i="5"/>
  <c r="E153" i="5"/>
  <c r="E157" i="5"/>
  <c r="E154" i="5"/>
  <c r="C33" i="9"/>
  <c r="E21" i="5"/>
  <c r="C154" i="5"/>
  <c r="C152" i="5"/>
  <c r="C156" i="5"/>
  <c r="C153" i="5"/>
  <c r="C157" i="5"/>
  <c r="C155" i="5"/>
  <c r="F30" i="4"/>
  <c r="D24" i="5"/>
  <c r="D17" i="5"/>
  <c r="D20" i="5"/>
  <c r="D21" i="5"/>
  <c r="E139" i="5"/>
  <c r="E135" i="5"/>
  <c r="E140" i="5"/>
  <c r="E137" i="5"/>
  <c r="E138" i="5"/>
  <c r="E136" i="5"/>
  <c r="C137" i="5"/>
  <c r="C139" i="5"/>
  <c r="C136" i="5"/>
  <c r="C140" i="5"/>
  <c r="C138" i="5"/>
  <c r="C135" i="5"/>
  <c r="C21" i="10"/>
  <c r="D65" i="1"/>
  <c r="D19" i="2"/>
  <c r="C19" i="2"/>
  <c r="F78" i="4"/>
  <c r="D83" i="4"/>
  <c r="F171" i="4"/>
  <c r="D176" i="4"/>
  <c r="E15" i="5"/>
  <c r="C20" i="5"/>
  <c r="D43" i="5"/>
  <c r="E49" i="5"/>
  <c r="C57" i="5"/>
  <c r="C62" i="5" s="1"/>
  <c r="E77" i="5"/>
  <c r="E71" i="5" s="1"/>
  <c r="D153" i="5"/>
  <c r="E48" i="10"/>
  <c r="E42" i="10"/>
  <c r="C57" i="10"/>
  <c r="F75" i="12"/>
  <c r="F13" i="13"/>
  <c r="C33" i="11"/>
  <c r="C36" i="11" s="1"/>
  <c r="C38" i="11"/>
  <c r="C40" i="11" s="1"/>
  <c r="C31" i="11"/>
  <c r="F31" i="11" s="1"/>
  <c r="E36" i="11"/>
  <c r="E38" i="11" s="1"/>
  <c r="E40" i="11" s="1"/>
  <c r="D49" i="5"/>
  <c r="E53" i="5"/>
  <c r="D156" i="5"/>
  <c r="E23" i="6"/>
  <c r="F23" i="6"/>
  <c r="E102" i="6"/>
  <c r="F102" i="6"/>
  <c r="E127" i="6"/>
  <c r="F127" i="6"/>
  <c r="E180" i="6"/>
  <c r="E201" i="6"/>
  <c r="F201" i="6" s="1"/>
  <c r="D207" i="6"/>
  <c r="E47" i="7"/>
  <c r="F47" i="7"/>
  <c r="E96" i="7"/>
  <c r="F96" i="7"/>
  <c r="E115" i="7"/>
  <c r="F115" i="7"/>
  <c r="D121" i="7"/>
  <c r="E22" i="8"/>
  <c r="F22" i="8" s="1"/>
  <c r="F56" i="8"/>
  <c r="E73" i="8"/>
  <c r="F73" i="8"/>
  <c r="E46" i="9"/>
  <c r="G17" i="11"/>
  <c r="E45" i="12"/>
  <c r="F70" i="12"/>
  <c r="F21" i="13"/>
  <c r="C24" i="10"/>
  <c r="C20" i="10" s="1"/>
  <c r="C17" i="10"/>
  <c r="C28" i="10" s="1"/>
  <c r="D21" i="10"/>
  <c r="D53" i="5"/>
  <c r="E57" i="5"/>
  <c r="E62" i="5" s="1"/>
  <c r="E24" i="6"/>
  <c r="F24" i="6"/>
  <c r="E128" i="6"/>
  <c r="F128" i="6"/>
  <c r="E153" i="6"/>
  <c r="E23" i="7"/>
  <c r="F23" i="7" s="1"/>
  <c r="E29" i="8"/>
  <c r="F29" i="8" s="1"/>
  <c r="E38" i="8"/>
  <c r="F38" i="8" s="1"/>
  <c r="E16" i="9"/>
  <c r="F16" i="9" s="1"/>
  <c r="E39" i="9"/>
  <c r="F39" i="9" s="1"/>
  <c r="F33" i="11"/>
  <c r="F36" i="11" s="1"/>
  <c r="F38" i="11" s="1"/>
  <c r="F40" i="11" s="1"/>
  <c r="E23" i="12"/>
  <c r="F23" i="12" s="1"/>
  <c r="E21" i="10"/>
  <c r="E89" i="14"/>
  <c r="F89" i="14"/>
  <c r="C17" i="5"/>
  <c r="D149" i="5"/>
  <c r="D42" i="10"/>
  <c r="D59" i="10"/>
  <c r="D61" i="10" s="1"/>
  <c r="D57" i="10" s="1"/>
  <c r="D36" i="11"/>
  <c r="D38" i="11"/>
  <c r="D40" i="11" s="1"/>
  <c r="C192" i="14"/>
  <c r="C124" i="14"/>
  <c r="C108" i="19"/>
  <c r="C109" i="19"/>
  <c r="D254" i="14"/>
  <c r="D286" i="14"/>
  <c r="E283" i="14"/>
  <c r="F283" i="14" s="1"/>
  <c r="D43" i="8"/>
  <c r="D65" i="8"/>
  <c r="E65" i="8"/>
  <c r="F65" i="8" s="1"/>
  <c r="D75" i="8"/>
  <c r="E75" i="8" s="1"/>
  <c r="F75" i="8" s="1"/>
  <c r="D19" i="9"/>
  <c r="F73" i="12"/>
  <c r="E17" i="14"/>
  <c r="F17" i="14"/>
  <c r="F20" i="14"/>
  <c r="F23" i="14"/>
  <c r="E30" i="14"/>
  <c r="F30" i="14"/>
  <c r="E36" i="14"/>
  <c r="F36" i="14"/>
  <c r="E48" i="14"/>
  <c r="F52" i="14"/>
  <c r="E59" i="14"/>
  <c r="F59" i="14"/>
  <c r="F66" i="14"/>
  <c r="E85" i="14"/>
  <c r="F85" i="14" s="1"/>
  <c r="C90" i="14"/>
  <c r="E94" i="14"/>
  <c r="F94" i="14"/>
  <c r="F95" i="14"/>
  <c r="E102" i="14"/>
  <c r="F102" i="14" s="1"/>
  <c r="F109" i="14"/>
  <c r="C111" i="14"/>
  <c r="F120" i="14"/>
  <c r="C137" i="14"/>
  <c r="E144" i="14"/>
  <c r="C190" i="14"/>
  <c r="F191" i="14"/>
  <c r="E204" i="14"/>
  <c r="F223" i="14"/>
  <c r="E227" i="14"/>
  <c r="F227" i="14"/>
  <c r="F230" i="14"/>
  <c r="C254" i="14"/>
  <c r="C287" i="14"/>
  <c r="C306" i="14"/>
  <c r="C259" i="15"/>
  <c r="C263" i="15" s="1"/>
  <c r="C264" i="15" s="1"/>
  <c r="C266" i="15" s="1"/>
  <c r="C267" i="15" s="1"/>
  <c r="C44" i="15"/>
  <c r="C33" i="15"/>
  <c r="E37" i="15"/>
  <c r="D43" i="15"/>
  <c r="D44" i="15" s="1"/>
  <c r="C46" i="19"/>
  <c r="C40" i="19"/>
  <c r="C36" i="19"/>
  <c r="C30" i="19"/>
  <c r="C111" i="19"/>
  <c r="C54" i="19"/>
  <c r="D139" i="14"/>
  <c r="D104" i="14"/>
  <c r="E76" i="14"/>
  <c r="F76" i="14"/>
  <c r="E88" i="14"/>
  <c r="F88" i="14"/>
  <c r="F136" i="14"/>
  <c r="F171" i="14"/>
  <c r="C195" i="14"/>
  <c r="F204" i="14"/>
  <c r="F295" i="14"/>
  <c r="F297" i="14"/>
  <c r="F299" i="14"/>
  <c r="C77" i="15"/>
  <c r="C282" i="14"/>
  <c r="C266" i="14"/>
  <c r="C278" i="14"/>
  <c r="C262" i="14"/>
  <c r="C255" i="14"/>
  <c r="E189" i="14"/>
  <c r="F189" i="14" s="1"/>
  <c r="C280" i="14"/>
  <c r="C200" i="14"/>
  <c r="C290" i="14"/>
  <c r="C274" i="14"/>
  <c r="F198" i="14"/>
  <c r="E33" i="15"/>
  <c r="C168" i="15"/>
  <c r="C145" i="15"/>
  <c r="D320" i="15"/>
  <c r="E320" i="15" s="1"/>
  <c r="E316" i="15"/>
  <c r="D330" i="15"/>
  <c r="E330" i="15"/>
  <c r="E326" i="15"/>
  <c r="D140" i="14"/>
  <c r="D62" i="14"/>
  <c r="D105" i="14"/>
  <c r="D90" i="14"/>
  <c r="E90" i="14"/>
  <c r="D160" i="14"/>
  <c r="D125" i="14"/>
  <c r="C31" i="14"/>
  <c r="C37" i="14"/>
  <c r="C60" i="14"/>
  <c r="C103" i="14"/>
  <c r="F129" i="14"/>
  <c r="F181" i="14"/>
  <c r="F239" i="14"/>
  <c r="E146" i="14"/>
  <c r="F146" i="14"/>
  <c r="D287" i="14"/>
  <c r="C284" i="14"/>
  <c r="E277" i="14"/>
  <c r="F277" i="14"/>
  <c r="D22" i="15"/>
  <c r="E21" i="15"/>
  <c r="D283" i="15"/>
  <c r="E260" i="15"/>
  <c r="D173" i="14"/>
  <c r="D174" i="14"/>
  <c r="D207" i="14"/>
  <c r="C21" i="14"/>
  <c r="E35" i="14"/>
  <c r="F35" i="14"/>
  <c r="F48" i="14"/>
  <c r="E123" i="14"/>
  <c r="F123" i="14" s="1"/>
  <c r="F144" i="14"/>
  <c r="C172" i="14"/>
  <c r="F180" i="14"/>
  <c r="C205" i="14"/>
  <c r="C214" i="14"/>
  <c r="E229" i="14"/>
  <c r="F229" i="14"/>
  <c r="F238" i="14"/>
  <c r="F250" i="14"/>
  <c r="C267" i="14"/>
  <c r="C285" i="14"/>
  <c r="C286" i="14" s="1"/>
  <c r="E32" i="15"/>
  <c r="E217" i="15"/>
  <c r="C303" i="15"/>
  <c r="C306" i="15" s="1"/>
  <c r="D41" i="17"/>
  <c r="E269" i="14"/>
  <c r="F269" i="14"/>
  <c r="D302" i="15"/>
  <c r="E302" i="15"/>
  <c r="C20" i="17"/>
  <c r="E25" i="17"/>
  <c r="F25" i="17" s="1"/>
  <c r="C40" i="17"/>
  <c r="C46" i="17"/>
  <c r="E29" i="19"/>
  <c r="C33" i="19"/>
  <c r="E35" i="19"/>
  <c r="E39" i="19"/>
  <c r="E45" i="19"/>
  <c r="D267" i="14"/>
  <c r="D306" i="14"/>
  <c r="E306" i="14" s="1"/>
  <c r="E71" i="15"/>
  <c r="E151" i="15"/>
  <c r="C175" i="15"/>
  <c r="E195" i="15"/>
  <c r="C210" i="15"/>
  <c r="C180" i="15" s="1"/>
  <c r="D211" i="15"/>
  <c r="E215" i="15"/>
  <c r="D222" i="15"/>
  <c r="D229" i="15"/>
  <c r="E229" i="15"/>
  <c r="C239" i="15"/>
  <c r="E239" i="15"/>
  <c r="D240" i="15"/>
  <c r="D244" i="15"/>
  <c r="E244" i="15" s="1"/>
  <c r="C289" i="15"/>
  <c r="E289" i="15" s="1"/>
  <c r="D303" i="15"/>
  <c r="E314" i="15"/>
  <c r="C64" i="16"/>
  <c r="C65" i="16" s="1"/>
  <c r="C114" i="16" s="1"/>
  <c r="C116" i="16" s="1"/>
  <c r="C119" i="16" s="1"/>
  <c r="C123" i="16" s="1"/>
  <c r="D22" i="19"/>
  <c r="C34" i="19"/>
  <c r="E108" i="19"/>
  <c r="D192" i="14"/>
  <c r="D200" i="14"/>
  <c r="E200" i="14" s="1"/>
  <c r="F200" i="14" s="1"/>
  <c r="D206" i="14"/>
  <c r="D262" i="14"/>
  <c r="D274" i="14"/>
  <c r="E274" i="14" s="1"/>
  <c r="F274" i="14" s="1"/>
  <c r="D284" i="14"/>
  <c r="E284" i="14" s="1"/>
  <c r="F284" i="14" s="1"/>
  <c r="C222" i="15"/>
  <c r="E231" i="15"/>
  <c r="D234" i="15"/>
  <c r="D241" i="15"/>
  <c r="E241" i="15"/>
  <c r="D245" i="15"/>
  <c r="E245" i="15"/>
  <c r="E324" i="15"/>
  <c r="E19" i="17"/>
  <c r="F19" i="17" s="1"/>
  <c r="E39" i="17"/>
  <c r="E43" i="17"/>
  <c r="E46" i="17"/>
  <c r="F46" i="17" s="1"/>
  <c r="C22" i="19"/>
  <c r="C45" i="19" s="1"/>
  <c r="D23" i="19"/>
  <c r="E53" i="19"/>
  <c r="E101" i="19"/>
  <c r="E103" i="19"/>
  <c r="D108" i="19"/>
  <c r="D199" i="14"/>
  <c r="E199" i="14" s="1"/>
  <c r="F199" i="14" s="1"/>
  <c r="D205" i="14"/>
  <c r="E205" i="14"/>
  <c r="D215" i="14"/>
  <c r="D261" i="14"/>
  <c r="D279" i="14"/>
  <c r="C65" i="15"/>
  <c r="C66" i="15" s="1"/>
  <c r="D156" i="15"/>
  <c r="E228" i="15"/>
  <c r="D21" i="14"/>
  <c r="D190" i="14"/>
  <c r="E190" i="14" s="1"/>
  <c r="F190" i="14" s="1"/>
  <c r="D255" i="14"/>
  <c r="E255" i="14"/>
  <c r="F255" i="14" s="1"/>
  <c r="D272" i="14"/>
  <c r="E262" i="14"/>
  <c r="C270" i="14"/>
  <c r="E156" i="15"/>
  <c r="D157" i="15"/>
  <c r="C39" i="19"/>
  <c r="C29" i="19"/>
  <c r="C53" i="19"/>
  <c r="E222" i="15"/>
  <c r="D270" i="14"/>
  <c r="E270" i="14" s="1"/>
  <c r="F270" i="14" s="1"/>
  <c r="E267" i="14"/>
  <c r="F267" i="14" s="1"/>
  <c r="E285" i="14"/>
  <c r="F285" i="14" s="1"/>
  <c r="D208" i="14"/>
  <c r="E287" i="14"/>
  <c r="C32" i="14"/>
  <c r="E31" i="14"/>
  <c r="F31" i="14"/>
  <c r="D141" i="14"/>
  <c r="C126" i="15"/>
  <c r="C122" i="15"/>
  <c r="C115" i="15"/>
  <c r="C111" i="15"/>
  <c r="C125" i="15"/>
  <c r="C121" i="15"/>
  <c r="C114" i="15"/>
  <c r="C110" i="15"/>
  <c r="C116" i="15"/>
  <c r="C124" i="15"/>
  <c r="C113" i="15"/>
  <c r="C109" i="15"/>
  <c r="C127" i="15"/>
  <c r="C123" i="15"/>
  <c r="C112" i="15"/>
  <c r="E43" i="15"/>
  <c r="F287" i="14"/>
  <c r="E137" i="14"/>
  <c r="F137" i="14" s="1"/>
  <c r="C207" i="14"/>
  <c r="C138" i="14"/>
  <c r="E254" i="14"/>
  <c r="C41" i="9"/>
  <c r="D300" i="14"/>
  <c r="F205" i="14"/>
  <c r="F43" i="17"/>
  <c r="E141" i="5"/>
  <c r="C158" i="5"/>
  <c r="D268" i="14"/>
  <c r="D271" i="14"/>
  <c r="D263" i="14"/>
  <c r="D193" i="14"/>
  <c r="E192" i="14"/>
  <c r="F192" i="14" s="1"/>
  <c r="D46" i="19"/>
  <c r="D40" i="19"/>
  <c r="D36" i="19"/>
  <c r="D30" i="19"/>
  <c r="D111" i="19"/>
  <c r="D54" i="19"/>
  <c r="D53" i="19"/>
  <c r="D45" i="19"/>
  <c r="D39" i="19"/>
  <c r="D35" i="19"/>
  <c r="D29" i="19"/>
  <c r="D110" i="19"/>
  <c r="C234" i="15"/>
  <c r="C211" i="15"/>
  <c r="E214" i="14"/>
  <c r="F214" i="14" s="1"/>
  <c r="C196" i="14"/>
  <c r="C49" i="14"/>
  <c r="C126" i="14"/>
  <c r="C91" i="14"/>
  <c r="E37" i="14"/>
  <c r="F37" i="14" s="1"/>
  <c r="D63" i="14"/>
  <c r="E280" i="14"/>
  <c r="F280" i="14"/>
  <c r="C281" i="14"/>
  <c r="C288" i="14"/>
  <c r="C289" i="14" s="1"/>
  <c r="E278" i="14"/>
  <c r="F278" i="14" s="1"/>
  <c r="C279" i="14"/>
  <c r="C99" i="15"/>
  <c r="C95" i="15"/>
  <c r="C88" i="15"/>
  <c r="C84" i="15"/>
  <c r="C258" i="15"/>
  <c r="C98" i="15"/>
  <c r="C87" i="15"/>
  <c r="C83" i="15"/>
  <c r="C101" i="15"/>
  <c r="C97" i="15"/>
  <c r="C86" i="15"/>
  <c r="C85" i="15"/>
  <c r="C100" i="15"/>
  <c r="C96" i="15"/>
  <c r="C102" i="15" s="1"/>
  <c r="C103" i="15" s="1"/>
  <c r="C89" i="15"/>
  <c r="E124" i="14"/>
  <c r="F124" i="14"/>
  <c r="C28" i="5"/>
  <c r="C112" i="5"/>
  <c r="C111" i="5" s="1"/>
  <c r="E24" i="5"/>
  <c r="E20" i="5" s="1"/>
  <c r="E17" i="5"/>
  <c r="E19" i="2"/>
  <c r="D33" i="2"/>
  <c r="C246" i="15"/>
  <c r="E234" i="15"/>
  <c r="C41" i="17"/>
  <c r="D223" i="15"/>
  <c r="F90" i="14"/>
  <c r="D216" i="14"/>
  <c r="C125" i="14"/>
  <c r="G33" i="11"/>
  <c r="G36" i="11"/>
  <c r="G38" i="11" s="1"/>
  <c r="G40" i="11" s="1"/>
  <c r="D126" i="14"/>
  <c r="D91" i="14"/>
  <c r="D49" i="14"/>
  <c r="D161" i="14"/>
  <c r="E21" i="14"/>
  <c r="F21" i="14"/>
  <c r="D306" i="15"/>
  <c r="E303" i="15"/>
  <c r="D235" i="15"/>
  <c r="E211" i="15"/>
  <c r="C173" i="14"/>
  <c r="E172" i="14"/>
  <c r="F172" i="14" s="1"/>
  <c r="C61" i="14"/>
  <c r="E60" i="14"/>
  <c r="F60" i="14"/>
  <c r="C181" i="15"/>
  <c r="C169" i="15"/>
  <c r="C272" i="14"/>
  <c r="F262" i="14"/>
  <c r="E111" i="14"/>
  <c r="F111" i="14" s="1"/>
  <c r="D138" i="5"/>
  <c r="D137" i="5"/>
  <c r="D135" i="5"/>
  <c r="D139" i="5"/>
  <c r="D136" i="5"/>
  <c r="D140" i="5"/>
  <c r="C33" i="2"/>
  <c r="F19" i="2"/>
  <c r="D253" i="15"/>
  <c r="E40" i="17"/>
  <c r="E41" i="17" s="1"/>
  <c r="F41" i="17" s="1"/>
  <c r="C294" i="15"/>
  <c r="E20" i="17"/>
  <c r="F20" i="17"/>
  <c r="C141" i="5"/>
  <c r="E47" i="19"/>
  <c r="E37" i="19"/>
  <c r="E112" i="19"/>
  <c r="E55" i="19"/>
  <c r="D284" i="15"/>
  <c r="E22" i="15"/>
  <c r="E103" i="14"/>
  <c r="F103" i="14" s="1"/>
  <c r="D106" i="14"/>
  <c r="E290" i="14"/>
  <c r="F290" i="14"/>
  <c r="C56" i="19"/>
  <c r="C48" i="19"/>
  <c r="C38" i="19"/>
  <c r="C113" i="19"/>
  <c r="F254" i="14"/>
  <c r="E19" i="9"/>
  <c r="F19" i="9" s="1"/>
  <c r="D33" i="9"/>
  <c r="D28" i="5"/>
  <c r="D112" i="5"/>
  <c r="D111" i="5" s="1"/>
  <c r="E279" i="14"/>
  <c r="C223" i="15"/>
  <c r="E173" i="14"/>
  <c r="D252" i="15"/>
  <c r="E125" i="14"/>
  <c r="D175" i="14"/>
  <c r="F39" i="17"/>
  <c r="E210" i="15"/>
  <c r="C304" i="14"/>
  <c r="E158" i="5"/>
  <c r="D254" i="15"/>
  <c r="D310" i="15"/>
  <c r="D50" i="14"/>
  <c r="E49" i="14"/>
  <c r="D41" i="2"/>
  <c r="E33" i="2"/>
  <c r="C127" i="14"/>
  <c r="C208" i="14"/>
  <c r="E32" i="14"/>
  <c r="F32" i="14"/>
  <c r="C140" i="14"/>
  <c r="C175" i="14"/>
  <c r="E175" i="14" s="1"/>
  <c r="F175" i="14" s="1"/>
  <c r="C105" i="14"/>
  <c r="C62" i="14"/>
  <c r="F173" i="14"/>
  <c r="F40" i="17"/>
  <c r="C291" i="14"/>
  <c r="E207" i="14"/>
  <c r="F207" i="14" s="1"/>
  <c r="E223" i="15"/>
  <c r="C92" i="14"/>
  <c r="D47" i="19"/>
  <c r="D37" i="19"/>
  <c r="D112" i="19"/>
  <c r="D55" i="19"/>
  <c r="D194" i="14"/>
  <c r="E193" i="14"/>
  <c r="F193" i="14" s="1"/>
  <c r="D282" i="14"/>
  <c r="D266" i="14"/>
  <c r="C48" i="9"/>
  <c r="E138" i="14"/>
  <c r="F138" i="14"/>
  <c r="C90" i="15"/>
  <c r="C91" i="15" s="1"/>
  <c r="C105" i="15" s="1"/>
  <c r="F279" i="14"/>
  <c r="D41" i="9"/>
  <c r="E33" i="9"/>
  <c r="F33" i="9" s="1"/>
  <c r="D162" i="14"/>
  <c r="D127" i="14"/>
  <c r="E126" i="14"/>
  <c r="F126" i="14"/>
  <c r="E112" i="5"/>
  <c r="E111" i="5"/>
  <c r="E28" i="5"/>
  <c r="E288" i="14"/>
  <c r="F288" i="14"/>
  <c r="D113" i="19"/>
  <c r="D56" i="19"/>
  <c r="D48" i="19"/>
  <c r="D38" i="19"/>
  <c r="D304" i="14"/>
  <c r="D273" i="14"/>
  <c r="C112" i="19"/>
  <c r="C55" i="19"/>
  <c r="C47" i="19"/>
  <c r="C37" i="19"/>
  <c r="E157" i="15"/>
  <c r="C128" i="15"/>
  <c r="D176" i="14"/>
  <c r="D183" i="14" s="1"/>
  <c r="E183" i="14" s="1"/>
  <c r="D99" i="5"/>
  <c r="D101" i="5" s="1"/>
  <c r="D98" i="5" s="1"/>
  <c r="D22" i="5"/>
  <c r="F33" i="2"/>
  <c r="C41" i="2"/>
  <c r="F41" i="2" s="1"/>
  <c r="C139" i="14"/>
  <c r="E139" i="14" s="1"/>
  <c r="F139" i="14" s="1"/>
  <c r="C104" i="14"/>
  <c r="F104" i="14"/>
  <c r="C209" i="14"/>
  <c r="C174" i="14"/>
  <c r="E174" i="14" s="1"/>
  <c r="F174" i="14" s="1"/>
  <c r="E61" i="14"/>
  <c r="F61" i="14"/>
  <c r="D92" i="14"/>
  <c r="E91" i="14"/>
  <c r="F91" i="14" s="1"/>
  <c r="C99" i="5"/>
  <c r="C101" i="5" s="1"/>
  <c r="C98" i="5" s="1"/>
  <c r="C22" i="5"/>
  <c r="C50" i="14"/>
  <c r="F49" i="14"/>
  <c r="D322" i="14"/>
  <c r="E208" i="14"/>
  <c r="D209" i="14"/>
  <c r="E209" i="14" s="1"/>
  <c r="F209" i="14" s="1"/>
  <c r="D210" i="14"/>
  <c r="D141" i="5"/>
  <c r="F125" i="14"/>
  <c r="C117" i="15"/>
  <c r="E272" i="14"/>
  <c r="F272" i="14"/>
  <c r="E104" i="14"/>
  <c r="C106" i="14"/>
  <c r="C324" i="14" s="1"/>
  <c r="E105" i="14"/>
  <c r="F105" i="14"/>
  <c r="C70" i="14"/>
  <c r="F70" i="14" s="1"/>
  <c r="D324" i="14"/>
  <c r="D113" i="14"/>
  <c r="E113" i="14" s="1"/>
  <c r="F113" i="14" s="1"/>
  <c r="E92" i="14"/>
  <c r="F92" i="14"/>
  <c r="E304" i="14"/>
  <c r="F304" i="14"/>
  <c r="D323" i="14"/>
  <c r="D281" i="14"/>
  <c r="E281" i="14"/>
  <c r="F281" i="14" s="1"/>
  <c r="E282" i="14"/>
  <c r="F282" i="14" s="1"/>
  <c r="C305" i="14"/>
  <c r="C309" i="14" s="1"/>
  <c r="C63" i="14"/>
  <c r="E62" i="14"/>
  <c r="F62" i="14" s="1"/>
  <c r="C141" i="14"/>
  <c r="E141" i="14" s="1"/>
  <c r="F141" i="14" s="1"/>
  <c r="E140" i="14"/>
  <c r="F140" i="14"/>
  <c r="D48" i="2"/>
  <c r="E41" i="2"/>
  <c r="E99" i="5"/>
  <c r="E101" i="5" s="1"/>
  <c r="E98" i="5" s="1"/>
  <c r="E22" i="5"/>
  <c r="E266" i="14"/>
  <c r="F266" i="14" s="1"/>
  <c r="D265" i="14"/>
  <c r="C113" i="14"/>
  <c r="F208" i="14"/>
  <c r="D211" i="14"/>
  <c r="D148" i="14"/>
  <c r="E127" i="14"/>
  <c r="F127" i="14" s="1"/>
  <c r="E41" i="9"/>
  <c r="F41" i="9" s="1"/>
  <c r="D48" i="9"/>
  <c r="E48" i="9" s="1"/>
  <c r="F48" i="9" s="1"/>
  <c r="E194" i="14"/>
  <c r="F194" i="14"/>
  <c r="D195" i="14"/>
  <c r="E195" i="14"/>
  <c r="F195" i="14" s="1"/>
  <c r="D196" i="14"/>
  <c r="D197" i="14" s="1"/>
  <c r="E197" i="14" s="1"/>
  <c r="C176" i="14"/>
  <c r="E176" i="14" s="1"/>
  <c r="F176" i="14" s="1"/>
  <c r="D70" i="14"/>
  <c r="E70" i="14"/>
  <c r="E50" i="14"/>
  <c r="F50" i="14" s="1"/>
  <c r="C210" i="14"/>
  <c r="E210" i="14"/>
  <c r="F210" i="14" s="1"/>
  <c r="C322" i="14"/>
  <c r="E322" i="14" s="1"/>
  <c r="F322" i="14" s="1"/>
  <c r="E196" i="14"/>
  <c r="F196" i="14" s="1"/>
  <c r="E106" i="14"/>
  <c r="F106" i="14" s="1"/>
  <c r="E63" i="14"/>
  <c r="F63" i="14" s="1"/>
  <c r="D325" i="14"/>
  <c r="C148" i="14"/>
  <c r="C211" i="14"/>
  <c r="C129" i="15"/>
  <c r="C131" i="15" s="1"/>
  <c r="C70" i="10"/>
  <c r="C72" i="10" s="1"/>
  <c r="C69" i="10" s="1"/>
  <c r="C22" i="10"/>
  <c r="D289" i="14"/>
  <c r="E289" i="14" s="1"/>
  <c r="D291" i="14"/>
  <c r="E41" i="1"/>
  <c r="F41" i="1" s="1"/>
  <c r="D43" i="1"/>
  <c r="E43" i="1"/>
  <c r="F31" i="2"/>
  <c r="F111" i="3"/>
  <c r="F43" i="1"/>
  <c r="F38" i="3"/>
  <c r="D52" i="3"/>
  <c r="F81" i="3"/>
  <c r="D95" i="3"/>
  <c r="E95" i="3"/>
  <c r="F95" i="3" s="1"/>
  <c r="F153" i="3"/>
  <c r="E179" i="3"/>
  <c r="F179" i="3" s="1"/>
  <c r="F59" i="4"/>
  <c r="C83" i="4"/>
  <c r="D155" i="5"/>
  <c r="D157" i="5"/>
  <c r="D152" i="5"/>
  <c r="D158" i="5"/>
  <c r="D154" i="5"/>
  <c r="F114" i="6"/>
  <c r="F199" i="6"/>
  <c r="F200" i="6"/>
  <c r="F203" i="6"/>
  <c r="F204" i="6"/>
  <c r="E38" i="1"/>
  <c r="F38" i="1"/>
  <c r="C43" i="5"/>
  <c r="C53" i="5"/>
  <c r="D77" i="5"/>
  <c r="D71" i="5"/>
  <c r="C77" i="5"/>
  <c r="C71" i="5"/>
  <c r="C207" i="6"/>
  <c r="F198" i="6"/>
  <c r="D208" i="6"/>
  <c r="E208" i="6"/>
  <c r="F208" i="6" s="1"/>
  <c r="F107" i="7"/>
  <c r="F108" i="7"/>
  <c r="F112" i="7"/>
  <c r="E41" i="8"/>
  <c r="F41" i="8"/>
  <c r="F31" i="9"/>
  <c r="F16" i="12"/>
  <c r="F30" i="12"/>
  <c r="C43" i="8"/>
  <c r="D17" i="10"/>
  <c r="D28" i="10"/>
  <c r="D24" i="10"/>
  <c r="D20" i="10"/>
  <c r="C121" i="7"/>
  <c r="D122" i="7"/>
  <c r="E122" i="7" s="1"/>
  <c r="F122" i="7" s="1"/>
  <c r="F61" i="8"/>
  <c r="E15" i="10"/>
  <c r="E31" i="11"/>
  <c r="G31" i="11"/>
  <c r="F84" i="12"/>
  <c r="F99" i="12"/>
  <c r="F44" i="14"/>
  <c r="E101" i="14"/>
  <c r="F101" i="14" s="1"/>
  <c r="F110" i="14"/>
  <c r="F145" i="14"/>
  <c r="F158" i="14"/>
  <c r="C159" i="14"/>
  <c r="C206" i="14"/>
  <c r="C215" i="14"/>
  <c r="C264" i="14"/>
  <c r="C300" i="14" s="1"/>
  <c r="E226" i="14"/>
  <c r="F226" i="14"/>
  <c r="C261" i="14"/>
  <c r="E163" i="15"/>
  <c r="C38" i="16"/>
  <c r="C127" i="16"/>
  <c r="C129" i="16" s="1"/>
  <c r="C133" i="16" s="1"/>
  <c r="F16" i="17"/>
  <c r="F17" i="11"/>
  <c r="E188" i="14"/>
  <c r="F188" i="14"/>
  <c r="E237" i="14"/>
  <c r="F237" i="14"/>
  <c r="F294" i="14"/>
  <c r="E298" i="14"/>
  <c r="F298" i="14" s="1"/>
  <c r="E311" i="14"/>
  <c r="F311" i="14" s="1"/>
  <c r="C283" i="15"/>
  <c r="E283" i="15" s="1"/>
  <c r="C55" i="15"/>
  <c r="C235" i="15" s="1"/>
  <c r="E235" i="15" s="1"/>
  <c r="E139" i="15"/>
  <c r="D144" i="15"/>
  <c r="D145" i="15" s="1"/>
  <c r="D175" i="15"/>
  <c r="E175" i="15"/>
  <c r="E188" i="15"/>
  <c r="E205" i="15"/>
  <c r="C240" i="15"/>
  <c r="C243" i="15"/>
  <c r="C252" i="15" s="1"/>
  <c r="D242" i="15"/>
  <c r="E242" i="15"/>
  <c r="D261" i="15"/>
  <c r="C22" i="16"/>
  <c r="D65" i="15"/>
  <c r="E36" i="17"/>
  <c r="F36" i="17" s="1"/>
  <c r="E23" i="19"/>
  <c r="E111" i="19" s="1"/>
  <c r="D101" i="19"/>
  <c r="D103" i="19"/>
  <c r="E54" i="19"/>
  <c r="E30" i="19"/>
  <c r="E46" i="19"/>
  <c r="D294" i="15"/>
  <c r="E294" i="15"/>
  <c r="D66" i="15"/>
  <c r="D246" i="15"/>
  <c r="E246" i="15" s="1"/>
  <c r="E65" i="15"/>
  <c r="E261" i="15"/>
  <c r="C284" i="15"/>
  <c r="E284" i="15" s="1"/>
  <c r="E264" i="14"/>
  <c r="F264" i="14"/>
  <c r="C160" i="14"/>
  <c r="F160" i="14" s="1"/>
  <c r="E159" i="14"/>
  <c r="F159" i="14"/>
  <c r="C161" i="14"/>
  <c r="F121" i="7"/>
  <c r="E121" i="7"/>
  <c r="D70" i="10"/>
  <c r="D72" i="10" s="1"/>
  <c r="D69" i="10" s="1"/>
  <c r="D22" i="10"/>
  <c r="F83" i="4"/>
  <c r="E83" i="4"/>
  <c r="E211" i="14"/>
  <c r="F211" i="14" s="1"/>
  <c r="C253" i="15"/>
  <c r="E253" i="15" s="1"/>
  <c r="E240" i="15"/>
  <c r="D168" i="15"/>
  <c r="E168" i="15" s="1"/>
  <c r="E144" i="15"/>
  <c r="E55" i="15"/>
  <c r="C271" i="14"/>
  <c r="C268" i="14"/>
  <c r="F268" i="14" s="1"/>
  <c r="E261" i="14"/>
  <c r="F261" i="14"/>
  <c r="C263" i="14"/>
  <c r="E215" i="14"/>
  <c r="F215" i="14" s="1"/>
  <c r="C216" i="14"/>
  <c r="F216" i="14" s="1"/>
  <c r="E206" i="14"/>
  <c r="F206" i="14" s="1"/>
  <c r="E24" i="10"/>
  <c r="E20" i="10"/>
  <c r="E17" i="10"/>
  <c r="E28" i="10"/>
  <c r="E70" i="10" s="1"/>
  <c r="E72" i="10" s="1"/>
  <c r="E69" i="10" s="1"/>
  <c r="E207" i="6"/>
  <c r="F207" i="6" s="1"/>
  <c r="E291" i="14"/>
  <c r="F291" i="14" s="1"/>
  <c r="D305" i="14"/>
  <c r="E305" i="14" s="1"/>
  <c r="F305" i="14" s="1"/>
  <c r="E43" i="8"/>
  <c r="F43" i="8" s="1"/>
  <c r="E263" i="14"/>
  <c r="F263" i="14"/>
  <c r="E271" i="14"/>
  <c r="F271" i="14"/>
  <c r="C273" i="14"/>
  <c r="E22" i="10"/>
  <c r="E216" i="14"/>
  <c r="C162" i="14"/>
  <c r="E161" i="14"/>
  <c r="F161" i="14" s="1"/>
  <c r="D247" i="15"/>
  <c r="D295" i="15"/>
  <c r="E38" i="19"/>
  <c r="E56" i="19"/>
  <c r="E48" i="19"/>
  <c r="E113" i="19"/>
  <c r="E268" i="14"/>
  <c r="E160" i="14"/>
  <c r="C197" i="14"/>
  <c r="F197" i="14" s="1"/>
  <c r="E162" i="14"/>
  <c r="F162" i="14"/>
  <c r="C323" i="14"/>
  <c r="C183" i="14"/>
  <c r="F183" i="14" s="1"/>
  <c r="E273" i="14"/>
  <c r="F273" i="14"/>
  <c r="E323" i="14"/>
  <c r="F323" i="14" s="1"/>
  <c r="F300" i="14" l="1"/>
  <c r="E300" i="14"/>
  <c r="C310" i="14"/>
  <c r="C325" i="14"/>
  <c r="E324" i="14"/>
  <c r="F324" i="14" s="1"/>
  <c r="F289" i="14"/>
  <c r="F286" i="14"/>
  <c r="E286" i="14"/>
  <c r="D100" i="15"/>
  <c r="E100" i="15" s="1"/>
  <c r="D96" i="15"/>
  <c r="D88" i="15"/>
  <c r="E88" i="15" s="1"/>
  <c r="D84" i="15"/>
  <c r="D258" i="15"/>
  <c r="D86" i="15"/>
  <c r="E86" i="15" s="1"/>
  <c r="D101" i="15"/>
  <c r="E101" i="15" s="1"/>
  <c r="D97" i="15"/>
  <c r="E97" i="15" s="1"/>
  <c r="D89" i="15"/>
  <c r="E89" i="15" s="1"/>
  <c r="D85" i="15"/>
  <c r="E85" i="15" s="1"/>
  <c r="D99" i="15"/>
  <c r="E99" i="15" s="1"/>
  <c r="D95" i="15"/>
  <c r="E44" i="15"/>
  <c r="D98" i="15"/>
  <c r="E98" i="15" s="1"/>
  <c r="D87" i="15"/>
  <c r="E87" i="15" s="1"/>
  <c r="D83" i="15"/>
  <c r="C269" i="15"/>
  <c r="C268" i="15"/>
  <c r="E252" i="15"/>
  <c r="C254" i="15"/>
  <c r="E254" i="15" s="1"/>
  <c r="D181" i="15"/>
  <c r="E181" i="15" s="1"/>
  <c r="D169" i="15"/>
  <c r="E169" i="15" s="1"/>
  <c r="E145" i="15"/>
  <c r="E66" i="15"/>
  <c r="C295" i="15"/>
  <c r="E295" i="15" s="1"/>
  <c r="C247" i="15"/>
  <c r="E247" i="15" s="1"/>
  <c r="E306" i="15"/>
  <c r="C310" i="15"/>
  <c r="E310" i="15" s="1"/>
  <c r="E148" i="14"/>
  <c r="F148" i="14" s="1"/>
  <c r="E65" i="1"/>
  <c r="F65" i="1" s="1"/>
  <c r="D75" i="1"/>
  <c r="D309" i="14"/>
  <c r="E243" i="15"/>
  <c r="D180" i="15"/>
  <c r="E180" i="15" s="1"/>
  <c r="C265" i="14"/>
  <c r="E36" i="19"/>
  <c r="E40" i="19"/>
  <c r="C48" i="2"/>
  <c r="C110" i="19"/>
  <c r="C35" i="19"/>
  <c r="F29" i="1"/>
  <c r="F56" i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124" i="3"/>
  <c r="F124" i="3" s="1"/>
  <c r="C75" i="1"/>
  <c r="C52" i="3"/>
  <c r="C176" i="4"/>
  <c r="F113" i="7"/>
  <c r="F114" i="7"/>
  <c r="F117" i="7"/>
  <c r="F49" i="6"/>
  <c r="F50" i="6"/>
  <c r="F76" i="6"/>
  <c r="F101" i="6"/>
  <c r="F118" i="7"/>
  <c r="E119" i="7"/>
  <c r="F119" i="7" s="1"/>
  <c r="E120" i="7"/>
  <c r="F120" i="7" s="1"/>
  <c r="E155" i="4"/>
  <c r="F155" i="4" s="1"/>
  <c r="E65" i="12"/>
  <c r="F65" i="12" s="1"/>
  <c r="F92" i="12"/>
  <c r="F44" i="17"/>
  <c r="F45" i="17"/>
  <c r="E47" i="14"/>
  <c r="F47" i="14" s="1"/>
  <c r="C68" i="14"/>
  <c r="E179" i="14"/>
  <c r="F179" i="14" s="1"/>
  <c r="E60" i="15"/>
  <c r="D76" i="15"/>
  <c r="E70" i="15"/>
  <c r="E73" i="15"/>
  <c r="E34" i="19"/>
  <c r="C102" i="19"/>
  <c r="C103" i="19" s="1"/>
  <c r="D77" i="15" l="1"/>
  <c r="E76" i="15"/>
  <c r="D259" i="15"/>
  <c r="E52" i="3"/>
  <c r="F52" i="3" s="1"/>
  <c r="E48" i="2"/>
  <c r="F48" i="2" s="1"/>
  <c r="D310" i="14"/>
  <c r="E309" i="14"/>
  <c r="F309" i="14" s="1"/>
  <c r="E75" i="1"/>
  <c r="C271" i="15"/>
  <c r="E83" i="15"/>
  <c r="E95" i="15"/>
  <c r="D90" i="15"/>
  <c r="E90" i="15" s="1"/>
  <c r="E84" i="15"/>
  <c r="E96" i="15"/>
  <c r="D102" i="15"/>
  <c r="E102" i="15" s="1"/>
  <c r="E325" i="14"/>
  <c r="F325" i="14" s="1"/>
  <c r="E68" i="14"/>
  <c r="F68" i="14"/>
  <c r="E176" i="4"/>
  <c r="F176" i="4" s="1"/>
  <c r="F75" i="1"/>
  <c r="F265" i="14"/>
  <c r="E265" i="14"/>
  <c r="E258" i="15"/>
  <c r="C312" i="14"/>
  <c r="E259" i="15" l="1"/>
  <c r="D263" i="15"/>
  <c r="D127" i="15"/>
  <c r="E127" i="15" s="1"/>
  <c r="D112" i="15"/>
  <c r="E112" i="15" s="1"/>
  <c r="D122" i="15"/>
  <c r="D111" i="15"/>
  <c r="E111" i="15" s="1"/>
  <c r="D121" i="15"/>
  <c r="D110" i="15"/>
  <c r="D113" i="15"/>
  <c r="E113" i="15" s="1"/>
  <c r="E77" i="15"/>
  <c r="D123" i="15"/>
  <c r="E123" i="15" s="1"/>
  <c r="D126" i="15"/>
  <c r="E126" i="15" s="1"/>
  <c r="D115" i="15"/>
  <c r="E115" i="15" s="1"/>
  <c r="D125" i="15"/>
  <c r="E125" i="15" s="1"/>
  <c r="D114" i="15"/>
  <c r="E114" i="15" s="1"/>
  <c r="D124" i="15"/>
  <c r="E124" i="15" s="1"/>
  <c r="D109" i="15"/>
  <c r="C313" i="14"/>
  <c r="D103" i="15"/>
  <c r="E103" i="15" s="1"/>
  <c r="D91" i="15"/>
  <c r="E310" i="14"/>
  <c r="F310" i="14" s="1"/>
  <c r="D312" i="14"/>
  <c r="D313" i="14" l="1"/>
  <c r="E312" i="14"/>
  <c r="F312" i="14" s="1"/>
  <c r="C314" i="14"/>
  <c r="C315" i="14"/>
  <c r="C256" i="14"/>
  <c r="C251" i="14"/>
  <c r="D116" i="15"/>
  <c r="E116" i="15" s="1"/>
  <c r="E110" i="15"/>
  <c r="E263" i="15"/>
  <c r="D264" i="15"/>
  <c r="D105" i="15"/>
  <c r="E105" i="15" s="1"/>
  <c r="E91" i="15"/>
  <c r="E109" i="15"/>
  <c r="D117" i="15"/>
  <c r="E121" i="15"/>
  <c r="D128" i="15"/>
  <c r="E128" i="15" s="1"/>
  <c r="E122" i="15"/>
  <c r="C257" i="14" l="1"/>
  <c r="D129" i="15"/>
  <c r="E129" i="15" s="1"/>
  <c r="D131" i="15"/>
  <c r="E131" i="15" s="1"/>
  <c r="E117" i="15"/>
  <c r="E264" i="15"/>
  <c r="D266" i="15"/>
  <c r="C318" i="14"/>
  <c r="D315" i="14"/>
  <c r="E315" i="14" s="1"/>
  <c r="F315" i="14" s="1"/>
  <c r="D314" i="14"/>
  <c r="E313" i="14"/>
  <c r="F313" i="14" s="1"/>
  <c r="D251" i="14"/>
  <c r="E251" i="14" s="1"/>
  <c r="F251" i="14" s="1"/>
  <c r="D256" i="14"/>
  <c r="E256" i="14" l="1"/>
  <c r="F256" i="14" s="1"/>
  <c r="D257" i="14"/>
  <c r="E257" i="14" s="1"/>
  <c r="E266" i="15"/>
  <c r="D267" i="15"/>
  <c r="D318" i="14"/>
  <c r="E318" i="14" s="1"/>
  <c r="E314" i="14"/>
  <c r="F314" i="14" s="1"/>
  <c r="F318" i="14"/>
  <c r="F257" i="14"/>
  <c r="E267" i="15" l="1"/>
  <c r="D268" i="15"/>
  <c r="D269" i="15"/>
  <c r="E269" i="15" s="1"/>
  <c r="D271" i="15" l="1"/>
  <c r="E271" i="15" s="1"/>
  <c r="E268" i="15"/>
</calcChain>
</file>

<file path=xl/sharedStrings.xml><?xml version="1.0" encoding="utf-8"?>
<sst xmlns="http://schemas.openxmlformats.org/spreadsheetml/2006/main" count="2300" uniqueCount="978">
  <si>
    <t>BRISTOL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</si>
  <si>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</si>
  <si>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</si>
  <si>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</si>
  <si>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</si>
  <si>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</si>
  <si>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</si>
  <si>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</si>
  <si>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</si>
  <si>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</si>
  <si>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</si>
  <si>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</si>
  <si>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</si>
  <si>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</si>
  <si>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</si>
  <si>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</si>
  <si>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</si>
  <si>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</si>
  <si>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</si>
  <si>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</si>
  <si>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</si>
  <si>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</si>
  <si>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</si>
  <si>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</si>
  <si>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</si>
  <si>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</si>
  <si>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</si>
  <si>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</si>
  <si>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</si>
  <si>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</si>
  <si>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</si>
  <si>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</si>
  <si>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</si>
  <si>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</si>
  <si>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</si>
  <si>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</si>
  <si>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</si>
  <si>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</si>
  <si>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</si>
  <si>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</si>
  <si>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</si>
  <si>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</si>
  <si>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</si>
  <si>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</si>
  <si>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</si>
  <si>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</si>
  <si>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</si>
  <si>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</si>
  <si>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</si>
  <si>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</si>
  <si>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</si>
  <si>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</si>
  <si>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</si>
  <si>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</si>
  <si>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</si>
  <si>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</si>
  <si>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</si>
  <si>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</si>
  <si>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</si>
  <si>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</si>
  <si>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</si>
  <si>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</si>
  <si>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</si>
  <si>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</si>
  <si>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</si>
  <si>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</si>
  <si>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</si>
  <si>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</si>
  <si>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</si>
  <si>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</si>
  <si>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</si>
  <si>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</si>
  <si>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</si>
  <si>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</si>
  <si>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</si>
  <si>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</si>
  <si>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</si>
  <si>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</si>
  <si>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</si>
  <si>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</si>
  <si>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</si>
  <si>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</si>
  <si>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</si>
  <si>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</si>
  <si>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</si>
  <si>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</si>
  <si>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</si>
  <si>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</si>
  <si>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</si>
  <si>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</si>
  <si>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</si>
  <si>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</si>
  <si>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</si>
  <si>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</si>
  <si>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</si>
  <si>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</si>
  <si>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</si>
  <si>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</si>
  <si>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</si>
  <si>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</si>
  <si>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</si>
  <si>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</si>
  <si>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</si>
  <si>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</si>
  <si>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</si>
  <si>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</si>
  <si>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</si>
  <si>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</si>
  <si>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</si>
  <si>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</si>
  <si>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</si>
  <si>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</si>
  <si>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</si>
  <si>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</si>
  <si>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</si>
  <si>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</si>
  <si>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</si>
  <si>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</si>
  <si>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</si>
  <si>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</si>
  <si>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</si>
  <si>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</si>
  <si>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</si>
  <si>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</si>
  <si>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</si>
  <si>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</si>
  <si>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</si>
  <si>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</si>
  <si>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</si>
  <si>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</si>
  <si>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</si>
  <si>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</si>
  <si>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</si>
  <si>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</si>
  <si>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</si>
  <si>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</si>
  <si>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</si>
  <si>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</si>
  <si>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</si>
  <si>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</si>
  <si>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</si>
  <si>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</si>
  <si>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</si>
  <si>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</si>
  <si>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</si>
  <si>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</si>
  <si>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</si>
  <si>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</si>
  <si>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</si>
  <si>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</si>
  <si>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</si>
  <si>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</si>
  <si>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</si>
  <si>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</si>
  <si>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</si>
  <si>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</si>
  <si>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</si>
  <si>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</si>
  <si>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</si>
  <si>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</si>
  <si>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</si>
  <si>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</si>
  <si>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</si>
  <si>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</si>
  <si>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</si>
  <si>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</si>
  <si>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</si>
  <si>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</si>
  <si>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</si>
  <si>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</si>
  <si>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</si>
  <si>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</si>
  <si>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</si>
  <si>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</si>
  <si>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</si>
  <si>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</si>
  <si>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</si>
  <si>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</si>
  <si>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</si>
  <si>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</si>
  <si>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</si>
  <si>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</si>
  <si>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</si>
  <si>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</si>
  <si>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</si>
  <si>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</si>
  <si>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</si>
  <si>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</si>
  <si>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</si>
  <si>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</si>
  <si>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</si>
  <si>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</si>
  <si>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</si>
  <si>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</si>
  <si>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</si>
  <si>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</si>
  <si>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</si>
  <si>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</si>
  <si>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</si>
  <si>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</si>
  <si>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</si>
  <si>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</si>
  <si>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</si>
  <si>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</si>
  <si>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</si>
  <si>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</si>
  <si>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</si>
  <si>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</si>
  <si>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</si>
  <si>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</si>
  <si>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</si>
  <si>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</si>
  <si>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</si>
  <si>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</si>
  <si>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</si>
  <si>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</si>
  <si>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</si>
  <si>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</si>
  <si>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</si>
  <si>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</si>
  <si>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</si>
  <si>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</si>
  <si>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</si>
  <si>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</si>
  <si>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</si>
  <si>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</si>
  <si>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</si>
  <si>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</si>
  <si>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</si>
  <si>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</si>
  <si>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</si>
  <si>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</si>
  <si>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</si>
  <si>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</si>
  <si>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</si>
  <si>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</si>
  <si>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</si>
  <si>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</si>
  <si>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</si>
  <si>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</si>
  <si>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</si>
  <si>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</si>
  <si>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</si>
  <si>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</si>
  <si>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</si>
  <si>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</si>
  <si>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</si>
  <si>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</si>
  <si>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</si>
  <si>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</si>
  <si>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</si>
  <si>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</si>
  <si>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</si>
  <si>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</si>
  <si>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</si>
  <si>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</si>
  <si>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</si>
  <si>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</si>
  <si>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</si>
  <si>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</si>
  <si>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</si>
  <si>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</si>
  <si>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</si>
  <si>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</si>
  <si>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</si>
  <si>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</si>
  <si>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</si>
  <si>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</si>
  <si>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</si>
  <si>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</si>
  <si>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</si>
  <si>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</si>
  <si>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</si>
  <si>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</si>
  <si>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</si>
  <si>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</si>
  <si>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</si>
  <si>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</si>
  <si>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</si>
  <si>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</si>
  <si>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</si>
  <si>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</si>
  <si>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</si>
  <si>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</si>
  <si>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</si>
  <si>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</si>
  <si>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</si>
  <si>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</si>
  <si>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</si>
  <si>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</si>
  <si>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</si>
  <si>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</si>
  <si>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</si>
  <si>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</si>
  <si>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</si>
  <si>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</si>
  <si>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</si>
  <si>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</si>
  <si>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</si>
  <si>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</si>
  <si>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</si>
  <si>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</si>
  <si>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</si>
  <si>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</si>
  <si>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</si>
  <si>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</si>
  <si>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</si>
  <si>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</si>
  <si>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</si>
  <si>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</si>
  <si>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</si>
  <si>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</si>
  <si>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</si>
  <si>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</si>
  <si>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</si>
  <si>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</si>
  <si>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</si>
  <si>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</si>
  <si>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</si>
  <si>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</si>
  <si>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</si>
  <si>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</si>
  <si>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</si>
  <si>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</si>
  <si>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</si>
  <si>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</si>
  <si>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</si>
  <si>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</si>
  <si>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</si>
  <si>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</si>
  <si>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</si>
  <si>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</si>
  <si>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</si>
  <si>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</si>
  <si>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</si>
  <si>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</si>
  <si>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</si>
  <si>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</si>
  <si>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</si>
  <si>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</si>
  <si>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</si>
  <si>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</si>
  <si>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</si>
  <si>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</si>
  <si>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</si>
  <si>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</si>
  <si>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</si>
  <si>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</si>
  <si>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</si>
  <si>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</si>
  <si>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</si>
  <si>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</si>
  <si>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</si>
  <si>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</si>
  <si>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</si>
  <si>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</si>
  <si>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</si>
  <si>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</si>
  <si>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</si>
  <si>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</si>
  <si>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</si>
  <si>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</si>
  <si>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</si>
  <si>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</si>
  <si>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</si>
  <si>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</si>
  <si>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</si>
  <si>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</si>
  <si>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</si>
  <si>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</si>
  <si>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</si>
  <si>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</si>
  <si>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</si>
  <si>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</si>
  <si>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</si>
  <si>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</si>
  <si>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</si>
  <si>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</si>
  <si>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</si>
  <si>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</si>
  <si>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</si>
  <si>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</si>
  <si>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</si>
  <si>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</si>
  <si>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</si>
  <si>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</si>
  <si>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</si>
  <si>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</si>
  <si>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</si>
  <si>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</si>
  <si>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</si>
  <si>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</si>
  <si>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</si>
  <si>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</si>
  <si>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</si>
  <si>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</si>
  <si>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</si>
  <si>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</si>
  <si>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</si>
  <si>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</si>
  <si>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</si>
  <si>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</si>
  <si>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</si>
  <si>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</si>
  <si>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</si>
  <si>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</si>
  <si>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</si>
  <si>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</si>
  <si>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</si>
  <si>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</si>
  <si>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</si>
  <si>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</si>
  <si>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</si>
  <si>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</si>
  <si>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</si>
  <si>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</si>
  <si>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</si>
  <si>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</si>
  <si>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</si>
  <si>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</si>
  <si>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</si>
  <si>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</si>
  <si>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</si>
  <si>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</si>
  <si>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</si>
  <si>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</si>
  <si>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</si>
  <si>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</si>
  <si>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</si>
  <si>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</si>
  <si>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</si>
  <si>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</si>
  <si>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</si>
  <si>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</si>
  <si>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</si>
  <si>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</si>
  <si>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</si>
  <si>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</si>
  <si>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</si>
  <si>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</si>
  <si>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</si>
  <si>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</si>
  <si>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</si>
  <si>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</si>
  <si>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</si>
  <si>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</si>
  <si>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</si>
  <si>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</si>
  <si>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</si>
  <si>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</si>
  <si>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</si>
  <si>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</si>
  <si>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</si>
  <si>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</si>
  <si>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</si>
  <si>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</si>
  <si>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</si>
  <si>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</si>
  <si>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</si>
  <si>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</si>
  <si>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</si>
  <si>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</si>
  <si>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</si>
  <si>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</si>
  <si>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</si>
  <si>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</si>
  <si>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</si>
  <si>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</si>
  <si>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</si>
  <si>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</si>
  <si>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</si>
  <si>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</si>
  <si>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</si>
  <si>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</si>
  <si>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</si>
  <si>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</si>
  <si>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</si>
  <si>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BRISTOL HOSPITAL &amp; HEALTH CARE GROUP,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</si>
  <si>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</si>
  <si>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</si>
  <si>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</si>
  <si>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</si>
  <si>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</si>
  <si>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</si>
  <si>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</si>
  <si>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</si>
  <si>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</si>
  <si>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</si>
  <si>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</si>
  <si>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</si>
  <si>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</si>
  <si>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</si>
  <si>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</si>
  <si>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</si>
  <si>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</si>
  <si>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</si>
  <si>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</si>
  <si>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</si>
  <si>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</si>
  <si>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</si>
  <si>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</si>
  <si>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</si>
  <si>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</si>
  <si>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</si>
  <si>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</si>
  <si>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</si>
  <si>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</si>
  <si>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</si>
  <si>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</si>
  <si>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</si>
  <si>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</si>
  <si>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</si>
  <si>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</si>
  <si>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</si>
  <si>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</si>
  <si>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</si>
  <si>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</si>
  <si>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</si>
  <si>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</si>
  <si>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</si>
  <si>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</si>
  <si>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</si>
  <si>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</si>
  <si>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</si>
  <si>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</si>
  <si>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</si>
  <si>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</si>
  <si>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</si>
  <si>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</si>
  <si>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</si>
  <si>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</si>
  <si>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</si>
  <si>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</si>
  <si>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</si>
  <si>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</si>
  <si>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</si>
  <si>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</si>
  <si>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</si>
  <si>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</si>
  <si>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</si>
  <si>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</si>
  <si>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</si>
  <si>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</si>
  <si>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</si>
  <si>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</si>
  <si>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</si>
  <si>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</si>
  <si>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</si>
  <si>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</si>
  <si>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</si>
  <si>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</si>
  <si>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</si>
  <si>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</si>
  <si>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</si>
  <si>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</si>
  <si>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</si>
  <si>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</si>
  <si>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</si>
  <si>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</si>
  <si>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</si>
  <si>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</si>
  <si>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</si>
  <si>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</si>
  <si>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</si>
  <si>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</si>
  <si>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</si>
  <si>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</si>
  <si>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</si>
  <si>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</si>
  <si>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</si>
  <si>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</si>
  <si>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</si>
  <si>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</si>
  <si>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</si>
  <si>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</si>
  <si>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</si>
  <si>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</si>
  <si>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</si>
  <si>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</si>
  <si>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</si>
  <si>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</si>
  <si>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</si>
  <si>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</si>
  <si>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</si>
  <si>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</si>
  <si>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</si>
  <si>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</si>
  <si>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</si>
  <si>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</si>
  <si>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</si>
  <si>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</si>
  <si>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</si>
  <si>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</si>
  <si>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</si>
  <si>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</si>
  <si>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</si>
  <si>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</si>
  <si>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</si>
  <si>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</si>
  <si>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</si>
  <si>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</si>
  <si>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</si>
  <si>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</si>
  <si>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</si>
  <si>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</si>
  <si>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</si>
  <si>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</si>
  <si>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</si>
  <si>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</si>
  <si>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</si>
  <si>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</si>
  <si>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</si>
  <si>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</si>
  <si>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</si>
  <si>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</si>
  <si>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</si>
  <si>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</si>
  <si>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</si>
  <si>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</si>
  <si>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</si>
  <si>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</si>
  <si>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</si>
  <si>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</si>
  <si>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</si>
  <si>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</si>
  <si>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</si>
  <si>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</si>
  <si>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</si>
  <si>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</si>
  <si>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</si>
  <si>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</si>
  <si>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</si>
  <si>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</si>
  <si>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</si>
  <si>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</si>
  <si>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</si>
  <si>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</si>
  <si>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</si>
  <si>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</si>
  <si>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</si>
  <si>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</si>
  <si>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</si>
  <si>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</si>
  <si>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</si>
  <si>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</si>
  <si>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</si>
  <si>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</si>
  <si>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</si>
  <si>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</si>
  <si>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</si>
  <si>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</si>
  <si>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</si>
  <si>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</si>
  <si>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</si>
  <si>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</si>
  <si>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</si>
  <si>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</si>
  <si>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</si>
  <si>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</si>
  <si>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</si>
  <si>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</si>
  <si>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</si>
  <si>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</si>
  <si>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</si>
  <si>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</si>
  <si>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</si>
  <si>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</si>
  <si>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</si>
  <si>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</si>
  <si>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</si>
  <si>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</si>
  <si>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</si>
  <si>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</si>
  <si>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</si>
  <si>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</si>
  <si>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</si>
  <si>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</si>
  <si>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</si>
  <si>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</si>
  <si>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</si>
  <si>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</si>
  <si>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</si>
  <si>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</si>
  <si>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</si>
  <si>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</si>
  <si>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</si>
  <si>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</si>
  <si>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</si>
  <si>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</si>
  <si>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</si>
  <si>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</si>
  <si>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</si>
  <si>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</si>
  <si>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</si>
  <si>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</si>
  <si>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</si>
  <si>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</si>
  <si>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</si>
  <si>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</si>
  <si>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</si>
  <si>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</si>
  <si>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</si>
  <si>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</si>
  <si>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</si>
  <si>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</si>
  <si>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</si>
  <si>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</si>
  <si>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</si>
  <si>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</si>
  <si>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</si>
  <si>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</si>
  <si>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</si>
  <si>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</si>
  <si>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</si>
  <si>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</si>
  <si>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</si>
  <si>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</si>
  <si>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</si>
  <si>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</si>
  <si>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</si>
  <si>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</si>
  <si>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</si>
  <si>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</si>
  <si>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</si>
  <si>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</si>
  <si>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</si>
  <si>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</si>
  <si>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</si>
  <si>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</si>
  <si>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</si>
  <si>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</si>
  <si>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</si>
  <si>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</si>
  <si>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</si>
  <si>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</si>
  <si>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</si>
  <si>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</si>
  <si>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</si>
  <si>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</si>
  <si>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</si>
  <si>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</si>
  <si>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</si>
  <si>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</si>
  <si>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</si>
  <si>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</si>
  <si>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</si>
  <si>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</si>
  <si>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</si>
  <si>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</si>
  <si>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</si>
  <si>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</si>
  <si>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</si>
  <si>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</si>
  <si>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</si>
  <si>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</si>
  <si>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</si>
  <si>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</si>
  <si>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</si>
  <si>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</si>
  <si>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</si>
  <si>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</si>
  <si>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</si>
  <si>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</si>
  <si>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</si>
  <si>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</si>
  <si>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</si>
  <si>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</si>
  <si>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</si>
  <si>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</si>
  <si>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</si>
  <si>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</si>
  <si>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</si>
  <si>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</si>
  <si>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</si>
  <si>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</si>
  <si>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</si>
  <si>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</si>
  <si>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</si>
  <si>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</si>
  <si>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</si>
  <si>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</si>
  <si>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</si>
  <si>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</si>
  <si>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</si>
  <si>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</si>
  <si>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</si>
  <si>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</si>
  <si>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</si>
  <si>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</si>
  <si>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</si>
  <si>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</si>
  <si>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</si>
  <si>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</si>
  <si>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</si>
  <si>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</si>
  <si>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</si>
  <si>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</si>
  <si>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</si>
  <si>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</si>
  <si>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</si>
  <si>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</si>
  <si>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</si>
  <si>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</si>
  <si>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</si>
  <si>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</si>
  <si>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</si>
  <si>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</si>
  <si>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</si>
  <si>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</si>
  <si>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</si>
  <si>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</si>
  <si>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</si>
  <si>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</si>
  <si>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</si>
  <si>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</si>
  <si>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</si>
  <si>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</si>
  <si>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</si>
  <si>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</si>
  <si>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</si>
  <si>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</si>
  <si>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</si>
  <si>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</si>
  <si>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</si>
  <si>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</si>
  <si>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</si>
  <si>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</si>
  <si>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</si>
  <si>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</si>
  <si>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</si>
  <si>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</si>
  <si>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</si>
  <si>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</si>
  <si>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</si>
  <si>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</si>
  <si>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</si>
  <si>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</si>
  <si>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</si>
  <si>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</si>
  <si>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</si>
  <si>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</si>
  <si>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</si>
  <si>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</si>
  <si>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</si>
  <si>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</si>
  <si>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</si>
  <si>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</si>
  <si>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</si>
  <si>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</si>
  <si>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</si>
  <si>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</si>
  <si>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</si>
  <si>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</si>
  <si>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</si>
  <si>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</si>
  <si>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</si>
  <si>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</si>
  <si>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</si>
  <si>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</si>
  <si>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</si>
  <si>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</si>
  <si>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</si>
  <si>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</si>
  <si>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</si>
  <si>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</si>
  <si>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</si>
  <si>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</si>
  <si>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</si>
  <si>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</si>
  <si>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</si>
  <si>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</si>
  <si>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</si>
  <si>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</si>
  <si>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</si>
  <si>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</si>
  <si>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</si>
  <si>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</si>
  <si>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</si>
  <si>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</si>
  <si>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</si>
  <si>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</si>
  <si>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</si>
  <si>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</si>
  <si>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</si>
  <si>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</si>
  <si>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</si>
  <si>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</si>
  <si>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</si>
  <si>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</si>
  <si>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</si>
  <si>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</si>
  <si>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</si>
  <si>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</si>
  <si>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</si>
  <si>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</si>
  <si>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</si>
  <si>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</si>
  <si>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</si>
  <si>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</si>
  <si>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</si>
  <si>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</si>
  <si>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</si>
  <si>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</si>
  <si>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</si>
  <si>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</si>
  <si>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</si>
  <si>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</si>
  <si>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</si>
  <si>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</si>
  <si>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</si>
  <si>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</si>
  <si>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</si>
  <si>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</si>
  <si>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</si>
  <si>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</si>
  <si>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</si>
  <si>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</si>
  <si>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</si>
  <si>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</si>
  <si>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</si>
  <si>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</si>
  <si>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</si>
  <si>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</si>
  <si>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</si>
  <si>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</si>
  <si>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</si>
  <si>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</si>
  <si>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</si>
  <si>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</si>
  <si>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</si>
  <si>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</si>
  <si>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</si>
  <si>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</si>
  <si>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</si>
  <si>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</si>
  <si>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</si>
  <si>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</si>
  <si>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</si>
  <si>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</si>
  <si>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</si>
  <si>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</si>
  <si>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</si>
  <si>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</si>
  <si>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</si>
  <si>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</si>
  <si>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</si>
  <si>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</si>
  <si>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</si>
  <si>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</si>
  <si>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</si>
  <si>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</si>
  <si>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</si>
  <si>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</si>
  <si>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</si>
  <si>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</si>
  <si>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</si>
  <si>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</si>
  <si>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</si>
  <si>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</si>
  <si>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</si>
  <si>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</si>
  <si>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</si>
  <si>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</si>
  <si>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</si>
  <si>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</si>
  <si>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</si>
  <si>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</si>
  <si>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</si>
  <si>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</si>
  <si>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</si>
  <si>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</si>
  <si>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</si>
  <si>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</si>
  <si>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</si>
  <si>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</si>
  <si>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</si>
  <si>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*A.- 0. The total operating expenses amount above must agree with the total operating expenses amount on Report 150.     </t>
  </si>
  <si>
    <t xml:space="preserve">*A.- K. The total operating expenses amount above must agree with the total operating expenses amount on Report 150.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</si>
</sst>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8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6746197</v>
      </c>
      <c r="D13" s="23">
        <v>8286702</v>
      </c>
      <c r="E13" s="23">
        <f t="shared" ref="E13:E22" si="0">D13-C13</f>
        <v>1540505</v>
      </c>
      <c r="F13" s="24">
        <f t="shared" ref="F13:F22" si="1">IF(C13=0,0,E13/C13)</f>
        <v>0.22835161795601286</v>
      </c>
    </row>
    <row r="14" spans="1:8" ht="24" customHeight="1" x14ac:dyDescent="0.2">
      <c r="A14" s="21">
        <v>2</v>
      </c>
      <c r="B14" s="22" t="s">
        <v>17</v>
      </c>
      <c r="C14" s="23">
        <v>96062</v>
      </c>
      <c r="D14" s="23">
        <v>96165</v>
      </c>
      <c r="E14" s="23">
        <f t="shared" si="0"/>
        <v>103</v>
      </c>
      <c r="F14" s="24">
        <f t="shared" si="1"/>
        <v>1.0722241885448981E-3</v>
      </c>
    </row>
    <row r="15" spans="1:8" ht="31.5" customHeight="1" x14ac:dyDescent="0.2">
      <c r="A15" s="21">
        <v>3</v>
      </c>
      <c r="B15" s="22" t="s">
        <v>18</v>
      </c>
      <c r="C15" s="23">
        <v>16448223</v>
      </c>
      <c r="D15" s="23">
        <v>15483112</v>
      </c>
      <c r="E15" s="23">
        <f t="shared" si="0"/>
        <v>-965111</v>
      </c>
      <c r="F15" s="24">
        <f t="shared" si="1"/>
        <v>-5.8675700104503688E-2</v>
      </c>
    </row>
    <row r="16" spans="1:8" ht="24" customHeight="1" x14ac:dyDescent="0.2">
      <c r="A16" s="21">
        <v>4</v>
      </c>
      <c r="B16" s="22" t="s">
        <v>19</v>
      </c>
      <c r="C16" s="23">
        <v>690043</v>
      </c>
      <c r="D16" s="23">
        <v>452373</v>
      </c>
      <c r="E16" s="23">
        <f t="shared" si="0"/>
        <v>-237670</v>
      </c>
      <c r="F16" s="24">
        <f t="shared" si="1"/>
        <v>-0.34442781102047265</v>
      </c>
    </row>
    <row r="17" spans="1:11" ht="24" customHeight="1" x14ac:dyDescent="0.2">
      <c r="A17" s="21">
        <v>5</v>
      </c>
      <c r="B17" s="22" t="s">
        <v>20</v>
      </c>
      <c r="C17" s="23">
        <v>1258994</v>
      </c>
      <c r="D17" s="23">
        <v>1809846</v>
      </c>
      <c r="E17" s="23">
        <f t="shared" si="0"/>
        <v>550852</v>
      </c>
      <c r="F17" s="24">
        <f t="shared" si="1"/>
        <v>0.4375334592539758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1641730</v>
      </c>
      <c r="D19" s="23">
        <v>1439654</v>
      </c>
      <c r="E19" s="23">
        <f t="shared" si="0"/>
        <v>-202076</v>
      </c>
      <c r="F19" s="24">
        <f t="shared" si="1"/>
        <v>-0.12308723115250376</v>
      </c>
    </row>
    <row r="20" spans="1:11" ht="24" customHeight="1" x14ac:dyDescent="0.2">
      <c r="A20" s="21">
        <v>8</v>
      </c>
      <c r="B20" s="22" t="s">
        <v>23</v>
      </c>
      <c r="C20" s="23">
        <v>1348803</v>
      </c>
      <c r="D20" s="23">
        <v>991052</v>
      </c>
      <c r="E20" s="23">
        <f t="shared" si="0"/>
        <v>-357751</v>
      </c>
      <c r="F20" s="24">
        <f t="shared" si="1"/>
        <v>-0.26523591658678103</v>
      </c>
    </row>
    <row r="21" spans="1:11" ht="24" customHeight="1" x14ac:dyDescent="0.2">
      <c r="A21" s="21">
        <v>9</v>
      </c>
      <c r="B21" s="22" t="s">
        <v>24</v>
      </c>
      <c r="C21" s="23">
        <v>809889</v>
      </c>
      <c r="D21" s="23">
        <v>827194</v>
      </c>
      <c r="E21" s="23">
        <f t="shared" si="0"/>
        <v>17305</v>
      </c>
      <c r="F21" s="24">
        <f t="shared" si="1"/>
        <v>2.1367125618448949E-2</v>
      </c>
    </row>
    <row r="22" spans="1:11" ht="24" customHeight="1" x14ac:dyDescent="0.25">
      <c r="A22" s="25"/>
      <c r="B22" s="26" t="s">
        <v>25</v>
      </c>
      <c r="C22" s="27">
        <f>SUM(C13:C21)</f>
        <v>29039941</v>
      </c>
      <c r="D22" s="27">
        <f>SUM(D13:D21)</f>
        <v>29386098</v>
      </c>
      <c r="E22" s="27">
        <f t="shared" si="0"/>
        <v>346157</v>
      </c>
      <c r="F22" s="28">
        <f t="shared" si="1"/>
        <v>1.192003110474639E-2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5202451</v>
      </c>
      <c r="D26" s="23">
        <v>5780627</v>
      </c>
      <c r="E26" s="23">
        <f>D26-C26</f>
        <v>578176</v>
      </c>
      <c r="F26" s="24">
        <f>IF(C26=0,0,E26/C26)</f>
        <v>0.11113530910718813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12609680</v>
      </c>
      <c r="D28" s="23">
        <v>12202274</v>
      </c>
      <c r="E28" s="23">
        <f>D28-C28</f>
        <v>-407406</v>
      </c>
      <c r="F28" s="24">
        <f>IF(C28=0,0,E28/C28)</f>
        <v>-3.2308988015556303E-2</v>
      </c>
    </row>
    <row r="29" spans="1:11" ht="24" customHeight="1" x14ac:dyDescent="0.25">
      <c r="A29" s="25"/>
      <c r="B29" s="26" t="s">
        <v>32</v>
      </c>
      <c r="C29" s="27">
        <f>SUM(C25:C28)</f>
        <v>17812131</v>
      </c>
      <c r="D29" s="27">
        <f>SUM(D25:D28)</f>
        <v>17982901</v>
      </c>
      <c r="E29" s="27">
        <f>D29-C29</f>
        <v>170770</v>
      </c>
      <c r="F29" s="28">
        <f>IF(C29=0,0,E29/C29)</f>
        <v>9.5872863275034293E-3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4024158</v>
      </c>
      <c r="D31" s="23">
        <v>4201750</v>
      </c>
      <c r="E31" s="23">
        <f>D31-C31</f>
        <v>177592</v>
      </c>
      <c r="F31" s="24">
        <f>IF(C31=0,0,E31/C31)</f>
        <v>4.4131467999019916E-2</v>
      </c>
    </row>
    <row r="32" spans="1:11" ht="24" customHeight="1" x14ac:dyDescent="0.2">
      <c r="A32" s="21">
        <v>6</v>
      </c>
      <c r="B32" s="22" t="s">
        <v>34</v>
      </c>
      <c r="C32" s="23">
        <v>5552518</v>
      </c>
      <c r="D32" s="23">
        <v>6220475</v>
      </c>
      <c r="E32" s="23">
        <f>D32-C32</f>
        <v>667957</v>
      </c>
      <c r="F32" s="24">
        <f>IF(C32=0,0,E32/C32)</f>
        <v>0.12029803415315359</v>
      </c>
    </row>
    <row r="33" spans="1:8" ht="24" customHeight="1" x14ac:dyDescent="0.2">
      <c r="A33" s="21">
        <v>7</v>
      </c>
      <c r="B33" s="22" t="s">
        <v>35</v>
      </c>
      <c r="C33" s="23">
        <v>2839871</v>
      </c>
      <c r="D33" s="23">
        <v>2854095</v>
      </c>
      <c r="E33" s="23">
        <f>D33-C33</f>
        <v>14224</v>
      </c>
      <c r="F33" s="24">
        <f>IF(C33=0,0,E33/C33)</f>
        <v>5.0086782110877574E-3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122729903</v>
      </c>
      <c r="D36" s="23">
        <v>127862964</v>
      </c>
      <c r="E36" s="23">
        <f>D36-C36</f>
        <v>5133061</v>
      </c>
      <c r="F36" s="24">
        <f>IF(C36=0,0,E36/C36)</f>
        <v>4.182404511474274E-2</v>
      </c>
    </row>
    <row r="37" spans="1:8" ht="24" customHeight="1" x14ac:dyDescent="0.2">
      <c r="A37" s="21">
        <v>2</v>
      </c>
      <c r="B37" s="22" t="s">
        <v>39</v>
      </c>
      <c r="C37" s="23">
        <v>88333810</v>
      </c>
      <c r="D37" s="23">
        <v>93518978</v>
      </c>
      <c r="E37" s="23">
        <f>D37-C37</f>
        <v>5185168</v>
      </c>
      <c r="F37" s="24">
        <f>IF(C37=0,0,E37/C37)</f>
        <v>5.8699698337476895E-2</v>
      </c>
    </row>
    <row r="38" spans="1:8" ht="24" customHeight="1" x14ac:dyDescent="0.25">
      <c r="A38" s="25"/>
      <c r="B38" s="26" t="s">
        <v>40</v>
      </c>
      <c r="C38" s="27">
        <f>C36-C37</f>
        <v>34396093</v>
      </c>
      <c r="D38" s="27">
        <f>D36-D37</f>
        <v>34343986</v>
      </c>
      <c r="E38" s="27">
        <f>D38-C38</f>
        <v>-52107</v>
      </c>
      <c r="F38" s="28">
        <f>IF(C38=0,0,E38/C38)</f>
        <v>-1.5149104289257503E-3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764061</v>
      </c>
      <c r="D40" s="23">
        <v>2656483</v>
      </c>
      <c r="E40" s="23">
        <f>D40-C40</f>
        <v>1892422</v>
      </c>
      <c r="F40" s="24">
        <f>IF(C40=0,0,E40/C40)</f>
        <v>2.47679439207079</v>
      </c>
    </row>
    <row r="41" spans="1:8" ht="24" customHeight="1" x14ac:dyDescent="0.25">
      <c r="A41" s="25"/>
      <c r="B41" s="26" t="s">
        <v>42</v>
      </c>
      <c r="C41" s="27">
        <f>+C38+C40</f>
        <v>35160154</v>
      </c>
      <c r="D41" s="27">
        <f>+D38+D40</f>
        <v>37000469</v>
      </c>
      <c r="E41" s="27">
        <f>D41-C41</f>
        <v>1840315</v>
      </c>
      <c r="F41" s="28">
        <f>IF(C41=0,0,E41/C41)</f>
        <v>5.2340925469211541E-2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94428773</v>
      </c>
      <c r="D43" s="27">
        <f>D22+D29+D31+D32+D33+D41</f>
        <v>97645788</v>
      </c>
      <c r="E43" s="27">
        <f>D43-C43</f>
        <v>3217015</v>
      </c>
      <c r="F43" s="28">
        <f>IF(C43=0,0,E43/C43)</f>
        <v>3.406816479549088E-2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7979787</v>
      </c>
      <c r="D49" s="23">
        <v>9420211</v>
      </c>
      <c r="E49" s="23">
        <f t="shared" ref="E49:E56" si="2">D49-C49</f>
        <v>1440424</v>
      </c>
      <c r="F49" s="24">
        <f t="shared" ref="F49:F56" si="3">IF(C49=0,0,E49/C49)</f>
        <v>0.18050907875109951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6561782</v>
      </c>
      <c r="D50" s="23">
        <v>7122528</v>
      </c>
      <c r="E50" s="23">
        <f t="shared" si="2"/>
        <v>560746</v>
      </c>
      <c r="F50" s="24">
        <f t="shared" si="3"/>
        <v>8.5456359263383019E-2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971897</v>
      </c>
      <c r="D51" s="23">
        <v>327508</v>
      </c>
      <c r="E51" s="23">
        <f t="shared" si="2"/>
        <v>-644389</v>
      </c>
      <c r="F51" s="24">
        <f t="shared" si="3"/>
        <v>-0.66302190458453936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908760</v>
      </c>
      <c r="D53" s="23">
        <v>744758</v>
      </c>
      <c r="E53" s="23">
        <f t="shared" si="2"/>
        <v>-164002</v>
      </c>
      <c r="F53" s="24">
        <f t="shared" si="3"/>
        <v>-0.18046789031207358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6738</v>
      </c>
      <c r="D54" s="23">
        <v>7083</v>
      </c>
      <c r="E54" s="23">
        <f t="shared" si="2"/>
        <v>345</v>
      </c>
      <c r="F54" s="24">
        <f t="shared" si="3"/>
        <v>5.120213713268032E-2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6750000</v>
      </c>
      <c r="D55" s="23">
        <v>3771110</v>
      </c>
      <c r="E55" s="23">
        <f t="shared" si="2"/>
        <v>-2978890</v>
      </c>
      <c r="F55" s="24">
        <f t="shared" si="3"/>
        <v>-0.44131703703703706</v>
      </c>
    </row>
    <row r="56" spans="1:6" ht="24" customHeight="1" x14ac:dyDescent="0.25">
      <c r="A56" s="25"/>
      <c r="B56" s="26" t="s">
        <v>54</v>
      </c>
      <c r="C56" s="27">
        <f>SUM(C49:C55)</f>
        <v>23178964</v>
      </c>
      <c r="D56" s="27">
        <f>SUM(D49:D55)</f>
        <v>21393198</v>
      </c>
      <c r="E56" s="27">
        <f t="shared" si="2"/>
        <v>-1785766</v>
      </c>
      <c r="F56" s="28">
        <f t="shared" si="3"/>
        <v>-7.7042528734243693E-2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27049643</v>
      </c>
      <c r="D59" s="23">
        <v>27047461</v>
      </c>
      <c r="E59" s="23">
        <f>D59-C59</f>
        <v>-2182</v>
      </c>
      <c r="F59" s="24">
        <f>IF(C59=0,0,E59/C59)</f>
        <v>-8.0666498999635601E-5</v>
      </c>
    </row>
    <row r="60" spans="1:6" ht="24" customHeight="1" x14ac:dyDescent="0.2">
      <c r="A60" s="21">
        <v>2</v>
      </c>
      <c r="B60" s="22" t="s">
        <v>57</v>
      </c>
      <c r="C60" s="23">
        <v>312490</v>
      </c>
      <c r="D60" s="23">
        <v>305407</v>
      </c>
      <c r="E60" s="23">
        <f>D60-C60</f>
        <v>-7083</v>
      </c>
      <c r="F60" s="24">
        <f>IF(C60=0,0,E60/C60)</f>
        <v>-2.2666325322410318E-2</v>
      </c>
    </row>
    <row r="61" spans="1:6" ht="24" customHeight="1" x14ac:dyDescent="0.25">
      <c r="A61" s="25"/>
      <c r="B61" s="26" t="s">
        <v>58</v>
      </c>
      <c r="C61" s="27">
        <f>SUM(C59:C60)</f>
        <v>27362133</v>
      </c>
      <c r="D61" s="27">
        <f>SUM(D59:D60)</f>
        <v>27352868</v>
      </c>
      <c r="E61" s="27">
        <f>D61-C61</f>
        <v>-9265</v>
      </c>
      <c r="F61" s="28">
        <f>IF(C61=0,0,E61/C61)</f>
        <v>-3.3860664298357147E-4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21959738</v>
      </c>
      <c r="D63" s="23">
        <v>25355098</v>
      </c>
      <c r="E63" s="23">
        <f>D63-C63</f>
        <v>3395360</v>
      </c>
      <c r="F63" s="24">
        <f>IF(C63=0,0,E63/C63)</f>
        <v>0.15461750955316497</v>
      </c>
    </row>
    <row r="64" spans="1:6" ht="24" customHeight="1" x14ac:dyDescent="0.2">
      <c r="A64" s="21">
        <v>4</v>
      </c>
      <c r="B64" s="22" t="s">
        <v>60</v>
      </c>
      <c r="C64" s="23">
        <v>14688678</v>
      </c>
      <c r="D64" s="23">
        <v>15324091</v>
      </c>
      <c r="E64" s="23">
        <f>D64-C64</f>
        <v>635413</v>
      </c>
      <c r="F64" s="24">
        <f>IF(C64=0,0,E64/C64)</f>
        <v>4.325869217093601E-2</v>
      </c>
    </row>
    <row r="65" spans="1:6" ht="24" customHeight="1" x14ac:dyDescent="0.25">
      <c r="A65" s="25"/>
      <c r="B65" s="26" t="s">
        <v>61</v>
      </c>
      <c r="C65" s="27">
        <f>SUM(C61:C64)</f>
        <v>64010549</v>
      </c>
      <c r="D65" s="27">
        <f>SUM(D61:D64)</f>
        <v>68032057</v>
      </c>
      <c r="E65" s="27">
        <f>D65-C65</f>
        <v>4021508</v>
      </c>
      <c r="F65" s="28">
        <f>IF(C65=0,0,E65/C65)</f>
        <v>6.2825707056504074E-2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-255398</v>
      </c>
      <c r="D70" s="23">
        <v>755592</v>
      </c>
      <c r="E70" s="23">
        <f>D70-C70</f>
        <v>1010990</v>
      </c>
      <c r="F70" s="24">
        <f>IF(C70=0,0,E70/C70)</f>
        <v>-3.9584883201904479</v>
      </c>
    </row>
    <row r="71" spans="1:6" ht="24" customHeight="1" x14ac:dyDescent="0.2">
      <c r="A71" s="21">
        <v>2</v>
      </c>
      <c r="B71" s="22" t="s">
        <v>65</v>
      </c>
      <c r="C71" s="23">
        <v>939739</v>
      </c>
      <c r="D71" s="23">
        <v>800850</v>
      </c>
      <c r="E71" s="23">
        <f>D71-C71</f>
        <v>-138889</v>
      </c>
      <c r="F71" s="24">
        <f>IF(C71=0,0,E71/C71)</f>
        <v>-0.14779529209706099</v>
      </c>
    </row>
    <row r="72" spans="1:6" ht="24" customHeight="1" x14ac:dyDescent="0.2">
      <c r="A72" s="21">
        <v>3</v>
      </c>
      <c r="B72" s="22" t="s">
        <v>66</v>
      </c>
      <c r="C72" s="23">
        <v>6554919</v>
      </c>
      <c r="D72" s="23">
        <v>6664091</v>
      </c>
      <c r="E72" s="23">
        <f>D72-C72</f>
        <v>109172</v>
      </c>
      <c r="F72" s="24">
        <f>IF(C72=0,0,E72/C72)</f>
        <v>1.6654973158325832E-2</v>
      </c>
    </row>
    <row r="73" spans="1:6" ht="24" customHeight="1" x14ac:dyDescent="0.25">
      <c r="A73" s="21"/>
      <c r="B73" s="26" t="s">
        <v>67</v>
      </c>
      <c r="C73" s="27">
        <f>SUM(C70:C72)</f>
        <v>7239260</v>
      </c>
      <c r="D73" s="27">
        <f>SUM(D70:D72)</f>
        <v>8220533</v>
      </c>
      <c r="E73" s="27">
        <f>D73-C73</f>
        <v>981273</v>
      </c>
      <c r="F73" s="28">
        <f>IF(C73=0,0,E73/C73)</f>
        <v>0.13554879918665719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94428773</v>
      </c>
      <c r="D75" s="27">
        <f>D56+D65+D67+D73</f>
        <v>97645788</v>
      </c>
      <c r="E75" s="27">
        <f>D75-C75</f>
        <v>3217015</v>
      </c>
      <c r="F75" s="28">
        <f>IF(C75=0,0,E75/C75)</f>
        <v>3.406816479549088E-2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B35" sqref="B35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5" width="18.7109375" style="66" customWidth="1"/>
    <col min="6" max="6" width="18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477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480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143841159</v>
      </c>
      <c r="D11" s="51">
        <v>151167549</v>
      </c>
      <c r="E11" s="51">
        <v>154305654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8012741</v>
      </c>
      <c r="D12" s="49">
        <v>6200797</v>
      </c>
      <c r="E12" s="49">
        <v>7156743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151853900</v>
      </c>
      <c r="D13" s="51">
        <f>+D11+D12</f>
        <v>157368346</v>
      </c>
      <c r="E13" s="51">
        <f>+E11+E12</f>
        <v>161462397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152682842</v>
      </c>
      <c r="D14" s="49">
        <v>157751440</v>
      </c>
      <c r="E14" s="49">
        <v>160538371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-828942</v>
      </c>
      <c r="D15" s="51">
        <f>+D13-D14</f>
        <v>-383094</v>
      </c>
      <c r="E15" s="51">
        <f>+E13-E14</f>
        <v>924026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-800315</v>
      </c>
      <c r="D16" s="49">
        <v>390865</v>
      </c>
      <c r="E16" s="49">
        <v>646372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-1629257</v>
      </c>
      <c r="D17" s="51">
        <f>D15+D16</f>
        <v>7771</v>
      </c>
      <c r="E17" s="51">
        <f>E15+E16</f>
        <v>1570398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-5.4877347002389911E-3</v>
      </c>
      <c r="D20" s="169">
        <f>IF(+D27=0,0,+D24/+D27)</f>
        <v>-2.4283463233091347E-3</v>
      </c>
      <c r="E20" s="169">
        <f>IF(+E27=0,0,+E24/+E27)</f>
        <v>5.7000371152038046E-3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-5.2982191716932766E-3</v>
      </c>
      <c r="D21" s="169">
        <f>IF(+D27=0,0,+D26/+D27)</f>
        <v>2.4776049368046092E-3</v>
      </c>
      <c r="E21" s="169">
        <f>IF(+E27=0,0,+E26/+E27)</f>
        <v>3.9872735077027205E-3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-1.0785953871932269E-2</v>
      </c>
      <c r="D22" s="169">
        <f>IF(+D27=0,0,+D28/+D27)</f>
        <v>4.9258613495474442E-5</v>
      </c>
      <c r="E22" s="169">
        <f>IF(+E27=0,0,+E28/+E27)</f>
        <v>9.687310622906526E-3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-828942</v>
      </c>
      <c r="D24" s="51">
        <f>+D15</f>
        <v>-383094</v>
      </c>
      <c r="E24" s="51">
        <f>+E15</f>
        <v>924026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151853900</v>
      </c>
      <c r="D25" s="51">
        <f>+D13</f>
        <v>157368346</v>
      </c>
      <c r="E25" s="51">
        <f>+E13</f>
        <v>161462397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-800315</v>
      </c>
      <c r="D26" s="51">
        <f>+D16</f>
        <v>390865</v>
      </c>
      <c r="E26" s="51">
        <f>+E16</f>
        <v>646372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151053585</v>
      </c>
      <c r="D27" s="51">
        <f>SUM(D25:D26)</f>
        <v>157759211</v>
      </c>
      <c r="E27" s="51">
        <f>SUM(E25:E26)</f>
        <v>162108769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-1629257</v>
      </c>
      <c r="D28" s="51">
        <f>+D17</f>
        <v>7771</v>
      </c>
      <c r="E28" s="51">
        <f>+E17</f>
        <v>1570398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20022942</v>
      </c>
      <c r="D31" s="51">
        <v>1045617</v>
      </c>
      <c r="E31" s="52">
        <v>2731601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28391605</v>
      </c>
      <c r="D32" s="51">
        <v>8710815</v>
      </c>
      <c r="E32" s="51">
        <v>11328776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-15535559</v>
      </c>
      <c r="D33" s="51">
        <f>+D32-C32</f>
        <v>-19680790</v>
      </c>
      <c r="E33" s="51">
        <f>+E32-D32</f>
        <v>2617961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0.64629999999999999</v>
      </c>
      <c r="D34" s="171">
        <f>IF(C32=0,0,+D33/C32)</f>
        <v>-0.69319046950674323</v>
      </c>
      <c r="E34" s="171">
        <f>IF(D32=0,0,+E33/D32)</f>
        <v>0.30054145335424987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1.283801261730662</v>
      </c>
      <c r="D38" s="269">
        <f>IF(+D40=0,0,+D39/+D40)</f>
        <v>1.4413366176630371</v>
      </c>
      <c r="E38" s="269">
        <f>IF(+E40=0,0,+E39/+E40)</f>
        <v>1.4786110793524716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32933581</v>
      </c>
      <c r="D39" s="270">
        <v>36679300</v>
      </c>
      <c r="E39" s="270">
        <v>36043465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25653177</v>
      </c>
      <c r="D40" s="270">
        <v>25448115</v>
      </c>
      <c r="E40" s="270">
        <v>24376569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19.290697990753792</v>
      </c>
      <c r="D42" s="271">
        <f>IF((D48/365)=0,0,+D45/(D48/365))</f>
        <v>25.914226401779192</v>
      </c>
      <c r="E42" s="271">
        <f>IF((E48/365)=0,0,+E45/(E48/365))</f>
        <v>28.532142442137186</v>
      </c>
    </row>
    <row r="43" spans="1:14" ht="24" customHeight="1" x14ac:dyDescent="0.2">
      <c r="A43" s="17">
        <v>5</v>
      </c>
      <c r="B43" s="188" t="s">
        <v>16</v>
      </c>
      <c r="C43" s="272">
        <v>6161025</v>
      </c>
      <c r="D43" s="272">
        <v>9448477</v>
      </c>
      <c r="E43" s="272">
        <v>11995841</v>
      </c>
    </row>
    <row r="44" spans="1:14" ht="24" customHeight="1" x14ac:dyDescent="0.2">
      <c r="A44" s="17">
        <v>6</v>
      </c>
      <c r="B44" s="273" t="s">
        <v>17</v>
      </c>
      <c r="C44" s="274">
        <v>1572924</v>
      </c>
      <c r="D44" s="274">
        <v>1329434</v>
      </c>
      <c r="E44" s="274">
        <v>96165</v>
      </c>
    </row>
    <row r="45" spans="1:14" ht="24" customHeight="1" x14ac:dyDescent="0.2">
      <c r="A45" s="17">
        <v>7</v>
      </c>
      <c r="B45" s="45" t="s">
        <v>344</v>
      </c>
      <c r="C45" s="270">
        <f>+C43+C44</f>
        <v>7733949</v>
      </c>
      <c r="D45" s="270">
        <f>+D43+D44</f>
        <v>10777911</v>
      </c>
      <c r="E45" s="270">
        <f>+E43+E44</f>
        <v>12092006</v>
      </c>
    </row>
    <row r="46" spans="1:14" ht="24" customHeight="1" x14ac:dyDescent="0.2">
      <c r="A46" s="17">
        <v>8</v>
      </c>
      <c r="B46" s="45" t="s">
        <v>322</v>
      </c>
      <c r="C46" s="270">
        <f>+C14</f>
        <v>152682842</v>
      </c>
      <c r="D46" s="270">
        <f>+D14</f>
        <v>157751440</v>
      </c>
      <c r="E46" s="270">
        <f>+E14</f>
        <v>160538371</v>
      </c>
    </row>
    <row r="47" spans="1:14" ht="24" customHeight="1" x14ac:dyDescent="0.2">
      <c r="A47" s="17">
        <v>9</v>
      </c>
      <c r="B47" s="45" t="s">
        <v>345</v>
      </c>
      <c r="C47" s="270">
        <v>6348511</v>
      </c>
      <c r="D47" s="270">
        <v>5945345</v>
      </c>
      <c r="E47" s="270">
        <v>5850296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146334331</v>
      </c>
      <c r="D48" s="270">
        <f>+D46-D47</f>
        <v>151806095</v>
      </c>
      <c r="E48" s="270">
        <f>+E46-E47</f>
        <v>154688075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50.336981920452963</v>
      </c>
      <c r="D50" s="278">
        <f>IF((D55/365)=0,0,+D54/(D55/365))</f>
        <v>45.819434103545596</v>
      </c>
      <c r="E50" s="278">
        <f>IF((E55/365)=0,0,+E54/(E55/365))</f>
        <v>43.949387914197885</v>
      </c>
    </row>
    <row r="51" spans="1:5" ht="24" customHeight="1" x14ac:dyDescent="0.2">
      <c r="A51" s="17">
        <v>12</v>
      </c>
      <c r="B51" s="188" t="s">
        <v>348</v>
      </c>
      <c r="C51" s="279">
        <v>20231304</v>
      </c>
      <c r="D51" s="279">
        <v>19948367</v>
      </c>
      <c r="E51" s="279">
        <v>18907341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394236</v>
      </c>
      <c r="D53" s="270">
        <v>971897</v>
      </c>
      <c r="E53" s="270">
        <v>327508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19837068</v>
      </c>
      <c r="D54" s="280">
        <f>+D51+D52-D53</f>
        <v>18976470</v>
      </c>
      <c r="E54" s="280">
        <f>+E51+E52-E53</f>
        <v>18579833</v>
      </c>
    </row>
    <row r="55" spans="1:5" ht="24" customHeight="1" x14ac:dyDescent="0.2">
      <c r="A55" s="17">
        <v>16</v>
      </c>
      <c r="B55" s="45" t="s">
        <v>75</v>
      </c>
      <c r="C55" s="270">
        <f>+C11</f>
        <v>143841159</v>
      </c>
      <c r="D55" s="270">
        <f>+D11</f>
        <v>151167549</v>
      </c>
      <c r="E55" s="270">
        <f>+E11</f>
        <v>154305654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63.986417548182871</v>
      </c>
      <c r="D57" s="283">
        <f>IF((D61/365)=0,0,+D58/(D61/365))</f>
        <v>61.18701607468396</v>
      </c>
      <c r="E57" s="283">
        <f>IF((E61/365)=0,0,+E58/(E61/365))</f>
        <v>57.518639914550619</v>
      </c>
    </row>
    <row r="58" spans="1:5" ht="24" customHeight="1" x14ac:dyDescent="0.2">
      <c r="A58" s="17">
        <v>18</v>
      </c>
      <c r="B58" s="45" t="s">
        <v>54</v>
      </c>
      <c r="C58" s="281">
        <f>+C40</f>
        <v>25653177</v>
      </c>
      <c r="D58" s="281">
        <f>+D40</f>
        <v>25448115</v>
      </c>
      <c r="E58" s="281">
        <f>+E40</f>
        <v>24376569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152682842</v>
      </c>
      <c r="D59" s="281">
        <f t="shared" si="0"/>
        <v>157751440</v>
      </c>
      <c r="E59" s="281">
        <f t="shared" si="0"/>
        <v>160538371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6348511</v>
      </c>
      <c r="D60" s="176">
        <f t="shared" si="0"/>
        <v>5945345</v>
      </c>
      <c r="E60" s="176">
        <f t="shared" si="0"/>
        <v>5850296</v>
      </c>
    </row>
    <row r="61" spans="1:5" ht="24" customHeight="1" x14ac:dyDescent="0.2">
      <c r="A61" s="17">
        <v>21</v>
      </c>
      <c r="B61" s="45" t="s">
        <v>351</v>
      </c>
      <c r="C61" s="281">
        <f>+C59-C60</f>
        <v>146334331</v>
      </c>
      <c r="D61" s="281">
        <f>+D59-D60</f>
        <v>151806095</v>
      </c>
      <c r="E61" s="281">
        <f>+E59-E60</f>
        <v>154688075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27.479540369063336</v>
      </c>
      <c r="D65" s="284">
        <f>IF(D67=0,0,(D66/D67)*100)</f>
        <v>8.1997735436326682</v>
      </c>
      <c r="E65" s="284">
        <f>IF(E67=0,0,(E66/E67)*100)</f>
        <v>10.252660450113817</v>
      </c>
    </row>
    <row r="66" spans="1:5" ht="24" customHeight="1" x14ac:dyDescent="0.2">
      <c r="A66" s="17">
        <v>2</v>
      </c>
      <c r="B66" s="45" t="s">
        <v>67</v>
      </c>
      <c r="C66" s="281">
        <f>+C32</f>
        <v>28391605</v>
      </c>
      <c r="D66" s="281">
        <f>+D32</f>
        <v>8710815</v>
      </c>
      <c r="E66" s="281">
        <f>+E32</f>
        <v>11328776</v>
      </c>
    </row>
    <row r="67" spans="1:5" ht="24" customHeight="1" x14ac:dyDescent="0.2">
      <c r="A67" s="17">
        <v>3</v>
      </c>
      <c r="B67" s="45" t="s">
        <v>43</v>
      </c>
      <c r="C67" s="281">
        <v>103319068</v>
      </c>
      <c r="D67" s="281">
        <v>106232385</v>
      </c>
      <c r="E67" s="281">
        <v>110495964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7.8534894325745741</v>
      </c>
      <c r="D69" s="284">
        <f>IF(D75=0,0,(D72/D75)*100)</f>
        <v>10.167888153018525</v>
      </c>
      <c r="E69" s="284">
        <f>IF(E75=0,0,(E72/E75)*100)</f>
        <v>13.015117855515431</v>
      </c>
    </row>
    <row r="70" spans="1:5" ht="24" customHeight="1" x14ac:dyDescent="0.2">
      <c r="A70" s="17">
        <v>5</v>
      </c>
      <c r="B70" s="45" t="s">
        <v>356</v>
      </c>
      <c r="C70" s="281">
        <f>+C28</f>
        <v>-1629257</v>
      </c>
      <c r="D70" s="281">
        <f>+D28</f>
        <v>7771</v>
      </c>
      <c r="E70" s="281">
        <f>+E28</f>
        <v>1570398</v>
      </c>
    </row>
    <row r="71" spans="1:5" ht="24" customHeight="1" x14ac:dyDescent="0.2">
      <c r="A71" s="17">
        <v>6</v>
      </c>
      <c r="B71" s="45" t="s">
        <v>345</v>
      </c>
      <c r="C71" s="176">
        <f>+C47</f>
        <v>6348511</v>
      </c>
      <c r="D71" s="176">
        <f>+D47</f>
        <v>5945345</v>
      </c>
      <c r="E71" s="176">
        <f>+E47</f>
        <v>5850296</v>
      </c>
    </row>
    <row r="72" spans="1:5" ht="24" customHeight="1" x14ac:dyDescent="0.2">
      <c r="A72" s="17">
        <v>7</v>
      </c>
      <c r="B72" s="45" t="s">
        <v>357</v>
      </c>
      <c r="C72" s="281">
        <f>+C70+C71</f>
        <v>4719254</v>
      </c>
      <c r="D72" s="281">
        <f>+D70+D71</f>
        <v>5953116</v>
      </c>
      <c r="E72" s="281">
        <f>+E70+E71</f>
        <v>7420694</v>
      </c>
    </row>
    <row r="73" spans="1:5" ht="24" customHeight="1" x14ac:dyDescent="0.2">
      <c r="A73" s="17">
        <v>8</v>
      </c>
      <c r="B73" s="45" t="s">
        <v>54</v>
      </c>
      <c r="C73" s="270">
        <f>+C40</f>
        <v>25653177</v>
      </c>
      <c r="D73" s="270">
        <f>+D40</f>
        <v>25448115</v>
      </c>
      <c r="E73" s="270">
        <f>+E40</f>
        <v>24376569</v>
      </c>
    </row>
    <row r="74" spans="1:5" ht="24" customHeight="1" x14ac:dyDescent="0.2">
      <c r="A74" s="17">
        <v>9</v>
      </c>
      <c r="B74" s="45" t="s">
        <v>58</v>
      </c>
      <c r="C74" s="281">
        <v>34437997</v>
      </c>
      <c r="D74" s="281">
        <v>33100090</v>
      </c>
      <c r="E74" s="281">
        <v>32639388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60091174</v>
      </c>
      <c r="D75" s="270">
        <f>+D73+D74</f>
        <v>58548205</v>
      </c>
      <c r="E75" s="270">
        <f>+E73+E74</f>
        <v>57015957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54.811738263119992</v>
      </c>
      <c r="D77" s="286">
        <f>IF(D80=0,0,(D78/D80)*100)</f>
        <v>79.166164903629806</v>
      </c>
      <c r="E77" s="286">
        <f>IF(E80=0,0,(E78/E80)*100)</f>
        <v>74.234139046606543</v>
      </c>
    </row>
    <row r="78" spans="1:5" ht="24" customHeight="1" x14ac:dyDescent="0.2">
      <c r="A78" s="17">
        <v>12</v>
      </c>
      <c r="B78" s="45" t="s">
        <v>58</v>
      </c>
      <c r="C78" s="270">
        <f>+C74</f>
        <v>34437997</v>
      </c>
      <c r="D78" s="270">
        <f>+D74</f>
        <v>33100090</v>
      </c>
      <c r="E78" s="270">
        <f>+E74</f>
        <v>32639388</v>
      </c>
    </row>
    <row r="79" spans="1:5" ht="24" customHeight="1" x14ac:dyDescent="0.2">
      <c r="A79" s="17">
        <v>13</v>
      </c>
      <c r="B79" s="45" t="s">
        <v>67</v>
      </c>
      <c r="C79" s="270">
        <f>+C32</f>
        <v>28391605</v>
      </c>
      <c r="D79" s="270">
        <f>+D32</f>
        <v>8710815</v>
      </c>
      <c r="E79" s="270">
        <f>+E32</f>
        <v>11328776</v>
      </c>
    </row>
    <row r="80" spans="1:5" ht="24" customHeight="1" x14ac:dyDescent="0.2">
      <c r="A80" s="17">
        <v>14</v>
      </c>
      <c r="B80" s="45" t="s">
        <v>360</v>
      </c>
      <c r="C80" s="270">
        <f>+C78+C79</f>
        <v>62829602</v>
      </c>
      <c r="D80" s="270">
        <f>+D78+D79</f>
        <v>41810905</v>
      </c>
      <c r="E80" s="270">
        <f>+E78+E79</f>
        <v>43968164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FILING&amp;R&amp;8BRISTOL HOSPITAL &amp;AMP; HEALTH CARE GROUP,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35" sqref="B35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5" width="21" style="55" customWidth="1"/>
    <col min="6" max="6" width="18" style="55" customWidth="1"/>
    <col min="7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493</v>
      </c>
      <c r="G7" s="126" t="s">
        <v>493</v>
      </c>
      <c r="H7" s="125"/>
      <c r="I7" s="289"/>
    </row>
    <row r="8" spans="1:9" ht="15.75" customHeight="1" x14ac:dyDescent="0.25">
      <c r="A8" s="287"/>
      <c r="B8" s="126"/>
      <c r="C8" s="126" t="s">
        <v>494</v>
      </c>
      <c r="D8" s="126" t="s">
        <v>495</v>
      </c>
      <c r="E8" s="126" t="s">
        <v>496</v>
      </c>
      <c r="F8" s="126" t="s">
        <v>497</v>
      </c>
      <c r="G8" s="126" t="s">
        <v>498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499</v>
      </c>
      <c r="D9" s="292" t="s">
        <v>500</v>
      </c>
      <c r="E9" s="292" t="s">
        <v>501</v>
      </c>
      <c r="F9" s="292" t="s">
        <v>500</v>
      </c>
      <c r="G9" s="292" t="s">
        <v>501</v>
      </c>
      <c r="H9" s="125"/>
      <c r="I9" s="56"/>
    </row>
    <row r="10" spans="1:9" ht="15.75" customHeight="1" x14ac:dyDescent="0.25">
      <c r="A10" s="293" t="s">
        <v>502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503</v>
      </c>
      <c r="C11" s="296">
        <v>20317</v>
      </c>
      <c r="D11" s="297">
        <v>78</v>
      </c>
      <c r="E11" s="297">
        <v>86</v>
      </c>
      <c r="F11" s="298">
        <f>IF(D11=0,0,$C11/(D11*365))</f>
        <v>0.71362838075166846</v>
      </c>
      <c r="G11" s="298">
        <f>IF(E11=0,0,$C11/(E11*365))</f>
        <v>0.64724434533290853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504</v>
      </c>
      <c r="C13" s="296">
        <v>2441</v>
      </c>
      <c r="D13" s="297">
        <v>14</v>
      </c>
      <c r="E13" s="297">
        <v>14</v>
      </c>
      <c r="F13" s="298">
        <f>IF(D13=0,0,$C13/(D13*365))</f>
        <v>0.47769080234833661</v>
      </c>
      <c r="G13" s="298">
        <f>IF(E13=0,0,$C13/(E13*365))</f>
        <v>0.47769080234833661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505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506</v>
      </c>
      <c r="C16" s="296">
        <v>4537</v>
      </c>
      <c r="D16" s="297">
        <v>14</v>
      </c>
      <c r="E16" s="297">
        <v>16</v>
      </c>
      <c r="F16" s="298">
        <f t="shared" si="0"/>
        <v>0.88786692759295494</v>
      </c>
      <c r="G16" s="298">
        <f t="shared" si="0"/>
        <v>0.77688356164383565</v>
      </c>
      <c r="H16" s="125"/>
      <c r="I16" s="299"/>
    </row>
    <row r="17" spans="1:9" ht="15.75" customHeight="1" x14ac:dyDescent="0.25">
      <c r="A17" s="293"/>
      <c r="B17" s="135" t="s">
        <v>507</v>
      </c>
      <c r="C17" s="300">
        <f>SUM(C15:C16)</f>
        <v>4537</v>
      </c>
      <c r="D17" s="300">
        <f>SUM(D15:D16)</f>
        <v>14</v>
      </c>
      <c r="E17" s="300">
        <f>SUM(E15:E16)</f>
        <v>16</v>
      </c>
      <c r="F17" s="301">
        <f t="shared" si="0"/>
        <v>0.88786692759295494</v>
      </c>
      <c r="G17" s="301">
        <f t="shared" si="0"/>
        <v>0.77688356164383565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508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509</v>
      </c>
      <c r="C21" s="296">
        <v>1652</v>
      </c>
      <c r="D21" s="297">
        <v>15</v>
      </c>
      <c r="E21" s="297">
        <v>15</v>
      </c>
      <c r="F21" s="298">
        <f>IF(D21=0,0,$C21/(D21*365))</f>
        <v>0.30173515981735161</v>
      </c>
      <c r="G21" s="298">
        <f>IF(E21=0,0,$C21/(E21*365))</f>
        <v>0.30173515981735161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510</v>
      </c>
      <c r="C23" s="296">
        <v>1540</v>
      </c>
      <c r="D23" s="297">
        <v>8</v>
      </c>
      <c r="E23" s="297">
        <v>20</v>
      </c>
      <c r="F23" s="298">
        <f>IF(D23=0,0,$C23/(D23*365))</f>
        <v>0.5273972602739726</v>
      </c>
      <c r="G23" s="298">
        <f>IF(E23=0,0,$C23/(E23*365))</f>
        <v>0.21095890410958903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294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511</v>
      </c>
      <c r="C27" s="296">
        <v>186</v>
      </c>
      <c r="D27" s="297">
        <v>3</v>
      </c>
      <c r="E27" s="297">
        <v>3</v>
      </c>
      <c r="F27" s="298">
        <f>IF(D27=0,0,$C27/(D27*365))</f>
        <v>0.16986301369863013</v>
      </c>
      <c r="G27" s="298">
        <f>IF(E27=0,0,$C27/(E27*365))</f>
        <v>0.16986301369863013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512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513</v>
      </c>
      <c r="C31" s="300">
        <f>SUM(C10:C29)-C17-C23</f>
        <v>29133</v>
      </c>
      <c r="D31" s="300">
        <f>SUM(D10:D29)-D17-D23</f>
        <v>124</v>
      </c>
      <c r="E31" s="300">
        <f>SUM(E10:E29)-E17-E23</f>
        <v>134</v>
      </c>
      <c r="F31" s="301">
        <f>IF(D31=0,0,$C31/(D31*365))</f>
        <v>0.64368095448519669</v>
      </c>
      <c r="G31" s="301">
        <f>IF(E31=0,0,$C31/(E31*365))</f>
        <v>0.59564506235943571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514</v>
      </c>
      <c r="C33" s="300">
        <f>SUM(C10:C29)-C17</f>
        <v>30673</v>
      </c>
      <c r="D33" s="300">
        <f>SUM(D10:D29)-D17</f>
        <v>132</v>
      </c>
      <c r="E33" s="300">
        <f>SUM(E10:E29)-E17</f>
        <v>154</v>
      </c>
      <c r="F33" s="301">
        <f>IF(D33=0,0,$C33/(D33*365))</f>
        <v>0.63663345786633463</v>
      </c>
      <c r="G33" s="301">
        <f>IF(E33=0,0,$C33/(E33*365))</f>
        <v>0.54568582102828678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515</v>
      </c>
      <c r="C36" s="300">
        <f>+C33</f>
        <v>30673</v>
      </c>
      <c r="D36" s="300">
        <f>+D33</f>
        <v>132</v>
      </c>
      <c r="E36" s="300">
        <f>+E33</f>
        <v>154</v>
      </c>
      <c r="F36" s="301">
        <f>+F33</f>
        <v>0.63663345786633463</v>
      </c>
      <c r="G36" s="301">
        <f>+G33</f>
        <v>0.54568582102828678</v>
      </c>
      <c r="H36" s="125"/>
      <c r="I36" s="299"/>
    </row>
    <row r="37" spans="1:9" ht="15.75" customHeight="1" x14ac:dyDescent="0.25">
      <c r="A37" s="293"/>
      <c r="B37" s="135" t="s">
        <v>516</v>
      </c>
      <c r="C37" s="300">
        <v>33658</v>
      </c>
      <c r="D37" s="302">
        <v>132</v>
      </c>
      <c r="E37" s="302">
        <v>154</v>
      </c>
      <c r="F37" s="301">
        <f>IF(D37=0,0,$C37/(D37*365))</f>
        <v>0.69858862598588622</v>
      </c>
      <c r="G37" s="301">
        <f>IF(E37=0,0,$C37/(E37*365))</f>
        <v>0.59879025084504534</v>
      </c>
      <c r="H37" s="125"/>
      <c r="I37" s="299"/>
    </row>
    <row r="38" spans="1:9" ht="15.75" customHeight="1" x14ac:dyDescent="0.25">
      <c r="A38" s="293"/>
      <c r="B38" s="135" t="s">
        <v>517</v>
      </c>
      <c r="C38" s="300">
        <f>+C36-C37</f>
        <v>-2985</v>
      </c>
      <c r="D38" s="300">
        <f>+D36-D37</f>
        <v>0</v>
      </c>
      <c r="E38" s="300">
        <f>+E36-E37</f>
        <v>0</v>
      </c>
      <c r="F38" s="301">
        <f>+F36-F37</f>
        <v>-6.1955168119551596E-2</v>
      </c>
      <c r="G38" s="301">
        <f>+G36-G37</f>
        <v>-5.3104429816758558E-2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518</v>
      </c>
      <c r="C40" s="148">
        <f>IF(C37=0,0,C38/C37)</f>
        <v>-8.8686196446610022E-2</v>
      </c>
      <c r="D40" s="148">
        <f>IF(D37=0,0,D38/D37)</f>
        <v>0</v>
      </c>
      <c r="E40" s="148">
        <f>IF(E37=0,0,E38/E37)</f>
        <v>0</v>
      </c>
      <c r="F40" s="148">
        <f>IF(F37=0,0,F38/F37)</f>
        <v>-8.8686196446609897E-2</v>
      </c>
      <c r="G40" s="148">
        <f>IF(G37=0,0,G38/G37)</f>
        <v>-8.868619644660998E-2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519</v>
      </c>
      <c r="C42" s="295">
        <v>154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520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502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35" sqref="B35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6" width="18" style="307" customWidth="1"/>
    <col min="7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523</v>
      </c>
      <c r="C12" s="296">
        <v>3998</v>
      </c>
      <c r="D12" s="296">
        <v>4531</v>
      </c>
      <c r="E12" s="296">
        <f>+D12-C12</f>
        <v>533</v>
      </c>
      <c r="F12" s="316">
        <f>IF(C12=0,0,+E12/C12)</f>
        <v>0.13331665832916459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524</v>
      </c>
      <c r="C13" s="296">
        <v>5228</v>
      </c>
      <c r="D13" s="296">
        <v>4855</v>
      </c>
      <c r="E13" s="296">
        <f>+D13-C13</f>
        <v>-373</v>
      </c>
      <c r="F13" s="316">
        <f>IF(C13=0,0,+E13/C13)</f>
        <v>-7.1346595256312165E-2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525</v>
      </c>
      <c r="C14" s="296">
        <v>5450</v>
      </c>
      <c r="D14" s="296">
        <v>8160</v>
      </c>
      <c r="E14" s="296">
        <f>+D14-C14</f>
        <v>2710</v>
      </c>
      <c r="F14" s="316">
        <f>IF(C14=0,0,+E14/C14)</f>
        <v>0.49724770642201838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527</v>
      </c>
      <c r="C16" s="300">
        <f>SUM(C12:C15)</f>
        <v>14676</v>
      </c>
      <c r="D16" s="300">
        <f>SUM(D12:D15)</f>
        <v>17546</v>
      </c>
      <c r="E16" s="300">
        <f>+D16-C16</f>
        <v>2870</v>
      </c>
      <c r="F16" s="309">
        <f>IF(C16=0,0,+E16/C16)</f>
        <v>0.19555737258108477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528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523</v>
      </c>
      <c r="C19" s="296">
        <v>394</v>
      </c>
      <c r="D19" s="296">
        <v>375</v>
      </c>
      <c r="E19" s="296">
        <f>+D19-C19</f>
        <v>-19</v>
      </c>
      <c r="F19" s="316">
        <f>IF(C19=0,0,+E19/C19)</f>
        <v>-4.8223350253807105E-2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524</v>
      </c>
      <c r="C20" s="296">
        <v>3049</v>
      </c>
      <c r="D20" s="296">
        <v>2921</v>
      </c>
      <c r="E20" s="296">
        <f>+D20-C20</f>
        <v>-128</v>
      </c>
      <c r="F20" s="316">
        <f>IF(C20=0,0,+E20/C20)</f>
        <v>-4.1980977369629385E-2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525</v>
      </c>
      <c r="C21" s="296">
        <v>108</v>
      </c>
      <c r="D21" s="296">
        <v>169</v>
      </c>
      <c r="E21" s="296">
        <f>+D21-C21</f>
        <v>61</v>
      </c>
      <c r="F21" s="316">
        <f>IF(C21=0,0,+E21/C21)</f>
        <v>0.56481481481481477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529</v>
      </c>
      <c r="C23" s="300">
        <f>SUM(C19:C22)</f>
        <v>3551</v>
      </c>
      <c r="D23" s="300">
        <f>SUM(D19:D22)</f>
        <v>3465</v>
      </c>
      <c r="E23" s="300">
        <f>+D23-C23</f>
        <v>-86</v>
      </c>
      <c r="F23" s="309">
        <f>IF(C23=0,0,+E23/C23)</f>
        <v>-2.4218529991551677E-2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524</v>
      </c>
      <c r="C27" s="296">
        <v>363</v>
      </c>
      <c r="D27" s="296">
        <v>244</v>
      </c>
      <c r="E27" s="296">
        <f>+D27-C27</f>
        <v>-119</v>
      </c>
      <c r="F27" s="316">
        <f>IF(C27=0,0,+E27/C27)</f>
        <v>-0.32782369146005508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531</v>
      </c>
      <c r="C30" s="300">
        <f>SUM(C26:C29)</f>
        <v>363</v>
      </c>
      <c r="D30" s="300">
        <f>SUM(D26:D29)</f>
        <v>244</v>
      </c>
      <c r="E30" s="300">
        <f>+D30-C30</f>
        <v>-119</v>
      </c>
      <c r="F30" s="309">
        <f>IF(C30=0,0,+E30/C30)</f>
        <v>-0.32782369146005508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536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538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539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538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546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548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549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551</v>
      </c>
      <c r="C63" s="296">
        <v>1536</v>
      </c>
      <c r="D63" s="296">
        <v>1393</v>
      </c>
      <c r="E63" s="296">
        <f>+D63-C63</f>
        <v>-143</v>
      </c>
      <c r="F63" s="316">
        <f>IF(C63=0,0,+E63/C63)</f>
        <v>-9.3098958333333329E-2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552</v>
      </c>
      <c r="C64" s="296">
        <v>3969</v>
      </c>
      <c r="D64" s="296">
        <v>3695</v>
      </c>
      <c r="E64" s="296">
        <f>+D64-C64</f>
        <v>-274</v>
      </c>
      <c r="F64" s="316">
        <f>IF(C64=0,0,+E64/C64)</f>
        <v>-6.9035021415973799E-2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553</v>
      </c>
      <c r="C65" s="300">
        <f>SUM(C63:C64)</f>
        <v>5505</v>
      </c>
      <c r="D65" s="300">
        <f>SUM(D63:D64)</f>
        <v>5088</v>
      </c>
      <c r="E65" s="300">
        <f>+D65-C65</f>
        <v>-417</v>
      </c>
      <c r="F65" s="309">
        <f>IF(C65=0,0,+E65/C65)</f>
        <v>-7.5749318801089913E-2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555</v>
      </c>
      <c r="C68" s="296">
        <v>576</v>
      </c>
      <c r="D68" s="296">
        <v>573</v>
      </c>
      <c r="E68" s="296">
        <f>+D68-C68</f>
        <v>-3</v>
      </c>
      <c r="F68" s="316">
        <f>IF(C68=0,0,+E68/C68)</f>
        <v>-5.208333333333333E-3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556</v>
      </c>
      <c r="C69" s="296">
        <v>1878</v>
      </c>
      <c r="D69" s="296">
        <v>2035</v>
      </c>
      <c r="E69" s="296">
        <f>+D69-C69</f>
        <v>157</v>
      </c>
      <c r="F69" s="318">
        <f>IF(C69=0,0,+E69/C69)</f>
        <v>8.3599574014909472E-2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557</v>
      </c>
      <c r="C70" s="300">
        <f>SUM(C68:C69)</f>
        <v>2454</v>
      </c>
      <c r="D70" s="300">
        <f>SUM(D68:D69)</f>
        <v>2608</v>
      </c>
      <c r="E70" s="300">
        <f>+D70-C70</f>
        <v>154</v>
      </c>
      <c r="F70" s="309">
        <f>IF(C70=0,0,+E70/C70)</f>
        <v>6.2754686226568865E-2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558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559</v>
      </c>
      <c r="C73" s="319">
        <v>5501</v>
      </c>
      <c r="D73" s="319">
        <v>5467</v>
      </c>
      <c r="E73" s="296">
        <f>+D73-C73</f>
        <v>-34</v>
      </c>
      <c r="F73" s="316">
        <f>IF(C73=0,0,+E73/C73)</f>
        <v>-6.1806944191965096E-3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560</v>
      </c>
      <c r="C74" s="319">
        <v>33551</v>
      </c>
      <c r="D74" s="319">
        <v>33293</v>
      </c>
      <c r="E74" s="296">
        <f>+D74-C74</f>
        <v>-258</v>
      </c>
      <c r="F74" s="316">
        <f>IF(C74=0,0,+E74/C74)</f>
        <v>-7.6897856993830291E-3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39052</v>
      </c>
      <c r="D75" s="300">
        <f>SUM(D73:D74)</f>
        <v>38760</v>
      </c>
      <c r="E75" s="300">
        <f>SUM(E73:E74)</f>
        <v>-292</v>
      </c>
      <c r="F75" s="309">
        <f>IF(C75=0,0,+E75/C75)</f>
        <v>-7.4772098740141348E-3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564</v>
      </c>
      <c r="C81" s="319">
        <v>25328</v>
      </c>
      <c r="D81" s="319">
        <v>25915</v>
      </c>
      <c r="E81" s="296">
        <f t="shared" si="0"/>
        <v>587</v>
      </c>
      <c r="F81" s="316">
        <f t="shared" si="1"/>
        <v>2.3175931775110549E-2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567</v>
      </c>
      <c r="C84" s="320">
        <f>SUM(C79:C83)</f>
        <v>25328</v>
      </c>
      <c r="D84" s="320">
        <f>SUM(D79:D83)</f>
        <v>25915</v>
      </c>
      <c r="E84" s="300">
        <f t="shared" si="0"/>
        <v>587</v>
      </c>
      <c r="F84" s="309">
        <f t="shared" si="1"/>
        <v>2.3175931775110549E-2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568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569</v>
      </c>
      <c r="C87" s="322">
        <v>85587</v>
      </c>
      <c r="D87" s="322">
        <v>83287</v>
      </c>
      <c r="E87" s="323">
        <f t="shared" ref="E87:E92" si="2">+D87-C87</f>
        <v>-2300</v>
      </c>
      <c r="F87" s="318">
        <f t="shared" ref="F87:F92" si="3">IF(C87=0,0,+E87/C87)</f>
        <v>-2.6873240094874223E-2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3048</v>
      </c>
      <c r="D88" s="322">
        <v>3417</v>
      </c>
      <c r="E88" s="296">
        <f t="shared" si="2"/>
        <v>369</v>
      </c>
      <c r="F88" s="316">
        <f t="shared" si="3"/>
        <v>0.12106299212598425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570</v>
      </c>
      <c r="C89" s="322">
        <v>8675</v>
      </c>
      <c r="D89" s="322">
        <v>9154</v>
      </c>
      <c r="E89" s="296">
        <f t="shared" si="2"/>
        <v>479</v>
      </c>
      <c r="F89" s="316">
        <f t="shared" si="3"/>
        <v>5.5216138328530256E-2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572</v>
      </c>
      <c r="C91" s="322">
        <v>3864</v>
      </c>
      <c r="D91" s="322">
        <v>3766</v>
      </c>
      <c r="E91" s="296">
        <f t="shared" si="2"/>
        <v>-98</v>
      </c>
      <c r="F91" s="316">
        <f t="shared" si="3"/>
        <v>-2.5362318840579712E-2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573</v>
      </c>
      <c r="C92" s="320">
        <f>SUM(C87:C91)</f>
        <v>101174</v>
      </c>
      <c r="D92" s="320">
        <f>SUM(D87:D91)</f>
        <v>99624</v>
      </c>
      <c r="E92" s="300">
        <f t="shared" si="2"/>
        <v>-1550</v>
      </c>
      <c r="F92" s="309">
        <f t="shared" si="3"/>
        <v>-1.5320141538339889E-2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574</v>
      </c>
      <c r="B95" s="291" t="s">
        <v>575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576</v>
      </c>
      <c r="C96" s="325">
        <v>285.8</v>
      </c>
      <c r="D96" s="325">
        <v>283.39999999999998</v>
      </c>
      <c r="E96" s="326">
        <f>+D96-C96</f>
        <v>-2.4000000000000341</v>
      </c>
      <c r="F96" s="316">
        <f>IF(C96=0,0,+E96/C96)</f>
        <v>-8.3974807557733872E-3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577</v>
      </c>
      <c r="C97" s="325">
        <v>2.6</v>
      </c>
      <c r="D97" s="325">
        <v>2.5</v>
      </c>
      <c r="E97" s="326">
        <f>+D97-C97</f>
        <v>-0.10000000000000009</v>
      </c>
      <c r="F97" s="316">
        <f>IF(C97=0,0,+E97/C97)</f>
        <v>-3.8461538461538491E-2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578</v>
      </c>
      <c r="C98" s="325">
        <v>611</v>
      </c>
      <c r="D98" s="325">
        <v>587.4</v>
      </c>
      <c r="E98" s="326">
        <f>+D98-C98</f>
        <v>-23.600000000000023</v>
      </c>
      <c r="F98" s="316">
        <f>IF(C98=0,0,+E98/C98)</f>
        <v>-3.862520458265143E-2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579</v>
      </c>
      <c r="C99" s="327">
        <f>SUM(C96:C98)</f>
        <v>899.40000000000009</v>
      </c>
      <c r="D99" s="327">
        <f>SUM(D96:D98)</f>
        <v>873.3</v>
      </c>
      <c r="E99" s="327">
        <f>+D99-C99</f>
        <v>-26.100000000000136</v>
      </c>
      <c r="F99" s="309">
        <f>IF(C99=0,0,+E99/C99)</f>
        <v>-2.9019346230820697E-2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5" zoomScaleSheetLayoutView="90" workbookViewId="0">
      <selection activeCell="B35" sqref="B35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8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581</v>
      </c>
      <c r="C12" s="296">
        <v>3969</v>
      </c>
      <c r="D12" s="296">
        <v>3695</v>
      </c>
      <c r="E12" s="296">
        <f>+D12-C12</f>
        <v>-274</v>
      </c>
      <c r="F12" s="316">
        <f>IF(C12=0,0,+E12/C12)</f>
        <v>-6.9035021415973799E-2</v>
      </c>
    </row>
    <row r="13" spans="1:16" ht="15.75" customHeight="1" x14ac:dyDescent="0.25">
      <c r="A13" s="294"/>
      <c r="B13" s="135" t="s">
        <v>582</v>
      </c>
      <c r="C13" s="300">
        <f>SUM(C11:C12)</f>
        <v>3969</v>
      </c>
      <c r="D13" s="300">
        <f>SUM(D11:D12)</f>
        <v>3695</v>
      </c>
      <c r="E13" s="300">
        <f>+D13-C13</f>
        <v>-274</v>
      </c>
      <c r="F13" s="309">
        <f>IF(C13=0,0,+E13/C13)</f>
        <v>-6.9035021415973799E-2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581</v>
      </c>
      <c r="C16" s="296">
        <v>1878</v>
      </c>
      <c r="D16" s="296">
        <v>2035</v>
      </c>
      <c r="E16" s="296">
        <f>+D16-C16</f>
        <v>157</v>
      </c>
      <c r="F16" s="316">
        <f>IF(C16=0,0,+E16/C16)</f>
        <v>8.3599574014909472E-2</v>
      </c>
    </row>
    <row r="17" spans="1:6" ht="15.75" customHeight="1" x14ac:dyDescent="0.25">
      <c r="A17" s="294"/>
      <c r="B17" s="135" t="s">
        <v>583</v>
      </c>
      <c r="C17" s="300">
        <f>SUM(C15:C16)</f>
        <v>1878</v>
      </c>
      <c r="D17" s="300">
        <f>SUM(D15:D16)</f>
        <v>2035</v>
      </c>
      <c r="E17" s="300">
        <f>+D17-C17</f>
        <v>157</v>
      </c>
      <c r="F17" s="309">
        <f>IF(C17=0,0,+E17/C17)</f>
        <v>8.3599574014909472E-2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581</v>
      </c>
      <c r="C20" s="296">
        <v>33551</v>
      </c>
      <c r="D20" s="296">
        <v>33293</v>
      </c>
      <c r="E20" s="296">
        <f>+D20-C20</f>
        <v>-258</v>
      </c>
      <c r="F20" s="316">
        <f>IF(C20=0,0,+E20/C20)</f>
        <v>-7.6897856993830291E-3</v>
      </c>
    </row>
    <row r="21" spans="1:6" ht="15.75" customHeight="1" x14ac:dyDescent="0.25">
      <c r="A21" s="294"/>
      <c r="B21" s="135" t="s">
        <v>585</v>
      </c>
      <c r="C21" s="300">
        <f>SUM(C19:C20)</f>
        <v>33551</v>
      </c>
      <c r="D21" s="300">
        <f>SUM(D19:D20)</f>
        <v>33293</v>
      </c>
      <c r="E21" s="300">
        <f>+D21-C21</f>
        <v>-258</v>
      </c>
      <c r="F21" s="309">
        <f>IF(C21=0,0,+E21/C21)</f>
        <v>-7.6897856993830291E-3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588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r:id="rId1"/>
  <headerFooter>
    <oddHeader>&amp;LOFFICE OF HEALTH CARE ACCESS&amp;CTWELVE MONTHS ACTUAL FILING&amp;RBRISTOL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activeCell="B35" sqref="B35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8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589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593</v>
      </c>
      <c r="D7" s="341" t="s">
        <v>593</v>
      </c>
      <c r="E7" s="341" t="s">
        <v>594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595</v>
      </c>
      <c r="D8" s="344" t="s">
        <v>596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598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599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600</v>
      </c>
      <c r="C15" s="361">
        <v>86691351</v>
      </c>
      <c r="D15" s="361">
        <v>82914358</v>
      </c>
      <c r="E15" s="361">
        <f t="shared" ref="E15:E24" si="0">D15-C15</f>
        <v>-3776993</v>
      </c>
      <c r="F15" s="362">
        <f t="shared" ref="F15:F24" si="1">IF(C15=0,0,E15/C15)</f>
        <v>-4.3568279377720162E-2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601</v>
      </c>
      <c r="C16" s="361">
        <v>29232376</v>
      </c>
      <c r="D16" s="361">
        <v>30644675</v>
      </c>
      <c r="E16" s="361">
        <f t="shared" si="0"/>
        <v>1412299</v>
      </c>
      <c r="F16" s="362">
        <f t="shared" si="1"/>
        <v>4.8312836424928306E-2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602</v>
      </c>
      <c r="C17" s="366">
        <f>IF(C15=0,0,C16/C15)</f>
        <v>0.3372006049369331</v>
      </c>
      <c r="D17" s="366">
        <f>IF(LN_IA1=0,0,LN_IA2/LN_IA1)</f>
        <v>0.36959431079476007</v>
      </c>
      <c r="E17" s="367">
        <f t="shared" si="0"/>
        <v>3.2393705857826971E-2</v>
      </c>
      <c r="F17" s="362">
        <f t="shared" si="1"/>
        <v>9.606657100714748E-2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3597</v>
      </c>
      <c r="D18" s="369">
        <v>3426</v>
      </c>
      <c r="E18" s="369">
        <f t="shared" si="0"/>
        <v>-171</v>
      </c>
      <c r="F18" s="362">
        <f t="shared" si="1"/>
        <v>-4.7539616346955797E-2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603</v>
      </c>
      <c r="C19" s="372">
        <v>1.3004</v>
      </c>
      <c r="D19" s="372">
        <v>1.2873000000000001</v>
      </c>
      <c r="E19" s="373">
        <f t="shared" si="0"/>
        <v>-1.309999999999989E-2</v>
      </c>
      <c r="F19" s="362">
        <f t="shared" si="1"/>
        <v>-1.007382343894178E-2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604</v>
      </c>
      <c r="C20" s="376">
        <f>C18*C19</f>
        <v>4677.5388000000003</v>
      </c>
      <c r="D20" s="376">
        <f>LN_IA4*LN_IA5</f>
        <v>4410.2898000000005</v>
      </c>
      <c r="E20" s="376">
        <f t="shared" si="0"/>
        <v>-267.2489999999998</v>
      </c>
      <c r="F20" s="362">
        <f t="shared" si="1"/>
        <v>-5.7134534084463347E-2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605</v>
      </c>
      <c r="C21" s="378">
        <f>IF(C20=0,0,C16/C20)</f>
        <v>6249.520794995864</v>
      </c>
      <c r="D21" s="378">
        <f>IF(LN_IA6=0,0,LN_IA2/LN_IA6)</f>
        <v>6948.4492833101349</v>
      </c>
      <c r="E21" s="378">
        <f t="shared" si="0"/>
        <v>698.92848831427091</v>
      </c>
      <c r="F21" s="362">
        <f t="shared" si="1"/>
        <v>0.11183713299648816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19311</v>
      </c>
      <c r="D22" s="369">
        <v>17157</v>
      </c>
      <c r="E22" s="369">
        <f t="shared" si="0"/>
        <v>-2154</v>
      </c>
      <c r="F22" s="362">
        <f t="shared" si="1"/>
        <v>-0.11154264408886128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606</v>
      </c>
      <c r="C23" s="378">
        <f>IF(C22=0,0,C16/C22)</f>
        <v>1513.7681114390762</v>
      </c>
      <c r="D23" s="378">
        <f>IF(LN_IA8=0,0,LN_IA2/LN_IA8)</f>
        <v>1786.1324823687125</v>
      </c>
      <c r="E23" s="378">
        <f t="shared" si="0"/>
        <v>272.36437092963638</v>
      </c>
      <c r="F23" s="362">
        <f t="shared" si="1"/>
        <v>0.17992476448107428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607</v>
      </c>
      <c r="C24" s="379">
        <f>IF(C18=0,0,C22/C18)</f>
        <v>5.3686405337781489</v>
      </c>
      <c r="D24" s="379">
        <f>IF(LN_IA4=0,0,LN_IA8/LN_IA4)</f>
        <v>5.0078809106830127</v>
      </c>
      <c r="E24" s="379">
        <f t="shared" si="0"/>
        <v>-0.36075962309513621</v>
      </c>
      <c r="F24" s="362">
        <f t="shared" si="1"/>
        <v>-6.7197574660722112E-2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608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609</v>
      </c>
      <c r="C27" s="361">
        <v>71274877</v>
      </c>
      <c r="D27" s="361">
        <v>78569021</v>
      </c>
      <c r="E27" s="361">
        <f t="shared" ref="E27:E32" si="2">D27-C27</f>
        <v>7294144</v>
      </c>
      <c r="F27" s="362">
        <f t="shared" ref="F27:F32" si="3">IF(C27=0,0,E27/C27)</f>
        <v>0.10233821939811977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610</v>
      </c>
      <c r="C28" s="361">
        <v>16688591</v>
      </c>
      <c r="D28" s="361">
        <v>18498947</v>
      </c>
      <c r="E28" s="361">
        <f t="shared" si="2"/>
        <v>1810356</v>
      </c>
      <c r="F28" s="362">
        <f t="shared" si="3"/>
        <v>0.10847866066104682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611</v>
      </c>
      <c r="C29" s="366">
        <f>IF(C27=0,0,C28/C27)</f>
        <v>0.23414408698313152</v>
      </c>
      <c r="D29" s="366">
        <f>IF(LN_IA11=0,0,LN_IA12/LN_IA11)</f>
        <v>0.23544835820214688</v>
      </c>
      <c r="E29" s="367">
        <f t="shared" si="2"/>
        <v>1.3042712190153571E-3</v>
      </c>
      <c r="F29" s="362">
        <f t="shared" si="3"/>
        <v>5.570378632321904E-3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612</v>
      </c>
      <c r="C30" s="366">
        <f>IF(C15=0,0,C27/C15)</f>
        <v>0.82216825759238654</v>
      </c>
      <c r="D30" s="366">
        <f>IF(LN_IA1=0,0,LN_IA11/LN_IA1)</f>
        <v>0.94759246643385941</v>
      </c>
      <c r="E30" s="367">
        <f t="shared" si="2"/>
        <v>0.12542420884147287</v>
      </c>
      <c r="F30" s="362">
        <f t="shared" si="3"/>
        <v>0.15255296915592612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613</v>
      </c>
      <c r="C31" s="376">
        <f>C30*C18</f>
        <v>2957.3392225598145</v>
      </c>
      <c r="D31" s="376">
        <f>LN_IA14*LN_IA4</f>
        <v>3246.4517900024025</v>
      </c>
      <c r="E31" s="376">
        <f t="shared" si="2"/>
        <v>289.11256744258799</v>
      </c>
      <c r="F31" s="362">
        <f t="shared" si="3"/>
        <v>9.7761043182708632E-2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614</v>
      </c>
      <c r="C32" s="378">
        <f>IF(C31=0,0,C28/C31)</f>
        <v>5643.1101554709994</v>
      </c>
      <c r="D32" s="378">
        <f>IF(LN_IA15=0,0,LN_IA12/LN_IA15)</f>
        <v>5698.2047467848924</v>
      </c>
      <c r="E32" s="378">
        <f t="shared" si="2"/>
        <v>55.094591313893034</v>
      </c>
      <c r="F32" s="362">
        <f t="shared" si="3"/>
        <v>9.7631607032300765E-3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616</v>
      </c>
      <c r="C35" s="361">
        <f>C15+C27</f>
        <v>157966228</v>
      </c>
      <c r="D35" s="361">
        <f>LN_IA1+LN_IA11</f>
        <v>161483379</v>
      </c>
      <c r="E35" s="361">
        <f>D35-C35</f>
        <v>3517151</v>
      </c>
      <c r="F35" s="362">
        <f>IF(C35=0,0,E35/C35)</f>
        <v>2.2265208484942744E-2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617</v>
      </c>
      <c r="C36" s="361">
        <f>C16+C28</f>
        <v>45920967</v>
      </c>
      <c r="D36" s="361">
        <f>LN_IA2+LN_IA12</f>
        <v>49143622</v>
      </c>
      <c r="E36" s="361">
        <f>D36-C36</f>
        <v>3222655</v>
      </c>
      <c r="F36" s="362">
        <f>IF(C36=0,0,E36/C36)</f>
        <v>7.0178291323873904E-2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618</v>
      </c>
      <c r="C37" s="361">
        <f>C35-C36</f>
        <v>112045261</v>
      </c>
      <c r="D37" s="361">
        <f>LN_IA17-LN_IA18</f>
        <v>112339757</v>
      </c>
      <c r="E37" s="361">
        <f>D37-C37</f>
        <v>294496</v>
      </c>
      <c r="F37" s="362">
        <f>IF(C37=0,0,E37/C37)</f>
        <v>2.6283664063221739E-3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619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600</v>
      </c>
      <c r="C42" s="361">
        <v>45764991</v>
      </c>
      <c r="D42" s="361">
        <v>40241420</v>
      </c>
      <c r="E42" s="361">
        <f t="shared" ref="E42:E53" si="4">D42-C42</f>
        <v>-5523571</v>
      </c>
      <c r="F42" s="362">
        <f t="shared" ref="F42:F53" si="5">IF(C42=0,0,E42/C42)</f>
        <v>-0.1206942442095094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601</v>
      </c>
      <c r="C43" s="361">
        <v>19574604</v>
      </c>
      <c r="D43" s="361">
        <v>18721550</v>
      </c>
      <c r="E43" s="361">
        <f t="shared" si="4"/>
        <v>-853054</v>
      </c>
      <c r="F43" s="362">
        <f t="shared" si="5"/>
        <v>-4.3579630014482028E-2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602</v>
      </c>
      <c r="C44" s="366">
        <f>IF(C42=0,0,C43/C42)</f>
        <v>0.42772004478270298</v>
      </c>
      <c r="D44" s="366">
        <f>IF(LN_IB1=0,0,LN_IB2/LN_IB1)</f>
        <v>0.46523084920959551</v>
      </c>
      <c r="E44" s="367">
        <f t="shared" si="4"/>
        <v>3.751080442689253E-2</v>
      </c>
      <c r="F44" s="362">
        <f t="shared" si="5"/>
        <v>8.769943070110113E-2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2731</v>
      </c>
      <c r="D45" s="369">
        <v>2486</v>
      </c>
      <c r="E45" s="369">
        <f t="shared" si="4"/>
        <v>-245</v>
      </c>
      <c r="F45" s="362">
        <f t="shared" si="5"/>
        <v>-8.9710728670816545E-2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603</v>
      </c>
      <c r="C46" s="372">
        <v>0.95589999999999997</v>
      </c>
      <c r="D46" s="372">
        <v>0.94640000000000002</v>
      </c>
      <c r="E46" s="373">
        <f t="shared" si="4"/>
        <v>-9.4999999999999529E-3</v>
      </c>
      <c r="F46" s="362">
        <f t="shared" si="5"/>
        <v>-9.9382780625587967E-3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604</v>
      </c>
      <c r="C47" s="376">
        <f>C45*C46</f>
        <v>2610.5628999999999</v>
      </c>
      <c r="D47" s="376">
        <f>LN_IB4*LN_IB5</f>
        <v>2352.7503999999999</v>
      </c>
      <c r="E47" s="376">
        <f t="shared" si="4"/>
        <v>-257.8125</v>
      </c>
      <c r="F47" s="362">
        <f t="shared" si="5"/>
        <v>-9.875743656665005E-2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605</v>
      </c>
      <c r="C48" s="378">
        <f>IF(C47=0,0,C43/C47)</f>
        <v>7498.2311286198083</v>
      </c>
      <c r="D48" s="378">
        <f>IF(LN_IB6=0,0,LN_IB2/LN_IB6)</f>
        <v>7957.3039282024993</v>
      </c>
      <c r="E48" s="378">
        <f t="shared" si="4"/>
        <v>459.072799582691</v>
      </c>
      <c r="F48" s="362">
        <f t="shared" si="5"/>
        <v>6.1224146296380177E-2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621</v>
      </c>
      <c r="C49" s="378">
        <f>C21-C48</f>
        <v>-1248.7103336239443</v>
      </c>
      <c r="D49" s="378">
        <f>LN_IA7-LN_IB7</f>
        <v>-1008.8546448923644</v>
      </c>
      <c r="E49" s="378">
        <f t="shared" si="4"/>
        <v>239.8556887315799</v>
      </c>
      <c r="F49" s="362">
        <f t="shared" si="5"/>
        <v>-0.19208272909497176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622</v>
      </c>
      <c r="C50" s="391">
        <f>C49*C47</f>
        <v>-3259836.8698052913</v>
      </c>
      <c r="D50" s="391">
        <f>LN_IB8*LN_IB6</f>
        <v>-2373583.1693123681</v>
      </c>
      <c r="E50" s="391">
        <f t="shared" si="4"/>
        <v>886253.70049292315</v>
      </c>
      <c r="F50" s="362">
        <f t="shared" si="5"/>
        <v>-0.27187056772747609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8932</v>
      </c>
      <c r="D51" s="369">
        <v>7861</v>
      </c>
      <c r="E51" s="369">
        <f t="shared" si="4"/>
        <v>-1071</v>
      </c>
      <c r="F51" s="362">
        <f t="shared" si="5"/>
        <v>-0.11990595611285267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606</v>
      </c>
      <c r="C52" s="378">
        <f>IF(C51=0,0,C43/C51)</f>
        <v>2191.5141065830721</v>
      </c>
      <c r="D52" s="378">
        <f>IF(LN_IB10=0,0,LN_IB2/LN_IB10)</f>
        <v>2381.5735911461647</v>
      </c>
      <c r="E52" s="378">
        <f t="shared" si="4"/>
        <v>190.05948456309261</v>
      </c>
      <c r="F52" s="362">
        <f t="shared" si="5"/>
        <v>8.6725193322814767E-2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607</v>
      </c>
      <c r="C53" s="379">
        <f>IF(C45=0,0,C51/C45)</f>
        <v>3.2705968509703407</v>
      </c>
      <c r="D53" s="379">
        <f>IF(LN_IB4=0,0,LN_IB10/LN_IB4)</f>
        <v>3.162107803700724</v>
      </c>
      <c r="E53" s="379">
        <f t="shared" si="4"/>
        <v>-0.10848904726961672</v>
      </c>
      <c r="F53" s="362">
        <f t="shared" si="5"/>
        <v>-3.3171024193162028E-2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609</v>
      </c>
      <c r="C56" s="361">
        <v>104148378</v>
      </c>
      <c r="D56" s="361">
        <v>97504016</v>
      </c>
      <c r="E56" s="361">
        <f t="shared" ref="E56:E63" si="6">D56-C56</f>
        <v>-6644362</v>
      </c>
      <c r="F56" s="362">
        <f t="shared" ref="F56:F63" si="7">IF(C56=0,0,E56/C56)</f>
        <v>-6.3797076129212496E-2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610</v>
      </c>
      <c r="C57" s="361">
        <v>41085749</v>
      </c>
      <c r="D57" s="361">
        <v>36311112</v>
      </c>
      <c r="E57" s="361">
        <f t="shared" si="6"/>
        <v>-4774637</v>
      </c>
      <c r="F57" s="362">
        <f t="shared" si="7"/>
        <v>-0.11621151168498839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611</v>
      </c>
      <c r="C58" s="366">
        <f>IF(C56=0,0,C57/C56)</f>
        <v>0.39449245191317334</v>
      </c>
      <c r="D58" s="366">
        <f>IF(LN_IB13=0,0,LN_IB14/LN_IB13)</f>
        <v>0.37240632221753822</v>
      </c>
      <c r="E58" s="367">
        <f t="shared" si="6"/>
        <v>-2.2086129695635115E-2</v>
      </c>
      <c r="F58" s="362">
        <f t="shared" si="7"/>
        <v>-5.5986190834637843E-2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612</v>
      </c>
      <c r="C59" s="366">
        <f>IF(C42=0,0,C56/C42)</f>
        <v>2.2757215881458386</v>
      </c>
      <c r="D59" s="366">
        <f>IF(LN_IB1=0,0,LN_IB13/LN_IB1)</f>
        <v>2.4229765251822624</v>
      </c>
      <c r="E59" s="367">
        <f t="shared" si="6"/>
        <v>0.14725493703642378</v>
      </c>
      <c r="F59" s="362">
        <f t="shared" si="7"/>
        <v>6.4706921006273385E-2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613</v>
      </c>
      <c r="C60" s="376">
        <f>C59*C45</f>
        <v>6214.9956572262854</v>
      </c>
      <c r="D60" s="376">
        <f>LN_IB16*LN_IB4</f>
        <v>6023.519641603104</v>
      </c>
      <c r="E60" s="376">
        <f t="shared" si="6"/>
        <v>-191.47601562318141</v>
      </c>
      <c r="F60" s="362">
        <f t="shared" si="7"/>
        <v>-3.0808712698060996E-2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614</v>
      </c>
      <c r="C61" s="378">
        <f>IF(C60=0,0,C57/C60)</f>
        <v>6610.7446032128555</v>
      </c>
      <c r="D61" s="378">
        <f>IF(LN_IB17=0,0,LN_IB14/LN_IB17)</f>
        <v>6028.2217308975414</v>
      </c>
      <c r="E61" s="378">
        <f t="shared" si="6"/>
        <v>-582.52287231531409</v>
      </c>
      <c r="F61" s="362">
        <f t="shared" si="7"/>
        <v>-8.8117588453228854E-2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624</v>
      </c>
      <c r="C62" s="378">
        <f>C32-C61</f>
        <v>-967.63444774185609</v>
      </c>
      <c r="D62" s="378">
        <f>LN_IA16-LN_IB18</f>
        <v>-330.01698411264897</v>
      </c>
      <c r="E62" s="378">
        <f t="shared" si="6"/>
        <v>637.61746362920712</v>
      </c>
      <c r="F62" s="362">
        <f t="shared" si="7"/>
        <v>-0.65894456849608729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625</v>
      </c>
      <c r="C63" s="361">
        <f>C62*C60</f>
        <v>-6013843.8904981902</v>
      </c>
      <c r="D63" s="361">
        <f>LN_IB19*LN_IB17</f>
        <v>-1987863.7858651606</v>
      </c>
      <c r="E63" s="361">
        <f t="shared" si="6"/>
        <v>4025980.1046330296</v>
      </c>
      <c r="F63" s="362">
        <f t="shared" si="7"/>
        <v>-0.66945204729940455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616</v>
      </c>
      <c r="C66" s="361">
        <f>C42+C56</f>
        <v>149913369</v>
      </c>
      <c r="D66" s="361">
        <f>LN_IB1+LN_IB13</f>
        <v>137745436</v>
      </c>
      <c r="E66" s="361">
        <f>D66-C66</f>
        <v>-12167933</v>
      </c>
      <c r="F66" s="362">
        <f>IF(C66=0,0,E66/C66)</f>
        <v>-8.1166430193427244E-2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617</v>
      </c>
      <c r="C67" s="361">
        <f>C43+C57</f>
        <v>60660353</v>
      </c>
      <c r="D67" s="361">
        <f>LN_IB2+LN_IB14</f>
        <v>55032662</v>
      </c>
      <c r="E67" s="361">
        <f>D67-C67</f>
        <v>-5627691</v>
      </c>
      <c r="F67" s="362">
        <f>IF(C67=0,0,E67/C67)</f>
        <v>-9.2773792463753058E-2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618</v>
      </c>
      <c r="C68" s="361">
        <f>C66-C67</f>
        <v>89253016</v>
      </c>
      <c r="D68" s="361">
        <f>LN_IB21-LN_IB22</f>
        <v>82712774</v>
      </c>
      <c r="E68" s="361">
        <f>D68-C68</f>
        <v>-6540242</v>
      </c>
      <c r="F68" s="362">
        <f>IF(C68=0,0,E68/C68)</f>
        <v>-7.3277546161577334E-2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627</v>
      </c>
      <c r="C70" s="353">
        <f>C50+C63</f>
        <v>-9273680.7603034824</v>
      </c>
      <c r="D70" s="353">
        <f>LN_IB9+LN_IB20</f>
        <v>-4361446.9551775288</v>
      </c>
      <c r="E70" s="361">
        <f>D70-C70</f>
        <v>4912233.8051259536</v>
      </c>
      <c r="F70" s="362">
        <f>IF(C70=0,0,E70/C70)</f>
        <v>-0.52969623735087468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628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629</v>
      </c>
      <c r="C73" s="400">
        <v>131777027</v>
      </c>
      <c r="D73" s="400">
        <v>121599557</v>
      </c>
      <c r="E73" s="400">
        <f>D73-C73</f>
        <v>-10177470</v>
      </c>
      <c r="F73" s="401">
        <f>IF(C73=0,0,E73/C73)</f>
        <v>-7.7232505784183461E-2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630</v>
      </c>
      <c r="C74" s="400">
        <v>55788426</v>
      </c>
      <c r="D74" s="400">
        <v>53040369</v>
      </c>
      <c r="E74" s="400">
        <f>D74-C74</f>
        <v>-2748057</v>
      </c>
      <c r="F74" s="401">
        <f>IF(C74=0,0,E74/C74)</f>
        <v>-4.9258550510100425E-2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632</v>
      </c>
      <c r="C76" s="353">
        <f>C73-C74</f>
        <v>75988601</v>
      </c>
      <c r="D76" s="353">
        <f>LN_IB32-LN_IB33</f>
        <v>68559188</v>
      </c>
      <c r="E76" s="400">
        <f>D76-C76</f>
        <v>-7429413</v>
      </c>
      <c r="F76" s="401">
        <f>IF(C76=0,0,E76/C76)</f>
        <v>-9.7770098438843475E-2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633</v>
      </c>
      <c r="C77" s="366">
        <f>IF(C73=0,0,C76/C73)</f>
        <v>0.57664528279272831</v>
      </c>
      <c r="D77" s="366">
        <f>IF(LN_IB1=0,0,LN_IB34/LN_IB32)</f>
        <v>0.56381116585811242</v>
      </c>
      <c r="E77" s="405">
        <f>D77-C77</f>
        <v>-1.2834116934615891E-2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600</v>
      </c>
      <c r="C83" s="361">
        <v>905666</v>
      </c>
      <c r="D83" s="361">
        <v>778948</v>
      </c>
      <c r="E83" s="361">
        <f t="shared" ref="E83:E95" si="8">D83-C83</f>
        <v>-126718</v>
      </c>
      <c r="F83" s="362">
        <f t="shared" ref="F83:F95" si="9">IF(C83=0,0,E83/C83)</f>
        <v>-0.13991692301576961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601</v>
      </c>
      <c r="C84" s="361">
        <v>24036</v>
      </c>
      <c r="D84" s="361">
        <v>27969</v>
      </c>
      <c r="E84" s="361">
        <f t="shared" si="8"/>
        <v>3933</v>
      </c>
      <c r="F84" s="362">
        <f t="shared" si="9"/>
        <v>0.16362955566650025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602</v>
      </c>
      <c r="C85" s="366">
        <f>IF(C83=0,0,C84/C83)</f>
        <v>2.6539585233408342E-2</v>
      </c>
      <c r="D85" s="366">
        <f>IF(LN_IC1=0,0,LN_IC2/LN_IC1)</f>
        <v>3.5906119535578755E-2</v>
      </c>
      <c r="E85" s="367">
        <f t="shared" si="8"/>
        <v>9.366534302170413E-3</v>
      </c>
      <c r="F85" s="362">
        <f t="shared" si="9"/>
        <v>0.35292692857836033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43</v>
      </c>
      <c r="D86" s="369">
        <v>64</v>
      </c>
      <c r="E86" s="369">
        <f t="shared" si="8"/>
        <v>21</v>
      </c>
      <c r="F86" s="362">
        <f t="shared" si="9"/>
        <v>0.48837209302325579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603</v>
      </c>
      <c r="C87" s="372">
        <v>0.96460000000000001</v>
      </c>
      <c r="D87" s="372">
        <v>0.89229999999999998</v>
      </c>
      <c r="E87" s="373">
        <f t="shared" si="8"/>
        <v>-7.2300000000000031E-2</v>
      </c>
      <c r="F87" s="362">
        <f t="shared" si="9"/>
        <v>-7.4953348538254236E-2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604</v>
      </c>
      <c r="C88" s="376">
        <f>C86*C87</f>
        <v>41.477800000000002</v>
      </c>
      <c r="D88" s="376">
        <f>LN_IC4*LN_IC5</f>
        <v>57.107199999999999</v>
      </c>
      <c r="E88" s="376">
        <f t="shared" si="8"/>
        <v>15.629399999999997</v>
      </c>
      <c r="F88" s="362">
        <f t="shared" si="9"/>
        <v>0.37681362078027275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605</v>
      </c>
      <c r="C89" s="378">
        <f>IF(C88=0,0,C84/C88)</f>
        <v>579.49071551528766</v>
      </c>
      <c r="D89" s="378">
        <f>IF(LN_IC6=0,0,LN_IC2/LN_IC6)</f>
        <v>489.76311218200158</v>
      </c>
      <c r="E89" s="378">
        <f t="shared" si="8"/>
        <v>-89.727603333286083</v>
      </c>
      <c r="F89" s="362">
        <f t="shared" si="9"/>
        <v>-0.15483872464375828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636</v>
      </c>
      <c r="C90" s="378">
        <f>C48-C89</f>
        <v>6918.7404131045205</v>
      </c>
      <c r="D90" s="378">
        <f>LN_IB7-LN_IC7</f>
        <v>7467.5408160204979</v>
      </c>
      <c r="E90" s="378">
        <f t="shared" si="8"/>
        <v>548.80040291597743</v>
      </c>
      <c r="F90" s="362">
        <f t="shared" si="9"/>
        <v>7.9320854685704878E-2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637</v>
      </c>
      <c r="C91" s="378">
        <f>C21-C89</f>
        <v>5670.0300794805762</v>
      </c>
      <c r="D91" s="378">
        <f>LN_IA7-LN_IC7</f>
        <v>6458.6861711281335</v>
      </c>
      <c r="E91" s="378">
        <f t="shared" si="8"/>
        <v>788.65609164755733</v>
      </c>
      <c r="F91" s="362">
        <f t="shared" si="9"/>
        <v>0.1390920472365122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622</v>
      </c>
      <c r="C92" s="353">
        <f>C91*C88</f>
        <v>235180.37363067945</v>
      </c>
      <c r="D92" s="353">
        <f>LN_IC9*LN_IC6</f>
        <v>368837.48291184852</v>
      </c>
      <c r="E92" s="353">
        <f t="shared" si="8"/>
        <v>133657.10928116908</v>
      </c>
      <c r="F92" s="362">
        <f t="shared" si="9"/>
        <v>0.56831744595771583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205</v>
      </c>
      <c r="D93" s="369">
        <v>241</v>
      </c>
      <c r="E93" s="369">
        <f t="shared" si="8"/>
        <v>36</v>
      </c>
      <c r="F93" s="362">
        <f t="shared" si="9"/>
        <v>0.17560975609756097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606</v>
      </c>
      <c r="C94" s="411">
        <f>IF(C93=0,0,C84/C93)</f>
        <v>117.24878048780488</v>
      </c>
      <c r="D94" s="411">
        <f>IF(LN_IC11=0,0,LN_IC2/LN_IC11)</f>
        <v>116.0539419087137</v>
      </c>
      <c r="E94" s="411">
        <f t="shared" si="8"/>
        <v>-1.1948385790911829</v>
      </c>
      <c r="F94" s="362">
        <f t="shared" si="9"/>
        <v>-1.0190626922686491E-2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607</v>
      </c>
      <c r="C95" s="379">
        <f>IF(C86=0,0,C93/C86)</f>
        <v>4.7674418604651159</v>
      </c>
      <c r="D95" s="379">
        <f>IF(LN_IC4=0,0,LN_IC11/LN_IC4)</f>
        <v>3.765625</v>
      </c>
      <c r="E95" s="379">
        <f t="shared" si="8"/>
        <v>-1.0018168604651159</v>
      </c>
      <c r="F95" s="362">
        <f t="shared" si="9"/>
        <v>-0.21013719512195114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638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609</v>
      </c>
      <c r="C98" s="361">
        <v>5537635</v>
      </c>
      <c r="D98" s="361">
        <v>5736491</v>
      </c>
      <c r="E98" s="361">
        <f t="shared" ref="E98:E106" si="10">D98-C98</f>
        <v>198856</v>
      </c>
      <c r="F98" s="362">
        <f t="shared" ref="F98:F106" si="11">IF(C98=0,0,E98/C98)</f>
        <v>3.5909914611562517E-2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610</v>
      </c>
      <c r="C99" s="361">
        <v>267683</v>
      </c>
      <c r="D99" s="361">
        <v>379481</v>
      </c>
      <c r="E99" s="361">
        <f t="shared" si="10"/>
        <v>111798</v>
      </c>
      <c r="F99" s="362">
        <f t="shared" si="11"/>
        <v>0.4176507286603931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611</v>
      </c>
      <c r="C100" s="366">
        <f>IF(C98=0,0,C99/C98)</f>
        <v>4.8338866682256953E-2</v>
      </c>
      <c r="D100" s="366">
        <f>IF(LN_IC14=0,0,LN_IC15/LN_IC14)</f>
        <v>6.6152112850869985E-2</v>
      </c>
      <c r="E100" s="367">
        <f t="shared" si="10"/>
        <v>1.7813246168613031E-2</v>
      </c>
      <c r="F100" s="362">
        <f t="shared" si="11"/>
        <v>0.36850773282923244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612</v>
      </c>
      <c r="C101" s="366">
        <f>IF(C83=0,0,C98/C83)</f>
        <v>6.1144340187221333</v>
      </c>
      <c r="D101" s="366">
        <f>IF(LN_IC1=0,0,LN_IC14/LN_IC1)</f>
        <v>7.3644081504798784</v>
      </c>
      <c r="E101" s="367">
        <f t="shared" si="10"/>
        <v>1.2499741317577451</v>
      </c>
      <c r="F101" s="362">
        <f t="shared" si="11"/>
        <v>0.20443006301652422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613</v>
      </c>
      <c r="C102" s="376">
        <f>C101*C86</f>
        <v>262.92066280505173</v>
      </c>
      <c r="D102" s="376">
        <f>LN_IC17*LN_IC4</f>
        <v>471.32212163071222</v>
      </c>
      <c r="E102" s="376">
        <f t="shared" si="10"/>
        <v>208.40145882566048</v>
      </c>
      <c r="F102" s="362">
        <f t="shared" si="11"/>
        <v>0.79264009379203604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614</v>
      </c>
      <c r="C103" s="378">
        <f>IF(C102=0,0,C99/C102)</f>
        <v>1018.1132100616961</v>
      </c>
      <c r="D103" s="378">
        <f>IF(LN_IC18=0,0,LN_IC15/LN_IC18)</f>
        <v>805.14150001499172</v>
      </c>
      <c r="E103" s="378">
        <f t="shared" si="10"/>
        <v>-212.9717100467044</v>
      </c>
      <c r="F103" s="362">
        <f t="shared" si="11"/>
        <v>-0.20918273915117813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639</v>
      </c>
      <c r="C104" s="378">
        <f>C61-C103</f>
        <v>5592.6313931511595</v>
      </c>
      <c r="D104" s="378">
        <f>LN_IB18-LN_IC19</f>
        <v>5223.0802308825496</v>
      </c>
      <c r="E104" s="378">
        <f t="shared" si="10"/>
        <v>-369.55116226860991</v>
      </c>
      <c r="F104" s="362">
        <f t="shared" si="11"/>
        <v>-6.6078226203351992E-2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640</v>
      </c>
      <c r="C105" s="378">
        <f>C32-C103</f>
        <v>4624.9969454093034</v>
      </c>
      <c r="D105" s="378">
        <f>LN_IA16-LN_IC19</f>
        <v>4893.0632467699006</v>
      </c>
      <c r="E105" s="378">
        <f t="shared" si="10"/>
        <v>268.06630136059721</v>
      </c>
      <c r="F105" s="362">
        <f t="shared" si="11"/>
        <v>5.796031965527576E-2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625</v>
      </c>
      <c r="C106" s="361">
        <f>C105*C102</f>
        <v>1216007.2623583537</v>
      </c>
      <c r="D106" s="361">
        <f>LN_IC21*LN_IC18</f>
        <v>2306208.9507408505</v>
      </c>
      <c r="E106" s="361">
        <f t="shared" si="10"/>
        <v>1090201.6883824968</v>
      </c>
      <c r="F106" s="362">
        <f t="shared" si="11"/>
        <v>0.89654208665508583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616</v>
      </c>
      <c r="C109" s="361">
        <f>C83+C98</f>
        <v>6443301</v>
      </c>
      <c r="D109" s="361">
        <f>LN_IC1+LN_IC14</f>
        <v>6515439</v>
      </c>
      <c r="E109" s="361">
        <f>D109-C109</f>
        <v>72138</v>
      </c>
      <c r="F109" s="362">
        <f>IF(C109=0,0,E109/C109)</f>
        <v>1.1195814071079405E-2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617</v>
      </c>
      <c r="C110" s="361">
        <f>C84+C99</f>
        <v>291719</v>
      </c>
      <c r="D110" s="361">
        <f>LN_IC2+LN_IC15</f>
        <v>407450</v>
      </c>
      <c r="E110" s="361">
        <f>D110-C110</f>
        <v>115731</v>
      </c>
      <c r="F110" s="362">
        <f>IF(C110=0,0,E110/C110)</f>
        <v>0.39672081695055861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618</v>
      </c>
      <c r="C111" s="361">
        <f>C109-C110</f>
        <v>6151582</v>
      </c>
      <c r="D111" s="361">
        <f>LN_IC23-LN_IC24</f>
        <v>6107989</v>
      </c>
      <c r="E111" s="361">
        <f>D111-C111</f>
        <v>-43593</v>
      </c>
      <c r="F111" s="362">
        <f>IF(C111=0,0,E111/C111)</f>
        <v>-7.0864697893972643E-3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627</v>
      </c>
      <c r="C113" s="361">
        <f>C92+C106</f>
        <v>1451187.6359890332</v>
      </c>
      <c r="D113" s="361">
        <f>LN_IC10+LN_IC22</f>
        <v>2675046.433652699</v>
      </c>
      <c r="E113" s="361">
        <f>D113-C113</f>
        <v>1223858.7976636658</v>
      </c>
      <c r="F113" s="362">
        <f>IF(C113=0,0,E113/C113)</f>
        <v>0.84334979661645537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600</v>
      </c>
      <c r="C118" s="361">
        <v>13394264</v>
      </c>
      <c r="D118" s="361">
        <v>17535373</v>
      </c>
      <c r="E118" s="361">
        <f t="shared" ref="E118:E130" si="12">D118-C118</f>
        <v>4141109</v>
      </c>
      <c r="F118" s="362">
        <f t="shared" ref="F118:F130" si="13">IF(C118=0,0,E118/C118)</f>
        <v>0.30917032843312631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601</v>
      </c>
      <c r="C119" s="361">
        <v>3598923</v>
      </c>
      <c r="D119" s="361">
        <v>4882557</v>
      </c>
      <c r="E119" s="361">
        <f t="shared" si="12"/>
        <v>1283634</v>
      </c>
      <c r="F119" s="362">
        <f t="shared" si="13"/>
        <v>0.35667170428486522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602</v>
      </c>
      <c r="C120" s="366">
        <f>IF(C118=0,0,C119/C118)</f>
        <v>0.26869135922660625</v>
      </c>
      <c r="D120" s="366">
        <f>IF(LN_ID1=0,0,LN_1D2/LN_ID1)</f>
        <v>0.27844044150073111</v>
      </c>
      <c r="E120" s="367">
        <f t="shared" si="12"/>
        <v>9.749082274124854E-3</v>
      </c>
      <c r="F120" s="362">
        <f t="shared" si="13"/>
        <v>3.6283571984548894E-2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1084</v>
      </c>
      <c r="D121" s="369">
        <v>1325</v>
      </c>
      <c r="E121" s="369">
        <f t="shared" si="12"/>
        <v>241</v>
      </c>
      <c r="F121" s="362">
        <f t="shared" si="13"/>
        <v>0.22232472324723246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603</v>
      </c>
      <c r="C122" s="372">
        <v>0.80289999999999995</v>
      </c>
      <c r="D122" s="372">
        <v>0.83899999999999997</v>
      </c>
      <c r="E122" s="373">
        <f t="shared" si="12"/>
        <v>3.6100000000000021E-2</v>
      </c>
      <c r="F122" s="362">
        <f t="shared" si="13"/>
        <v>4.4962012703948215E-2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604</v>
      </c>
      <c r="C123" s="376">
        <f>C121*C122</f>
        <v>870.34359999999992</v>
      </c>
      <c r="D123" s="376">
        <f>LN_ID4*LN_ID5</f>
        <v>1111.675</v>
      </c>
      <c r="E123" s="376">
        <f t="shared" si="12"/>
        <v>241.33140000000003</v>
      </c>
      <c r="F123" s="362">
        <f t="shared" si="13"/>
        <v>0.27728290298222458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605</v>
      </c>
      <c r="C124" s="378">
        <f>IF(C123=0,0,C119/C123)</f>
        <v>4135.0599923984046</v>
      </c>
      <c r="D124" s="378">
        <f>IF(LN_ID6=0,0,LN_1D2/LN_ID6)</f>
        <v>4392.0723232959272</v>
      </c>
      <c r="E124" s="378">
        <f t="shared" si="12"/>
        <v>257.01233089752259</v>
      </c>
      <c r="F124" s="362">
        <f t="shared" si="13"/>
        <v>6.2154438235477956E-2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644</v>
      </c>
      <c r="C125" s="378">
        <f>C48-C124</f>
        <v>3363.1711362214037</v>
      </c>
      <c r="D125" s="378">
        <f>LN_IB7-LN_ID7</f>
        <v>3565.2316049065721</v>
      </c>
      <c r="E125" s="378">
        <f t="shared" si="12"/>
        <v>202.06046868516842</v>
      </c>
      <c r="F125" s="362">
        <f t="shared" si="13"/>
        <v>6.0080340993942931E-2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645</v>
      </c>
      <c r="C126" s="378">
        <f>C21-C124</f>
        <v>2114.4608025974594</v>
      </c>
      <c r="D126" s="378">
        <f>LN_IA7-LN_ID7</f>
        <v>2556.3769600142077</v>
      </c>
      <c r="E126" s="378">
        <f t="shared" si="12"/>
        <v>441.91615741674832</v>
      </c>
      <c r="F126" s="362">
        <f t="shared" si="13"/>
        <v>0.20899709130284508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622</v>
      </c>
      <c r="C127" s="391">
        <f>C126*C123</f>
        <v>1840307.4269915619</v>
      </c>
      <c r="D127" s="391">
        <f>LN_ID9*LN_ID6</f>
        <v>2841860.3570237942</v>
      </c>
      <c r="E127" s="391">
        <f t="shared" si="12"/>
        <v>1001552.9300322323</v>
      </c>
      <c r="F127" s="362">
        <f t="shared" si="13"/>
        <v>0.54423131447636364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3662</v>
      </c>
      <c r="D128" s="369">
        <v>4218</v>
      </c>
      <c r="E128" s="369">
        <f t="shared" si="12"/>
        <v>556</v>
      </c>
      <c r="F128" s="362">
        <f t="shared" si="13"/>
        <v>0.15182960131075915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606</v>
      </c>
      <c r="C129" s="378">
        <f>IF(C128=0,0,C119/C128)</f>
        <v>982.77525942108139</v>
      </c>
      <c r="D129" s="378">
        <f>IF(LN_ID11=0,0,LN_1D2/LN_ID11)</f>
        <v>1157.5526315789473</v>
      </c>
      <c r="E129" s="378">
        <f t="shared" si="12"/>
        <v>174.7773721578659</v>
      </c>
      <c r="F129" s="362">
        <f t="shared" si="13"/>
        <v>0.17784063088932575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607</v>
      </c>
      <c r="C130" s="379">
        <f>IF(C121=0,0,C128/C121)</f>
        <v>3.378228782287823</v>
      </c>
      <c r="D130" s="379">
        <f>IF(LN_ID4=0,0,LN_ID11/LN_ID4)</f>
        <v>3.1833962264150943</v>
      </c>
      <c r="E130" s="379">
        <f t="shared" si="12"/>
        <v>-0.19483255587272863</v>
      </c>
      <c r="F130" s="362">
        <f t="shared" si="13"/>
        <v>-5.7672990323877071E-2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609</v>
      </c>
      <c r="C133" s="361">
        <v>23673877</v>
      </c>
      <c r="D133" s="361">
        <v>31424389</v>
      </c>
      <c r="E133" s="361">
        <f t="shared" ref="E133:E141" si="14">D133-C133</f>
        <v>7750512</v>
      </c>
      <c r="F133" s="362">
        <f t="shared" ref="F133:F141" si="15">IF(C133=0,0,E133/C133)</f>
        <v>0.32738668026365092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610</v>
      </c>
      <c r="C134" s="361">
        <v>6268516</v>
      </c>
      <c r="D134" s="361">
        <v>7604701</v>
      </c>
      <c r="E134" s="361">
        <f t="shared" si="14"/>
        <v>1336185</v>
      </c>
      <c r="F134" s="362">
        <f t="shared" si="15"/>
        <v>0.21315810632053903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611</v>
      </c>
      <c r="C135" s="366">
        <f>IF(C133=0,0,C134/C133)</f>
        <v>0.26478620295273142</v>
      </c>
      <c r="D135" s="366">
        <f>IF(LN_ID14=0,0,LN_ID15/LN_ID14)</f>
        <v>0.24199996378608984</v>
      </c>
      <c r="E135" s="367">
        <f t="shared" si="14"/>
        <v>-2.2786239166641575E-2</v>
      </c>
      <c r="F135" s="362">
        <f t="shared" si="15"/>
        <v>-8.6055235932022051E-2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612</v>
      </c>
      <c r="C136" s="366">
        <f>IF(C118=0,0,C133/C118)</f>
        <v>1.7674638188406619</v>
      </c>
      <c r="D136" s="366">
        <f>IF(LN_ID1=0,0,LN_ID14/LN_ID1)</f>
        <v>1.7920570608905781</v>
      </c>
      <c r="E136" s="367">
        <f t="shared" si="14"/>
        <v>2.4593242049916197E-2</v>
      </c>
      <c r="F136" s="362">
        <f t="shared" si="15"/>
        <v>1.3914424605335185E-2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613</v>
      </c>
      <c r="C137" s="376">
        <f>C136*C121</f>
        <v>1915.9307796232777</v>
      </c>
      <c r="D137" s="376">
        <f>LN_ID17*LN_ID4</f>
        <v>2374.4756056800161</v>
      </c>
      <c r="E137" s="376">
        <f t="shared" si="14"/>
        <v>458.54482605673843</v>
      </c>
      <c r="F137" s="362">
        <f t="shared" si="15"/>
        <v>0.23933266845209325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614</v>
      </c>
      <c r="C138" s="378">
        <f>IF(C137=0,0,C134/C137)</f>
        <v>3271.7862600613134</v>
      </c>
      <c r="D138" s="378">
        <f>IF(LN_ID18=0,0,LN_ID15/LN_ID18)</f>
        <v>3202.6865139438319</v>
      </c>
      <c r="E138" s="378">
        <f t="shared" si="14"/>
        <v>-69.099746117481573</v>
      </c>
      <c r="F138" s="362">
        <f t="shared" si="15"/>
        <v>-2.1119883948710831E-2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647</v>
      </c>
      <c r="C139" s="378">
        <f>C61-C138</f>
        <v>3338.9583431515421</v>
      </c>
      <c r="D139" s="378">
        <f>LN_IB18-LN_ID19</f>
        <v>2825.5352169537096</v>
      </c>
      <c r="E139" s="378">
        <f t="shared" si="14"/>
        <v>-513.42312619783252</v>
      </c>
      <c r="F139" s="362">
        <f t="shared" si="15"/>
        <v>-0.15376745482641388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648</v>
      </c>
      <c r="C140" s="378">
        <f>C32-C138</f>
        <v>2371.323895409686</v>
      </c>
      <c r="D140" s="378">
        <f>LN_IA16-LN_ID19</f>
        <v>2495.5182328410606</v>
      </c>
      <c r="E140" s="378">
        <f t="shared" si="14"/>
        <v>124.19433743137461</v>
      </c>
      <c r="F140" s="362">
        <f t="shared" si="15"/>
        <v>5.237341793408528E-2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625</v>
      </c>
      <c r="C141" s="353">
        <f>C140*C137</f>
        <v>4543292.4396715872</v>
      </c>
      <c r="D141" s="353">
        <f>LN_ID21*LN_ID18</f>
        <v>5925547.1674108012</v>
      </c>
      <c r="E141" s="353">
        <f t="shared" si="14"/>
        <v>1382254.727739214</v>
      </c>
      <c r="F141" s="362">
        <f t="shared" si="15"/>
        <v>0.30424075625629998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649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616</v>
      </c>
      <c r="C144" s="361">
        <f>C118+C133</f>
        <v>37068141</v>
      </c>
      <c r="D144" s="361">
        <f>LN_ID1+LN_ID14</f>
        <v>48959762</v>
      </c>
      <c r="E144" s="361">
        <f>D144-C144</f>
        <v>11891621</v>
      </c>
      <c r="F144" s="362">
        <f>IF(C144=0,0,E144/C144)</f>
        <v>0.32080435325850304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617</v>
      </c>
      <c r="C145" s="361">
        <f>C119+C134</f>
        <v>9867439</v>
      </c>
      <c r="D145" s="361">
        <f>LN_1D2+LN_ID15</f>
        <v>12487258</v>
      </c>
      <c r="E145" s="361">
        <f>D145-C145</f>
        <v>2619819</v>
      </c>
      <c r="F145" s="362">
        <f>IF(C145=0,0,E145/C145)</f>
        <v>0.26550141328464255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618</v>
      </c>
      <c r="C146" s="361">
        <f>C144-C145</f>
        <v>27200702</v>
      </c>
      <c r="D146" s="361">
        <f>LN_ID23-LN_ID24</f>
        <v>36472504</v>
      </c>
      <c r="E146" s="361">
        <f>D146-C146</f>
        <v>9271802</v>
      </c>
      <c r="F146" s="362">
        <f>IF(C146=0,0,E146/C146)</f>
        <v>0.3408662761718429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627</v>
      </c>
      <c r="C148" s="361">
        <f>C127+C141</f>
        <v>6383599.8666631486</v>
      </c>
      <c r="D148" s="361">
        <f>LN_ID10+LN_ID22</f>
        <v>8767407.5244345963</v>
      </c>
      <c r="E148" s="361">
        <f>D148-C148</f>
        <v>2383807.6577714477</v>
      </c>
      <c r="F148" s="415">
        <f>IF(C148=0,0,E148/C148)</f>
        <v>0.37342686063710279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600</v>
      </c>
      <c r="C153" s="361">
        <v>6259298</v>
      </c>
      <c r="D153" s="361">
        <v>4917718</v>
      </c>
      <c r="E153" s="361">
        <f t="shared" ref="E153:E165" si="16">D153-C153</f>
        <v>-1341580</v>
      </c>
      <c r="F153" s="362">
        <f t="shared" ref="F153:F165" si="17">IF(C153=0,0,E153/C153)</f>
        <v>-0.21433393968461001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601</v>
      </c>
      <c r="C154" s="361">
        <v>955724</v>
      </c>
      <c r="D154" s="361">
        <v>977565</v>
      </c>
      <c r="E154" s="361">
        <f t="shared" si="16"/>
        <v>21841</v>
      </c>
      <c r="F154" s="362">
        <f t="shared" si="17"/>
        <v>2.2852831989151681E-2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602</v>
      </c>
      <c r="C155" s="366">
        <f>IF(C153=0,0,C154/C153)</f>
        <v>0.15268868809249855</v>
      </c>
      <c r="D155" s="366">
        <f>IF(LN_IE1=0,0,LN_IE2/LN_IE1)</f>
        <v>0.19878427351873368</v>
      </c>
      <c r="E155" s="367">
        <f t="shared" si="16"/>
        <v>4.6095585426235125E-2</v>
      </c>
      <c r="F155" s="362">
        <f t="shared" si="17"/>
        <v>0.30189260253719974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423</v>
      </c>
      <c r="D156" s="419">
        <v>360</v>
      </c>
      <c r="E156" s="419">
        <f t="shared" si="16"/>
        <v>-63</v>
      </c>
      <c r="F156" s="362">
        <f t="shared" si="17"/>
        <v>-0.14893617021276595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603</v>
      </c>
      <c r="C157" s="372">
        <v>0.89659999999999995</v>
      </c>
      <c r="D157" s="372">
        <v>0.91120000000000001</v>
      </c>
      <c r="E157" s="373">
        <f t="shared" si="16"/>
        <v>1.4600000000000057E-2</v>
      </c>
      <c r="F157" s="362">
        <f t="shared" si="17"/>
        <v>1.6283738567923329E-2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604</v>
      </c>
      <c r="C158" s="376">
        <f>C156*C157</f>
        <v>379.26179999999999</v>
      </c>
      <c r="D158" s="376">
        <f>LN_IE4*LN_IE5</f>
        <v>328.03199999999998</v>
      </c>
      <c r="E158" s="376">
        <f t="shared" si="16"/>
        <v>-51.229800000000012</v>
      </c>
      <c r="F158" s="362">
        <f t="shared" si="17"/>
        <v>-0.13507766930389511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605</v>
      </c>
      <c r="C159" s="378">
        <f>IF(C158=0,0,C154/C158)</f>
        <v>2519.9585088717081</v>
      </c>
      <c r="D159" s="378">
        <f>IF(LN_IE6=0,0,LN_IE2/LN_IE6)</f>
        <v>2980.090357038338</v>
      </c>
      <c r="E159" s="378">
        <f t="shared" si="16"/>
        <v>460.13184816662988</v>
      </c>
      <c r="F159" s="362">
        <f t="shared" si="17"/>
        <v>0.18259500961888867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652</v>
      </c>
      <c r="C160" s="378">
        <f>C48-C159</f>
        <v>4978.2726197481006</v>
      </c>
      <c r="D160" s="378">
        <f>LN_IB7-LN_IE7</f>
        <v>4977.2135711641613</v>
      </c>
      <c r="E160" s="378">
        <f t="shared" si="16"/>
        <v>-1.0590485839393295</v>
      </c>
      <c r="F160" s="362">
        <f t="shared" si="17"/>
        <v>-2.1273414793280588E-4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653</v>
      </c>
      <c r="C161" s="378">
        <f>C21-C159</f>
        <v>3729.5622861241559</v>
      </c>
      <c r="D161" s="378">
        <f>LN_IA7-LN_IE7</f>
        <v>3968.3589262717969</v>
      </c>
      <c r="E161" s="378">
        <f t="shared" si="16"/>
        <v>238.79664014764103</v>
      </c>
      <c r="F161" s="362">
        <f t="shared" si="17"/>
        <v>6.4028060621506289E-2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622</v>
      </c>
      <c r="C162" s="391">
        <f>C161*C158</f>
        <v>1414480.5058475623</v>
      </c>
      <c r="D162" s="391">
        <f>LN_IE9*LN_IE6</f>
        <v>1301748.71530279</v>
      </c>
      <c r="E162" s="391">
        <f t="shared" si="16"/>
        <v>-112731.79054477229</v>
      </c>
      <c r="F162" s="362">
        <f t="shared" si="17"/>
        <v>-7.9698369881190376E-2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1708</v>
      </c>
      <c r="D163" s="369">
        <v>1292</v>
      </c>
      <c r="E163" s="419">
        <f t="shared" si="16"/>
        <v>-416</v>
      </c>
      <c r="F163" s="362">
        <f t="shared" si="17"/>
        <v>-0.24355971896955503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606</v>
      </c>
      <c r="C164" s="378">
        <f>IF(C163=0,0,C154/C163)</f>
        <v>559.55737704918033</v>
      </c>
      <c r="D164" s="378">
        <f>IF(LN_IE11=0,0,LN_IE2/LN_IE11)</f>
        <v>756.62925696594425</v>
      </c>
      <c r="E164" s="378">
        <f t="shared" si="16"/>
        <v>197.07187991676392</v>
      </c>
      <c r="F164" s="362">
        <f t="shared" si="17"/>
        <v>0.35219244352745432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607</v>
      </c>
      <c r="C165" s="379">
        <f>IF(C156=0,0,C163/C156)</f>
        <v>4.0378250591016549</v>
      </c>
      <c r="D165" s="379">
        <f>IF(LN_IE4=0,0,LN_IE11/LN_IE4)</f>
        <v>3.588888888888889</v>
      </c>
      <c r="E165" s="379">
        <f t="shared" si="16"/>
        <v>-0.44893617021276588</v>
      </c>
      <c r="F165" s="362">
        <f t="shared" si="17"/>
        <v>-0.11118266978922714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609</v>
      </c>
      <c r="C168" s="424">
        <v>7258401</v>
      </c>
      <c r="D168" s="424">
        <v>7396165</v>
      </c>
      <c r="E168" s="424">
        <f t="shared" ref="E168:E176" si="18">D168-C168</f>
        <v>137764</v>
      </c>
      <c r="F168" s="362">
        <f t="shared" ref="F168:F176" si="19">IF(C168=0,0,E168/C168)</f>
        <v>1.8979937867858225E-2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610</v>
      </c>
      <c r="C169" s="424">
        <v>870976</v>
      </c>
      <c r="D169" s="424">
        <v>1056115</v>
      </c>
      <c r="E169" s="424">
        <f t="shared" si="18"/>
        <v>185139</v>
      </c>
      <c r="F169" s="362">
        <f t="shared" si="19"/>
        <v>0.21256498456903519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611</v>
      </c>
      <c r="C170" s="366">
        <f>IF(C168=0,0,C169/C168)</f>
        <v>0.11999557478293084</v>
      </c>
      <c r="D170" s="366">
        <f>IF(LN_IE14=0,0,LN_IE15/LN_IE14)</f>
        <v>0.14279224435906987</v>
      </c>
      <c r="E170" s="367">
        <f t="shared" si="18"/>
        <v>2.2796669576139031E-2</v>
      </c>
      <c r="F170" s="362">
        <f t="shared" si="19"/>
        <v>0.189979252296409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612</v>
      </c>
      <c r="C171" s="366">
        <f>IF(C153=0,0,C168/C153)</f>
        <v>1.1596190179793324</v>
      </c>
      <c r="D171" s="366">
        <f>IF(LN_IE1=0,0,LN_IE14/LN_IE1)</f>
        <v>1.5039831482813777</v>
      </c>
      <c r="E171" s="367">
        <f t="shared" si="18"/>
        <v>0.34436413030204527</v>
      </c>
      <c r="F171" s="362">
        <f t="shared" si="19"/>
        <v>0.29696316200652617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613</v>
      </c>
      <c r="C172" s="376">
        <f>C171*C156</f>
        <v>490.51884460525764</v>
      </c>
      <c r="D172" s="376">
        <f>LN_IE17*LN_IE4</f>
        <v>541.43393338129601</v>
      </c>
      <c r="E172" s="376">
        <f t="shared" si="18"/>
        <v>50.915088776038374</v>
      </c>
      <c r="F172" s="362">
        <f t="shared" si="19"/>
        <v>0.10379843575023506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614</v>
      </c>
      <c r="C173" s="378">
        <f>IF(C172=0,0,C169/C172)</f>
        <v>1775.6218942024809</v>
      </c>
      <c r="D173" s="378">
        <f>IF(LN_IE18=0,0,LN_IE15/LN_IE18)</f>
        <v>1950.5888620694341</v>
      </c>
      <c r="E173" s="378">
        <f t="shared" si="18"/>
        <v>174.96696786695315</v>
      </c>
      <c r="F173" s="362">
        <f t="shared" si="19"/>
        <v>9.8538415435308321E-2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655</v>
      </c>
      <c r="C174" s="378">
        <f>C61-C173</f>
        <v>4835.1227090103748</v>
      </c>
      <c r="D174" s="378">
        <f>LN_IB18-LN_IE19</f>
        <v>4077.6328688281073</v>
      </c>
      <c r="E174" s="378">
        <f t="shared" si="18"/>
        <v>-757.48984018226747</v>
      </c>
      <c r="F174" s="362">
        <f t="shared" si="19"/>
        <v>-0.15666403642055782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656</v>
      </c>
      <c r="C175" s="378">
        <f>C32-C173</f>
        <v>3867.4882612685187</v>
      </c>
      <c r="D175" s="378">
        <f>LN_IA16-LN_IE19</f>
        <v>3747.6158847154584</v>
      </c>
      <c r="E175" s="378">
        <f t="shared" si="18"/>
        <v>-119.87237655306035</v>
      </c>
      <c r="F175" s="362">
        <f t="shared" si="19"/>
        <v>-3.099489085811543E-2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625</v>
      </c>
      <c r="C176" s="353">
        <f>C175*C172</f>
        <v>1897075.8734418305</v>
      </c>
      <c r="D176" s="353">
        <f>LN_IE21*LN_IE18</f>
        <v>2029086.4092637163</v>
      </c>
      <c r="E176" s="353">
        <f t="shared" si="18"/>
        <v>132010.5358218858</v>
      </c>
      <c r="F176" s="362">
        <f t="shared" si="19"/>
        <v>6.95863237047981E-2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616</v>
      </c>
      <c r="C179" s="361">
        <f>C153+C168</f>
        <v>13517699</v>
      </c>
      <c r="D179" s="361">
        <f>LN_IE1+LN_IE14</f>
        <v>12313883</v>
      </c>
      <c r="E179" s="361">
        <f>D179-C179</f>
        <v>-1203816</v>
      </c>
      <c r="F179" s="362">
        <f>IF(C179=0,0,E179/C179)</f>
        <v>-8.9054801412577683E-2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617</v>
      </c>
      <c r="C180" s="361">
        <f>C154+C169</f>
        <v>1826700</v>
      </c>
      <c r="D180" s="361">
        <f>LN_IE15+LN_IE2</f>
        <v>2033680</v>
      </c>
      <c r="E180" s="361">
        <f>D180-C180</f>
        <v>206980</v>
      </c>
      <c r="F180" s="362">
        <f>IF(C180=0,0,E180/C180)</f>
        <v>0.11330815131110746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618</v>
      </c>
      <c r="C181" s="361">
        <f>C179-C180</f>
        <v>11690999</v>
      </c>
      <c r="D181" s="361">
        <f>LN_IE23-LN_IE24</f>
        <v>10280203</v>
      </c>
      <c r="E181" s="361">
        <f>D181-C181</f>
        <v>-1410796</v>
      </c>
      <c r="F181" s="362">
        <f>IF(C181=0,0,E181/C181)</f>
        <v>-0.12067369093094611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658</v>
      </c>
      <c r="C183" s="361">
        <f>C162+C176</f>
        <v>3311556.3792893928</v>
      </c>
      <c r="D183" s="361">
        <f>LN_IE10+LN_IE22</f>
        <v>3330835.1245665066</v>
      </c>
      <c r="E183" s="353">
        <f>D183-C183</f>
        <v>19278.745277113747</v>
      </c>
      <c r="F183" s="362">
        <f>IF(C183=0,0,E183/C183)</f>
        <v>5.821656970022856E-3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659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600</v>
      </c>
      <c r="C188" s="361">
        <f>C118+C153</f>
        <v>19653562</v>
      </c>
      <c r="D188" s="361">
        <f>LN_ID1+LN_IE1</f>
        <v>22453091</v>
      </c>
      <c r="E188" s="361">
        <f t="shared" ref="E188:E200" si="20">D188-C188</f>
        <v>2799529</v>
      </c>
      <c r="F188" s="362">
        <f t="shared" ref="F188:F200" si="21">IF(C188=0,0,E188/C188)</f>
        <v>0.14244384809226948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601</v>
      </c>
      <c r="C189" s="361">
        <f>C119+C154</f>
        <v>4554647</v>
      </c>
      <c r="D189" s="361">
        <f>LN_1D2+LN_IE2</f>
        <v>5860122</v>
      </c>
      <c r="E189" s="361">
        <f t="shared" si="20"/>
        <v>1305475</v>
      </c>
      <c r="F189" s="362">
        <f t="shared" si="21"/>
        <v>0.28662484710670222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602</v>
      </c>
      <c r="C190" s="366">
        <f>IF(C188=0,0,C189/C188)</f>
        <v>0.23174664216084595</v>
      </c>
      <c r="D190" s="366">
        <f>IF(LN_IF1=0,0,LN_IF2/LN_IF1)</f>
        <v>0.26099399855458655</v>
      </c>
      <c r="E190" s="367">
        <f t="shared" si="20"/>
        <v>2.9247356393740598E-2</v>
      </c>
      <c r="F190" s="362">
        <f t="shared" si="21"/>
        <v>0.12620401366351272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1507</v>
      </c>
      <c r="D191" s="369">
        <f>LN_ID4+LN_IE4</f>
        <v>1685</v>
      </c>
      <c r="E191" s="369">
        <f t="shared" si="20"/>
        <v>178</v>
      </c>
      <c r="F191" s="362">
        <f t="shared" si="21"/>
        <v>0.11811546118115461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603</v>
      </c>
      <c r="C192" s="372">
        <f>IF((C121+C156)=0,0,(C123+C158)/(C121+C156))</f>
        <v>0.82920066357000655</v>
      </c>
      <c r="D192" s="372">
        <f>IF((LN_ID4+LN_IE4)=0,0,(LN_ID6+LN_IE6)/(LN_ID4+LN_IE4))</f>
        <v>0.85442551928783372</v>
      </c>
      <c r="E192" s="373">
        <f t="shared" si="20"/>
        <v>2.5224855717827177E-2</v>
      </c>
      <c r="F192" s="362">
        <f t="shared" si="21"/>
        <v>3.042068925659697E-2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604</v>
      </c>
      <c r="C193" s="376">
        <f>C123+C158</f>
        <v>1249.6053999999999</v>
      </c>
      <c r="D193" s="376">
        <f>LN_IF4*LN_IF5</f>
        <v>1439.7069999999999</v>
      </c>
      <c r="E193" s="376">
        <f t="shared" si="20"/>
        <v>190.10159999999996</v>
      </c>
      <c r="F193" s="362">
        <f t="shared" si="21"/>
        <v>0.15212930417874312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605</v>
      </c>
      <c r="C194" s="378">
        <f>IF(C193=0,0,C189/C193)</f>
        <v>3644.8682119971636</v>
      </c>
      <c r="D194" s="378">
        <f>IF(LN_IF6=0,0,LN_IF2/LN_IF6)</f>
        <v>4070.3573713262494</v>
      </c>
      <c r="E194" s="378">
        <f t="shared" si="20"/>
        <v>425.48915932908585</v>
      </c>
      <c r="F194" s="362">
        <f t="shared" si="21"/>
        <v>0.11673650035646803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661</v>
      </c>
      <c r="C195" s="378">
        <f>C48-C194</f>
        <v>3853.3629166226447</v>
      </c>
      <c r="D195" s="378">
        <f>LN_IB7-LN_IF7</f>
        <v>3886.9465568762498</v>
      </c>
      <c r="E195" s="378">
        <f t="shared" si="20"/>
        <v>33.583640253605154</v>
      </c>
      <c r="F195" s="362">
        <f t="shared" si="21"/>
        <v>8.7154106634316688E-3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662</v>
      </c>
      <c r="C196" s="378">
        <f>C21-C194</f>
        <v>2604.6525829987004</v>
      </c>
      <c r="D196" s="378">
        <f>LN_IA7-LN_IF7</f>
        <v>2878.0919119838854</v>
      </c>
      <c r="E196" s="378">
        <f t="shared" si="20"/>
        <v>273.43932898518506</v>
      </c>
      <c r="F196" s="362">
        <f t="shared" si="21"/>
        <v>0.10498111370783206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622</v>
      </c>
      <c r="C197" s="391">
        <f>C127+C162</f>
        <v>3254787.9328391245</v>
      </c>
      <c r="D197" s="391">
        <f>LN_IF9*LN_IF6</f>
        <v>4143609.0723265833</v>
      </c>
      <c r="E197" s="391">
        <f t="shared" si="20"/>
        <v>888821.13948745886</v>
      </c>
      <c r="F197" s="362">
        <f t="shared" si="21"/>
        <v>0.273081121666857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5370</v>
      </c>
      <c r="D198" s="369">
        <f>LN_ID11+LN_IE11</f>
        <v>5510</v>
      </c>
      <c r="E198" s="369">
        <f t="shared" si="20"/>
        <v>140</v>
      </c>
      <c r="F198" s="362">
        <f t="shared" si="21"/>
        <v>2.6070763500931099E-2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606</v>
      </c>
      <c r="C199" s="432">
        <f>IF(C198=0,0,C189/C198)</f>
        <v>848.1651769087523</v>
      </c>
      <c r="D199" s="432">
        <f>IF(LN_IF11=0,0,LN_IF2/LN_IF11)</f>
        <v>1063.5430127041743</v>
      </c>
      <c r="E199" s="432">
        <f t="shared" si="20"/>
        <v>215.37783579542202</v>
      </c>
      <c r="F199" s="362">
        <f t="shared" si="21"/>
        <v>0.25393383465753028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607</v>
      </c>
      <c r="C200" s="379">
        <f>IF(C191=0,0,C198/C191)</f>
        <v>3.5633709356337095</v>
      </c>
      <c r="D200" s="379">
        <f>IF(LN_IF4=0,0,LN_IF11/LN_IF4)</f>
        <v>3.2700296735905043</v>
      </c>
      <c r="E200" s="379">
        <f t="shared" si="20"/>
        <v>-0.29334126204320521</v>
      </c>
      <c r="F200" s="362">
        <f t="shared" si="21"/>
        <v>-8.2321281545458147E-2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609</v>
      </c>
      <c r="C203" s="361">
        <f>C133+C168</f>
        <v>30932278</v>
      </c>
      <c r="D203" s="361">
        <f>LN_ID14+LN_IE14</f>
        <v>38820554</v>
      </c>
      <c r="E203" s="361">
        <f t="shared" ref="E203:E211" si="22">D203-C203</f>
        <v>7888276</v>
      </c>
      <c r="F203" s="362">
        <f t="shared" ref="F203:F211" si="23">IF(C203=0,0,E203/C203)</f>
        <v>0.25501762269173966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610</v>
      </c>
      <c r="C204" s="361">
        <f>C134+C169</f>
        <v>7139492</v>
      </c>
      <c r="D204" s="361">
        <f>LN_ID15+LN_IE15</f>
        <v>8660816</v>
      </c>
      <c r="E204" s="361">
        <f t="shared" si="22"/>
        <v>1521324</v>
      </c>
      <c r="F204" s="362">
        <f t="shared" si="23"/>
        <v>0.2130857489580491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611</v>
      </c>
      <c r="C205" s="366">
        <f>IF(C203=0,0,C204/C203)</f>
        <v>0.23081041751920114</v>
      </c>
      <c r="D205" s="366">
        <f>IF(LN_IF14=0,0,LN_IF15/LN_IF14)</f>
        <v>0.22309872239329712</v>
      </c>
      <c r="E205" s="367">
        <f t="shared" si="22"/>
        <v>-7.7116951259040278E-3</v>
      </c>
      <c r="F205" s="362">
        <f t="shared" si="23"/>
        <v>-3.3411382418484167E-2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612</v>
      </c>
      <c r="C206" s="366">
        <f>IF(C188=0,0,C203/C188)</f>
        <v>1.5738764301351582</v>
      </c>
      <c r="D206" s="366">
        <f>IF(LN_IF1=0,0,LN_IF14/LN_IF1)</f>
        <v>1.7289625735717189</v>
      </c>
      <c r="E206" s="367">
        <f t="shared" si="22"/>
        <v>0.15508614343656069</v>
      </c>
      <c r="F206" s="362">
        <f t="shared" si="23"/>
        <v>9.8537687246032721E-2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613</v>
      </c>
      <c r="C207" s="376">
        <f>C137+C172</f>
        <v>2406.4496242285354</v>
      </c>
      <c r="D207" s="376">
        <f>LN_ID18+LN_IE18</f>
        <v>2915.909539061312</v>
      </c>
      <c r="E207" s="376">
        <f t="shared" si="22"/>
        <v>509.45991483277658</v>
      </c>
      <c r="F207" s="362">
        <f t="shared" si="23"/>
        <v>0.21170603768449975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614</v>
      </c>
      <c r="C208" s="378">
        <f>IF(C207=0,0,C204/C207)</f>
        <v>2966.8154812460671</v>
      </c>
      <c r="D208" s="378">
        <f>IF(LN_IF18=0,0,LN_IF15/LN_IF18)</f>
        <v>2970.1936510650758</v>
      </c>
      <c r="E208" s="378">
        <f t="shared" si="22"/>
        <v>3.37816981900869</v>
      </c>
      <c r="F208" s="362">
        <f t="shared" si="23"/>
        <v>1.1386518104556517E-3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664</v>
      </c>
      <c r="C209" s="378">
        <f>C61-C208</f>
        <v>3643.9291219667884</v>
      </c>
      <c r="D209" s="378">
        <f>LN_IB18-LN_IF19</f>
        <v>3058.0280798324657</v>
      </c>
      <c r="E209" s="378">
        <f t="shared" si="22"/>
        <v>-585.90104213432278</v>
      </c>
      <c r="F209" s="362">
        <f t="shared" si="23"/>
        <v>-0.16078826522786105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665</v>
      </c>
      <c r="C210" s="378">
        <f>C32-C208</f>
        <v>2676.2946742249324</v>
      </c>
      <c r="D210" s="378">
        <f>LN_IA16-LN_IF19</f>
        <v>2728.0110957198167</v>
      </c>
      <c r="E210" s="378">
        <f t="shared" si="22"/>
        <v>51.716421494884344</v>
      </c>
      <c r="F210" s="362">
        <f t="shared" si="23"/>
        <v>1.9323889104200256E-2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625</v>
      </c>
      <c r="C211" s="391">
        <f>C141+C176</f>
        <v>6440368.3131134175</v>
      </c>
      <c r="D211" s="353">
        <f>LN_IF21*LN_IF18</f>
        <v>7954633.5766745154</v>
      </c>
      <c r="E211" s="353">
        <f t="shared" si="22"/>
        <v>1514265.2635610979</v>
      </c>
      <c r="F211" s="362">
        <f t="shared" si="23"/>
        <v>0.23512091078360522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616</v>
      </c>
      <c r="C214" s="361">
        <f>C188+C203</f>
        <v>50585840</v>
      </c>
      <c r="D214" s="361">
        <f>LN_IF1+LN_IF14</f>
        <v>61273645</v>
      </c>
      <c r="E214" s="361">
        <f>D214-C214</f>
        <v>10687805</v>
      </c>
      <c r="F214" s="362">
        <f>IF(C214=0,0,E214/C214)</f>
        <v>0.21128056784270063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617</v>
      </c>
      <c r="C215" s="361">
        <f>C189+C204</f>
        <v>11694139</v>
      </c>
      <c r="D215" s="361">
        <f>LN_IF2+LN_IF15</f>
        <v>14520938</v>
      </c>
      <c r="E215" s="361">
        <f>D215-C215</f>
        <v>2826799</v>
      </c>
      <c r="F215" s="362">
        <f>IF(C215=0,0,E215/C215)</f>
        <v>0.24172784332390782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618</v>
      </c>
      <c r="C216" s="361">
        <f>C214-C215</f>
        <v>38891701</v>
      </c>
      <c r="D216" s="361">
        <f>LN_IF23-LN_IF24</f>
        <v>46752707</v>
      </c>
      <c r="E216" s="361">
        <f>D216-C216</f>
        <v>7861006</v>
      </c>
      <c r="F216" s="362">
        <f>IF(C216=0,0,E216/C216)</f>
        <v>0.20212553829928909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667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668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600</v>
      </c>
      <c r="C221" s="361">
        <v>200630</v>
      </c>
      <c r="D221" s="361">
        <v>622433</v>
      </c>
      <c r="E221" s="361">
        <f t="shared" ref="E221:E230" si="24">D221-C221</f>
        <v>421803</v>
      </c>
      <c r="F221" s="362">
        <f t="shared" ref="F221:F230" si="25">IF(C221=0,0,E221/C221)</f>
        <v>2.1023924637392213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601</v>
      </c>
      <c r="C222" s="361">
        <v>74488</v>
      </c>
      <c r="D222" s="361">
        <v>162772</v>
      </c>
      <c r="E222" s="361">
        <f t="shared" si="24"/>
        <v>88284</v>
      </c>
      <c r="F222" s="362">
        <f t="shared" si="25"/>
        <v>1.1852110407045431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602</v>
      </c>
      <c r="C223" s="366">
        <f>IF(C221=0,0,C222/C221)</f>
        <v>0.37127049793151573</v>
      </c>
      <c r="D223" s="366">
        <f>IF(LN_IG1=0,0,LN_IG2/LN_IG1)</f>
        <v>0.26150927087734743</v>
      </c>
      <c r="E223" s="367">
        <f t="shared" si="24"/>
        <v>-0.1097612270541683</v>
      </c>
      <c r="F223" s="362">
        <f t="shared" si="25"/>
        <v>-0.29563681376702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11</v>
      </c>
      <c r="D224" s="369">
        <v>20</v>
      </c>
      <c r="E224" s="369">
        <f t="shared" si="24"/>
        <v>9</v>
      </c>
      <c r="F224" s="362">
        <f t="shared" si="25"/>
        <v>0.81818181818181823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603</v>
      </c>
      <c r="C225" s="372">
        <v>1.054</v>
      </c>
      <c r="D225" s="372">
        <v>1.5094000000000001</v>
      </c>
      <c r="E225" s="373">
        <f t="shared" si="24"/>
        <v>0.45540000000000003</v>
      </c>
      <c r="F225" s="362">
        <f t="shared" si="25"/>
        <v>0.43206831119544592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604</v>
      </c>
      <c r="C226" s="376">
        <f>C224*C225</f>
        <v>11.594000000000001</v>
      </c>
      <c r="D226" s="376">
        <f>LN_IG3*LN_IG4</f>
        <v>30.188000000000002</v>
      </c>
      <c r="E226" s="376">
        <f t="shared" si="24"/>
        <v>18.594000000000001</v>
      </c>
      <c r="F226" s="362">
        <f t="shared" si="25"/>
        <v>1.6037605658099017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605</v>
      </c>
      <c r="C227" s="378">
        <f>IF(C226=0,0,C222/C226)</f>
        <v>6424.7024322925645</v>
      </c>
      <c r="D227" s="378">
        <f>IF(LN_IG5=0,0,LN_IG2/LN_IG5)</f>
        <v>5391.943818735921</v>
      </c>
      <c r="E227" s="378">
        <f t="shared" si="24"/>
        <v>-1032.7586135566435</v>
      </c>
      <c r="F227" s="362">
        <f t="shared" si="25"/>
        <v>-0.16074808513553493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45</v>
      </c>
      <c r="D228" s="369">
        <v>145</v>
      </c>
      <c r="E228" s="369">
        <f t="shared" si="24"/>
        <v>100</v>
      </c>
      <c r="F228" s="362">
        <f t="shared" si="25"/>
        <v>2.2222222222222223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606</v>
      </c>
      <c r="C229" s="378">
        <f>IF(C228=0,0,C222/C228)</f>
        <v>1655.2888888888888</v>
      </c>
      <c r="D229" s="378">
        <f>IF(LN_IG6=0,0,LN_IG2/LN_IG6)</f>
        <v>1122.5655172413792</v>
      </c>
      <c r="E229" s="378">
        <f t="shared" si="24"/>
        <v>-532.72337164750957</v>
      </c>
      <c r="F229" s="362">
        <f t="shared" si="25"/>
        <v>-0.32183105633307285</v>
      </c>
      <c r="Q229" s="330"/>
      <c r="U229" s="375"/>
    </row>
    <row r="230" spans="1:21" ht="11.25" customHeight="1" x14ac:dyDescent="0.2">
      <c r="A230" s="364">
        <v>10</v>
      </c>
      <c r="B230" s="360" t="s">
        <v>607</v>
      </c>
      <c r="C230" s="379">
        <f>IF(C224=0,0,C228/C224)</f>
        <v>4.0909090909090908</v>
      </c>
      <c r="D230" s="379">
        <f>IF(LN_IG3=0,0,LN_IG6/LN_IG3)</f>
        <v>7.25</v>
      </c>
      <c r="E230" s="379">
        <f t="shared" si="24"/>
        <v>3.1590909090909092</v>
      </c>
      <c r="F230" s="362">
        <f t="shared" si="25"/>
        <v>0.77222222222222225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669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609</v>
      </c>
      <c r="C233" s="361">
        <v>426014</v>
      </c>
      <c r="D233" s="361">
        <v>636350</v>
      </c>
      <c r="E233" s="361">
        <f>D233-C233</f>
        <v>210336</v>
      </c>
      <c r="F233" s="362">
        <f>IF(C233=0,0,E233/C233)</f>
        <v>0.4937302529963804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610</v>
      </c>
      <c r="C234" s="361">
        <v>96511</v>
      </c>
      <c r="D234" s="361">
        <v>126904</v>
      </c>
      <c r="E234" s="361">
        <f>D234-C234</f>
        <v>30393</v>
      </c>
      <c r="F234" s="362">
        <f>IF(C234=0,0,E234/C234)</f>
        <v>0.31491747054739871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616</v>
      </c>
      <c r="C237" s="361">
        <f>C221+C233</f>
        <v>626644</v>
      </c>
      <c r="D237" s="361">
        <f>LN_IG1+LN_IG9</f>
        <v>1258783</v>
      </c>
      <c r="E237" s="361">
        <f>D237-C237</f>
        <v>632139</v>
      </c>
      <c r="F237" s="362">
        <f>IF(C237=0,0,E237/C237)</f>
        <v>1.0087689341954922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617</v>
      </c>
      <c r="C238" s="361">
        <f>C222+C234</f>
        <v>170999</v>
      </c>
      <c r="D238" s="361">
        <f>LN_IG2+LN_IG10</f>
        <v>289676</v>
      </c>
      <c r="E238" s="361">
        <f>D238-C238</f>
        <v>118677</v>
      </c>
      <c r="F238" s="362">
        <f>IF(C238=0,0,E238/C238)</f>
        <v>0.69402160246551148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618</v>
      </c>
      <c r="C239" s="361">
        <f>C237-C238</f>
        <v>455645</v>
      </c>
      <c r="D239" s="361">
        <f>LN_IG13-LN_IG14</f>
        <v>969107</v>
      </c>
      <c r="E239" s="361">
        <f>D239-C239</f>
        <v>513462</v>
      </c>
      <c r="F239" s="362">
        <f>IF(C239=0,0,E239/C239)</f>
        <v>1.1268904519966201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672</v>
      </c>
      <c r="C243" s="361">
        <v>4093007</v>
      </c>
      <c r="D243" s="361">
        <v>4183082</v>
      </c>
      <c r="E243" s="353">
        <f>D243-C243</f>
        <v>90075</v>
      </c>
      <c r="F243" s="415">
        <f>IF(C243=0,0,E243/C243)</f>
        <v>2.2007047630263031E-2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673</v>
      </c>
      <c r="C244" s="361">
        <v>129657399</v>
      </c>
      <c r="D244" s="361">
        <v>130987633</v>
      </c>
      <c r="E244" s="353">
        <f>D244-C244</f>
        <v>1330234</v>
      </c>
      <c r="F244" s="415">
        <f>IF(C244=0,0,E244/C244)</f>
        <v>1.0259607320982893E-2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674</v>
      </c>
      <c r="C245" s="400">
        <v>624350</v>
      </c>
      <c r="D245" s="400">
        <v>624004</v>
      </c>
      <c r="E245" s="400">
        <f>D245-C245</f>
        <v>-346</v>
      </c>
      <c r="F245" s="401">
        <f>IF(C245=0,0,E245/C245)</f>
        <v>-5.5417634339713297E-4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676</v>
      </c>
      <c r="C248" s="353">
        <v>558883</v>
      </c>
      <c r="D248" s="353">
        <v>259103</v>
      </c>
      <c r="E248" s="353">
        <f>D248-C248</f>
        <v>-299780</v>
      </c>
      <c r="F248" s="362">
        <f>IF(C248=0,0,E248/C248)</f>
        <v>-0.53639133772184877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677</v>
      </c>
      <c r="C249" s="353">
        <v>9166346</v>
      </c>
      <c r="D249" s="353">
        <v>10944348</v>
      </c>
      <c r="E249" s="353">
        <f>D249-C249</f>
        <v>1778002</v>
      </c>
      <c r="F249" s="362">
        <f>IF(C249=0,0,E249/C249)</f>
        <v>0.19397063999111533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678</v>
      </c>
      <c r="C250" s="353">
        <f>C248+C249</f>
        <v>9725229</v>
      </c>
      <c r="D250" s="353">
        <f>LN_IH4+LN_IH5</f>
        <v>11203451</v>
      </c>
      <c r="E250" s="353">
        <f>D250-C250</f>
        <v>1478222</v>
      </c>
      <c r="F250" s="362">
        <f>IF(C250=0,0,E250/C250)</f>
        <v>0.15199868301301697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679</v>
      </c>
      <c r="C251" s="353">
        <f>C250*C313</f>
        <v>3224774.1910382924</v>
      </c>
      <c r="D251" s="353">
        <f>LN_IH6*LN_III10</f>
        <v>3704252.074368834</v>
      </c>
      <c r="E251" s="353">
        <f>D251-C251</f>
        <v>479477.88333054166</v>
      </c>
      <c r="F251" s="362">
        <f>IF(C251=0,0,E251/C251)</f>
        <v>0.14868572337964614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616</v>
      </c>
      <c r="C254" s="353">
        <f>C188+C203</f>
        <v>50585840</v>
      </c>
      <c r="D254" s="353">
        <f>LN_IF23</f>
        <v>61273645</v>
      </c>
      <c r="E254" s="353">
        <f>D254-C254</f>
        <v>10687805</v>
      </c>
      <c r="F254" s="362">
        <f>IF(C254=0,0,E254/C254)</f>
        <v>0.21128056784270063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617</v>
      </c>
      <c r="C255" s="353">
        <f>C189+C204</f>
        <v>11694139</v>
      </c>
      <c r="D255" s="353">
        <f>LN_IF24</f>
        <v>14520938</v>
      </c>
      <c r="E255" s="353">
        <f>D255-C255</f>
        <v>2826799</v>
      </c>
      <c r="F255" s="362">
        <f>IF(C255=0,0,E255/C255)</f>
        <v>0.24172784332390782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681</v>
      </c>
      <c r="C256" s="353">
        <f>C254*C313</f>
        <v>16773683.299796075</v>
      </c>
      <c r="D256" s="353">
        <f>LN_IH8*LN_III10</f>
        <v>20259206.435176942</v>
      </c>
      <c r="E256" s="353">
        <f>D256-C256</f>
        <v>3485523.1353808679</v>
      </c>
      <c r="F256" s="362">
        <f>IF(C256=0,0,E256/C256)</f>
        <v>0.20779712321283919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682</v>
      </c>
      <c r="C257" s="353">
        <f>C256-C255</f>
        <v>5079544.2997960746</v>
      </c>
      <c r="D257" s="353">
        <f>LN_IH10-LN_IH9</f>
        <v>5738268.4351769425</v>
      </c>
      <c r="E257" s="353">
        <f>D257-C257</f>
        <v>658724.13538086787</v>
      </c>
      <c r="F257" s="362">
        <f>IF(C257=0,0,E257/C257)</f>
        <v>0.12968173845974987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685</v>
      </c>
      <c r="C261" s="361">
        <f>C15+C42+C188+C221</f>
        <v>152310534</v>
      </c>
      <c r="D261" s="361">
        <f>LN_IA1+LN_IB1+LN_IF1+LN_IG1</f>
        <v>146231302</v>
      </c>
      <c r="E261" s="361">
        <f t="shared" ref="E261:E274" si="26">D261-C261</f>
        <v>-6079232</v>
      </c>
      <c r="F261" s="415">
        <f t="shared" ref="F261:F274" si="27">IF(C261=0,0,E261/C261)</f>
        <v>-3.9913404807575555E-2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686</v>
      </c>
      <c r="C262" s="361">
        <f>C16+C43+C189+C222</f>
        <v>53436115</v>
      </c>
      <c r="D262" s="361">
        <f>+LN_IA2+LN_IB2+LN_IF2+LN_IG2</f>
        <v>55389119</v>
      </c>
      <c r="E262" s="361">
        <f t="shared" si="26"/>
        <v>1953004</v>
      </c>
      <c r="F262" s="415">
        <f t="shared" si="27"/>
        <v>3.6548390540741965E-2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687</v>
      </c>
      <c r="C263" s="366">
        <f>IF(C261=0,0,C262/C261)</f>
        <v>0.35083663353186062</v>
      </c>
      <c r="D263" s="366">
        <f>IF(LN_IIA1=0,0,LN_IIA2/LN_IIA1)</f>
        <v>0.37877744533793456</v>
      </c>
      <c r="E263" s="367">
        <f t="shared" si="26"/>
        <v>2.794081180607394E-2</v>
      </c>
      <c r="F263" s="371">
        <f t="shared" si="27"/>
        <v>7.9640519648118621E-2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688</v>
      </c>
      <c r="C264" s="369">
        <f>C18+C45+C191+C224</f>
        <v>7846</v>
      </c>
      <c r="D264" s="369">
        <f>LN_IA4+LN_IB4+LN_IF4+LN_IG3</f>
        <v>7617</v>
      </c>
      <c r="E264" s="369">
        <f t="shared" si="26"/>
        <v>-229</v>
      </c>
      <c r="F264" s="415">
        <f t="shared" si="27"/>
        <v>-2.9186846800917664E-2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689</v>
      </c>
      <c r="C265" s="439">
        <f>IF(C264=0,0,C266/C264)</f>
        <v>1.089638172317104</v>
      </c>
      <c r="D265" s="439">
        <f>IF(LN_IIA4=0,0,LN_IIA6/LN_IIA4)</f>
        <v>1.0808632269922542</v>
      </c>
      <c r="E265" s="439">
        <f t="shared" si="26"/>
        <v>-8.7749453248497922E-3</v>
      </c>
      <c r="F265" s="415">
        <f t="shared" si="27"/>
        <v>-8.0530817915363262E-3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690</v>
      </c>
      <c r="C266" s="376">
        <f>C20+C47+C193+C226</f>
        <v>8549.3010999999988</v>
      </c>
      <c r="D266" s="376">
        <f>LN_IA6+LN_IB6+LN_IF6+LN_IG5</f>
        <v>8232.9351999999999</v>
      </c>
      <c r="E266" s="376">
        <f t="shared" si="26"/>
        <v>-316.36589999999887</v>
      </c>
      <c r="F266" s="415">
        <f t="shared" si="27"/>
        <v>-3.7004884527929299E-2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691</v>
      </c>
      <c r="C267" s="361">
        <f>C27+C56+C203+C233</f>
        <v>206781547</v>
      </c>
      <c r="D267" s="361">
        <f>LN_IA11+LN_IB13+LN_IF14+LN_IG9</f>
        <v>215529941</v>
      </c>
      <c r="E267" s="361">
        <f t="shared" si="26"/>
        <v>8748394</v>
      </c>
      <c r="F267" s="415">
        <f t="shared" si="27"/>
        <v>4.2307421174288824E-2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612</v>
      </c>
      <c r="C268" s="366">
        <f>IF(C261=0,0,C267/C261)</f>
        <v>1.3576312916084976</v>
      </c>
      <c r="D268" s="366">
        <f>IF(LN_IIA1=0,0,LN_IIA7/LN_IIA1)</f>
        <v>1.4738974354478496</v>
      </c>
      <c r="E268" s="367">
        <f t="shared" si="26"/>
        <v>0.11626614383935197</v>
      </c>
      <c r="F268" s="371">
        <f t="shared" si="27"/>
        <v>8.5638968811334551E-2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692</v>
      </c>
      <c r="C269" s="361">
        <f>C28+C57+C204+C234</f>
        <v>65010343</v>
      </c>
      <c r="D269" s="361">
        <f>LN_IA12+LN_IB14+LN_IF15+LN_IG10</f>
        <v>63597779</v>
      </c>
      <c r="E269" s="361">
        <f t="shared" si="26"/>
        <v>-1412564</v>
      </c>
      <c r="F269" s="415">
        <f t="shared" si="27"/>
        <v>-2.1728296372778712E-2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611</v>
      </c>
      <c r="C270" s="366">
        <f>IF(C267=0,0,C269/C267)</f>
        <v>0.31439141423968553</v>
      </c>
      <c r="D270" s="366">
        <f>IF(LN_IIA7=0,0,LN_IIA9/LN_IIA7)</f>
        <v>0.29507630682272584</v>
      </c>
      <c r="E270" s="367">
        <f t="shared" si="26"/>
        <v>-1.9315107416959687E-2</v>
      </c>
      <c r="F270" s="371">
        <f t="shared" si="27"/>
        <v>-6.143649776082704E-2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693</v>
      </c>
      <c r="C271" s="353">
        <f>C261+C267</f>
        <v>359092081</v>
      </c>
      <c r="D271" s="353">
        <f>LN_IIA1+LN_IIA7</f>
        <v>361761243</v>
      </c>
      <c r="E271" s="353">
        <f t="shared" si="26"/>
        <v>2669162</v>
      </c>
      <c r="F271" s="415">
        <f t="shared" si="27"/>
        <v>7.4330851088860407E-3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694</v>
      </c>
      <c r="C272" s="353">
        <f>C262+C269</f>
        <v>118446458</v>
      </c>
      <c r="D272" s="353">
        <f>LN_IIA2+LN_IIA9</f>
        <v>118986898</v>
      </c>
      <c r="E272" s="353">
        <f t="shared" si="26"/>
        <v>540440</v>
      </c>
      <c r="F272" s="415">
        <f t="shared" si="27"/>
        <v>4.5627366923880492E-3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695</v>
      </c>
      <c r="C273" s="366">
        <f>IF(C271=0,0,C272/C271)</f>
        <v>0.32984981921670392</v>
      </c>
      <c r="D273" s="366">
        <f>IF(LN_IIA11=0,0,LN_IIA12/LN_IIA11)</f>
        <v>0.32891002091122296</v>
      </c>
      <c r="E273" s="367">
        <f t="shared" si="26"/>
        <v>-9.3979830548096555E-4</v>
      </c>
      <c r="F273" s="371">
        <f t="shared" si="27"/>
        <v>-2.8491702912334755E-3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33658</v>
      </c>
      <c r="D274" s="421">
        <f>LN_IA8+LN_IB10+LN_IF11+LN_IG6</f>
        <v>30673</v>
      </c>
      <c r="E274" s="442">
        <f t="shared" si="26"/>
        <v>-2985</v>
      </c>
      <c r="F274" s="371">
        <f t="shared" si="27"/>
        <v>-8.8686196446610022E-2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697</v>
      </c>
      <c r="C277" s="361">
        <f>C15+C188+C221</f>
        <v>106545543</v>
      </c>
      <c r="D277" s="361">
        <f>LN_IA1+LN_IF1+LN_IG1</f>
        <v>105989882</v>
      </c>
      <c r="E277" s="361">
        <f t="shared" ref="E277:E291" si="28">D277-C277</f>
        <v>-555661</v>
      </c>
      <c r="F277" s="415">
        <f t="shared" ref="F277:F291" si="29">IF(C277=0,0,E277/C277)</f>
        <v>-5.2152439637949003E-3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698</v>
      </c>
      <c r="C278" s="361">
        <f>C16+C189+C222</f>
        <v>33861511</v>
      </c>
      <c r="D278" s="361">
        <f>LN_IA2+LN_IF2+LN_IG2</f>
        <v>36667569</v>
      </c>
      <c r="E278" s="361">
        <f t="shared" si="28"/>
        <v>2806058</v>
      </c>
      <c r="F278" s="415">
        <f t="shared" si="29"/>
        <v>8.2868658755363866E-2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699</v>
      </c>
      <c r="C279" s="366">
        <f>IF(C277=0,0,C278/C277)</f>
        <v>0.3178125527034012</v>
      </c>
      <c r="D279" s="366">
        <f>IF(D277=0,0,LN_IIB2/D277)</f>
        <v>0.34595348450336044</v>
      </c>
      <c r="E279" s="367">
        <f t="shared" si="28"/>
        <v>2.8140931799959246E-2</v>
      </c>
      <c r="F279" s="371">
        <f t="shared" si="29"/>
        <v>8.8545690094946602E-2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700</v>
      </c>
      <c r="C280" s="369">
        <f>C18+C191+C224</f>
        <v>5115</v>
      </c>
      <c r="D280" s="369">
        <f>LN_IA4+LN_IF4+LN_IG3</f>
        <v>5131</v>
      </c>
      <c r="E280" s="369">
        <f t="shared" si="28"/>
        <v>16</v>
      </c>
      <c r="F280" s="415">
        <f t="shared" si="29"/>
        <v>3.1280547409579668E-3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701</v>
      </c>
      <c r="C281" s="439">
        <f>IF(C280=0,0,C282/C280)</f>
        <v>1.1610436363636365</v>
      </c>
      <c r="D281" s="439">
        <f>IF(LN_IIB4=0,0,LN_IIB6/LN_IIB4)</f>
        <v>1.146011459754434</v>
      </c>
      <c r="E281" s="439">
        <f t="shared" si="28"/>
        <v>-1.503217660920253E-2</v>
      </c>
      <c r="F281" s="415">
        <f t="shared" si="29"/>
        <v>-1.2947124585500491E-2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702</v>
      </c>
      <c r="C282" s="376">
        <f>C20+C193+C226</f>
        <v>5938.7382000000007</v>
      </c>
      <c r="D282" s="376">
        <f>LN_IA6+LN_IF6+LN_IG5</f>
        <v>5880.1848000000009</v>
      </c>
      <c r="E282" s="376">
        <f t="shared" si="28"/>
        <v>-58.553399999999783</v>
      </c>
      <c r="F282" s="415">
        <f t="shared" si="29"/>
        <v>-9.8595691589839357E-3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703</v>
      </c>
      <c r="C283" s="361">
        <f>C27+C203+C233</f>
        <v>102633169</v>
      </c>
      <c r="D283" s="361">
        <f>LN_IA11+LN_IF14+LN_IG9</f>
        <v>118025925</v>
      </c>
      <c r="E283" s="361">
        <f t="shared" si="28"/>
        <v>15392756</v>
      </c>
      <c r="F283" s="415">
        <f t="shared" si="29"/>
        <v>0.14997837589912089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704</v>
      </c>
      <c r="C284" s="366">
        <f>IF(C277=0,0,C283/C277)</f>
        <v>0.96327979669689234</v>
      </c>
      <c r="D284" s="366">
        <f>IF(D277=0,0,LN_IIB7/D277)</f>
        <v>1.1135584149437963</v>
      </c>
      <c r="E284" s="367">
        <f t="shared" si="28"/>
        <v>0.15027861824690392</v>
      </c>
      <c r="F284" s="371">
        <f t="shared" si="29"/>
        <v>0.15600723565698421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705</v>
      </c>
      <c r="C285" s="361">
        <f>C28+C204+C234</f>
        <v>23924594</v>
      </c>
      <c r="D285" s="361">
        <f>LN_IA12+LN_IF15+LN_IG10</f>
        <v>27286667</v>
      </c>
      <c r="E285" s="361">
        <f t="shared" si="28"/>
        <v>3362073</v>
      </c>
      <c r="F285" s="415">
        <f t="shared" si="29"/>
        <v>0.14052790195729131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706</v>
      </c>
      <c r="C286" s="366">
        <f>IF(C283=0,0,C285/C283)</f>
        <v>0.23310781722037638</v>
      </c>
      <c r="D286" s="366">
        <f>IF(LN_IIB7=0,0,LN_IIB9/LN_IIB7)</f>
        <v>0.23119214697957249</v>
      </c>
      <c r="E286" s="367">
        <f t="shared" si="28"/>
        <v>-1.915670240803885E-3</v>
      </c>
      <c r="F286" s="371">
        <f t="shared" si="29"/>
        <v>-8.2179579545924933E-3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707</v>
      </c>
      <c r="C287" s="353">
        <f>C277+C283</f>
        <v>209178712</v>
      </c>
      <c r="D287" s="353">
        <f>D277+LN_IIB7</f>
        <v>224015807</v>
      </c>
      <c r="E287" s="353">
        <f t="shared" si="28"/>
        <v>14837095</v>
      </c>
      <c r="F287" s="415">
        <f t="shared" si="29"/>
        <v>7.0930234047908283E-2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708</v>
      </c>
      <c r="C288" s="353">
        <f>C278+C285</f>
        <v>57786105</v>
      </c>
      <c r="D288" s="353">
        <f>LN_IIB2+LN_IIB9</f>
        <v>63954236</v>
      </c>
      <c r="E288" s="353">
        <f t="shared" si="28"/>
        <v>6168131</v>
      </c>
      <c r="F288" s="415">
        <f t="shared" si="29"/>
        <v>0.10674072945390592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709</v>
      </c>
      <c r="C289" s="366">
        <f>IF(C287=0,0,C288/C287)</f>
        <v>0.27625232246386527</v>
      </c>
      <c r="D289" s="366">
        <f>IF(LN_IIB11=0,0,LN_IIB12/LN_IIB11)</f>
        <v>0.28548983599179678</v>
      </c>
      <c r="E289" s="367">
        <f t="shared" si="28"/>
        <v>9.2375135279315068E-3</v>
      </c>
      <c r="F289" s="371">
        <f t="shared" si="29"/>
        <v>3.3438681874393306E-2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24726</v>
      </c>
      <c r="D290" s="421">
        <f>LN_IA8+LN_IF11+LN_IG6</f>
        <v>22812</v>
      </c>
      <c r="E290" s="442">
        <f t="shared" si="28"/>
        <v>-1914</v>
      </c>
      <c r="F290" s="371">
        <f t="shared" si="29"/>
        <v>-7.7408396020383408E-2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710</v>
      </c>
      <c r="C291" s="361">
        <f>C287-C288</f>
        <v>151392607</v>
      </c>
      <c r="D291" s="429">
        <f>LN_IIB11-LN_IIB12</f>
        <v>160061571</v>
      </c>
      <c r="E291" s="353">
        <f t="shared" si="28"/>
        <v>8668964</v>
      </c>
      <c r="F291" s="415">
        <f t="shared" si="29"/>
        <v>5.7261475126060814E-2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598</v>
      </c>
      <c r="C294" s="379">
        <f>IF(C18=0,0,C22/C18)</f>
        <v>5.3686405337781489</v>
      </c>
      <c r="D294" s="379">
        <f>IF(LN_IA4=0,0,LN_IA8/LN_IA4)</f>
        <v>5.0078809106830127</v>
      </c>
      <c r="E294" s="379">
        <f t="shared" ref="E294:E300" si="30">D294-C294</f>
        <v>-0.36075962309513621</v>
      </c>
      <c r="F294" s="415">
        <f t="shared" ref="F294:F300" si="31">IF(C294=0,0,E294/C294)</f>
        <v>-6.7197574660722112E-2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619</v>
      </c>
      <c r="C295" s="379">
        <f>IF(C45=0,0,C51/C45)</f>
        <v>3.2705968509703407</v>
      </c>
      <c r="D295" s="379">
        <f>IF(LN_IB4=0,0,(LN_IB10)/(LN_IB4))</f>
        <v>3.162107803700724</v>
      </c>
      <c r="E295" s="379">
        <f t="shared" si="30"/>
        <v>-0.10848904726961672</v>
      </c>
      <c r="F295" s="415">
        <f t="shared" si="31"/>
        <v>-3.3171024193162028E-2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634</v>
      </c>
      <c r="C296" s="379">
        <f>IF(C86=0,0,C93/C86)</f>
        <v>4.7674418604651159</v>
      </c>
      <c r="D296" s="379">
        <f>IF(LN_IC4=0,0,LN_IC11/LN_IC4)</f>
        <v>3.765625</v>
      </c>
      <c r="E296" s="379">
        <f t="shared" si="30"/>
        <v>-1.0018168604651159</v>
      </c>
      <c r="F296" s="415">
        <f t="shared" si="31"/>
        <v>-0.21013719512195114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3.378228782287823</v>
      </c>
      <c r="D297" s="379">
        <f>IF(LN_ID4=0,0,LN_ID11/LN_ID4)</f>
        <v>3.1833962264150943</v>
      </c>
      <c r="E297" s="379">
        <f t="shared" si="30"/>
        <v>-0.19483255587272863</v>
      </c>
      <c r="F297" s="415">
        <f t="shared" si="31"/>
        <v>-5.7672990323877071E-2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711</v>
      </c>
      <c r="C298" s="379">
        <f>IF(C156=0,0,C163/C156)</f>
        <v>4.0378250591016549</v>
      </c>
      <c r="D298" s="379">
        <f>IF(LN_IE4=0,0,LN_IE11/LN_IE4)</f>
        <v>3.588888888888889</v>
      </c>
      <c r="E298" s="379">
        <f t="shared" si="30"/>
        <v>-0.44893617021276588</v>
      </c>
      <c r="F298" s="415">
        <f t="shared" si="31"/>
        <v>-0.11118266978922714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4.0909090909090908</v>
      </c>
      <c r="D299" s="379">
        <f>IF(LN_IG3=0,0,LN_IG6/LN_IG3)</f>
        <v>7.25</v>
      </c>
      <c r="E299" s="379">
        <f t="shared" si="30"/>
        <v>3.1590909090909092</v>
      </c>
      <c r="F299" s="415">
        <f t="shared" si="31"/>
        <v>0.77222222222222225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712</v>
      </c>
      <c r="C300" s="379">
        <f>IF(C264=0,0,C274/C264)</f>
        <v>4.289829212337497</v>
      </c>
      <c r="D300" s="379">
        <f>IF(LN_IIA4=0,0,LN_IIA14/LN_IIA4)</f>
        <v>4.0269134829985562</v>
      </c>
      <c r="E300" s="379">
        <f t="shared" si="30"/>
        <v>-0.26291572933894081</v>
      </c>
      <c r="F300" s="415">
        <f t="shared" si="31"/>
        <v>-6.1288157715649459E-2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707</v>
      </c>
      <c r="C304" s="353">
        <f>C35+C66+C214+C221+C233</f>
        <v>359092081</v>
      </c>
      <c r="D304" s="353">
        <f>LN_IIA11</f>
        <v>361761243</v>
      </c>
      <c r="E304" s="353">
        <f t="shared" ref="E304:E316" si="32">D304-C304</f>
        <v>2669162</v>
      </c>
      <c r="F304" s="362">
        <f>IF(C304=0,0,E304/C304)</f>
        <v>7.4330851088860407E-3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710</v>
      </c>
      <c r="C305" s="353">
        <f>C291</f>
        <v>151392607</v>
      </c>
      <c r="D305" s="353">
        <f>LN_IIB14</f>
        <v>160061571</v>
      </c>
      <c r="E305" s="353">
        <f t="shared" si="32"/>
        <v>8668964</v>
      </c>
      <c r="F305" s="362">
        <f>IF(C305=0,0,E305/C305)</f>
        <v>5.7261475126060814E-2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714</v>
      </c>
      <c r="C306" s="353">
        <f>C250</f>
        <v>9725229</v>
      </c>
      <c r="D306" s="353">
        <f>LN_IH6</f>
        <v>11203451</v>
      </c>
      <c r="E306" s="353">
        <f t="shared" si="32"/>
        <v>1478222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715</v>
      </c>
      <c r="C307" s="353">
        <f>C73-C74</f>
        <v>75988601</v>
      </c>
      <c r="D307" s="353">
        <f>LN_IB32-LN_IB33</f>
        <v>68559188</v>
      </c>
      <c r="E307" s="353">
        <f t="shared" si="32"/>
        <v>-7429413</v>
      </c>
      <c r="F307" s="362">
        <f t="shared" ref="F307:F316" si="33">IF(C307=0,0,E307/C307)</f>
        <v>-9.7770098438843475E-2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716</v>
      </c>
      <c r="C308" s="353">
        <v>3539186</v>
      </c>
      <c r="D308" s="353">
        <v>2950139</v>
      </c>
      <c r="E308" s="353">
        <f t="shared" si="32"/>
        <v>-589047</v>
      </c>
      <c r="F308" s="362">
        <f t="shared" si="33"/>
        <v>-0.16643572844151169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717</v>
      </c>
      <c r="C309" s="353">
        <f>C305+C307+C308+C306</f>
        <v>240645623</v>
      </c>
      <c r="D309" s="353">
        <f>LN_III2+LN_III3+LN_III4+LN_III5</f>
        <v>242774349</v>
      </c>
      <c r="E309" s="353">
        <f t="shared" si="32"/>
        <v>2128726</v>
      </c>
      <c r="F309" s="362">
        <f t="shared" si="33"/>
        <v>8.8458953604155094E-3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718</v>
      </c>
      <c r="C310" s="353">
        <f>C304-C309</f>
        <v>118446458</v>
      </c>
      <c r="D310" s="353">
        <f>LN_III1-LN_III6</f>
        <v>118986894</v>
      </c>
      <c r="E310" s="353">
        <f t="shared" si="32"/>
        <v>540436</v>
      </c>
      <c r="F310" s="362">
        <f t="shared" si="33"/>
        <v>4.5627029218552068E-3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719</v>
      </c>
      <c r="C311" s="353">
        <f>C245</f>
        <v>624350</v>
      </c>
      <c r="D311" s="353">
        <f>LN_IH3</f>
        <v>624004</v>
      </c>
      <c r="E311" s="353">
        <f t="shared" si="32"/>
        <v>-346</v>
      </c>
      <c r="F311" s="362">
        <f t="shared" si="33"/>
        <v>-5.5417634339713297E-4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720</v>
      </c>
      <c r="C312" s="353">
        <f>C310+C311</f>
        <v>119070808</v>
      </c>
      <c r="D312" s="353">
        <f>LN_III7+LN_III8</f>
        <v>119610898</v>
      </c>
      <c r="E312" s="353">
        <f t="shared" si="32"/>
        <v>540090</v>
      </c>
      <c r="F312" s="362">
        <f t="shared" si="33"/>
        <v>4.5358724701019919E-3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721</v>
      </c>
      <c r="C313" s="448">
        <f>IF(C304=0,0,C312/C304)</f>
        <v>0.33158850974494197</v>
      </c>
      <c r="D313" s="448">
        <f>IF(LN_III1=0,0,LN_III9/LN_III1)</f>
        <v>0.33063491547103069</v>
      </c>
      <c r="E313" s="448">
        <f t="shared" si="32"/>
        <v>-9.535942739112846E-4</v>
      </c>
      <c r="F313" s="362">
        <f t="shared" si="33"/>
        <v>-2.8758363027862146E-3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679</v>
      </c>
      <c r="C314" s="353">
        <f>C306*C313</f>
        <v>3224774.1910382924</v>
      </c>
      <c r="D314" s="353">
        <f>D313*LN_III5</f>
        <v>3704252.074368834</v>
      </c>
      <c r="E314" s="353">
        <f t="shared" si="32"/>
        <v>479477.88333054166</v>
      </c>
      <c r="F314" s="362">
        <f t="shared" si="33"/>
        <v>0.14868572337964614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682</v>
      </c>
      <c r="C315" s="353">
        <f>(C214*C313)-C215</f>
        <v>5079544.2997960746</v>
      </c>
      <c r="D315" s="353">
        <f>D313*LN_IH8-LN_IH9</f>
        <v>5738268.4351769425</v>
      </c>
      <c r="E315" s="353">
        <f t="shared" si="32"/>
        <v>658724.13538086787</v>
      </c>
      <c r="F315" s="362">
        <f t="shared" si="33"/>
        <v>0.12968173845974987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724</v>
      </c>
      <c r="C318" s="353">
        <f>C314+C315+C316</f>
        <v>8304318.4908343665</v>
      </c>
      <c r="D318" s="353">
        <f>D314+D315+D316</f>
        <v>9442520.509545777</v>
      </c>
      <c r="E318" s="353">
        <f>D318-C318</f>
        <v>1138202.0187114105</v>
      </c>
      <c r="F318" s="362">
        <f>IF(C318=0,0,E318/C318)</f>
        <v>0.1370614602471793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4543292.4396715872</v>
      </c>
      <c r="D322" s="353">
        <f>LN_ID22</f>
        <v>5925547.1674108012</v>
      </c>
      <c r="E322" s="353">
        <f>LN_IV2-C322</f>
        <v>1382254.727739214</v>
      </c>
      <c r="F322" s="362">
        <f>IF(C322=0,0,E322/C322)</f>
        <v>0.30424075625629998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711</v>
      </c>
      <c r="C323" s="353">
        <f>C162+C176</f>
        <v>3311556.3792893928</v>
      </c>
      <c r="D323" s="353">
        <f>LN_IE10+LN_IE22</f>
        <v>3330835.1245665066</v>
      </c>
      <c r="E323" s="353">
        <f>LN_IV3-C323</f>
        <v>19278.745277113747</v>
      </c>
      <c r="F323" s="362">
        <f>IF(C323=0,0,E323/C323)</f>
        <v>5.821656970022856E-3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726</v>
      </c>
      <c r="C324" s="353">
        <f>C92+C106</f>
        <v>1451187.6359890332</v>
      </c>
      <c r="D324" s="353">
        <f>LN_IC10+LN_IC22</f>
        <v>2675046.433652699</v>
      </c>
      <c r="E324" s="353">
        <f>LN_IV1-C324</f>
        <v>1223858.7976636658</v>
      </c>
      <c r="F324" s="362">
        <f>IF(C324=0,0,E324/C324)</f>
        <v>0.84334979661645537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727</v>
      </c>
      <c r="C325" s="429">
        <f>C324+C322+C323</f>
        <v>9306036.4549500123</v>
      </c>
      <c r="D325" s="429">
        <f>LN_IV1+LN_IV2+LN_IV3</f>
        <v>11931428.725630008</v>
      </c>
      <c r="E325" s="353">
        <f>LN_IV4-C325</f>
        <v>2625392.2706799954</v>
      </c>
      <c r="F325" s="362">
        <f>IF(C325=0,0,E325/C325)</f>
        <v>0.28211712724201848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728</v>
      </c>
      <c r="B327" s="446" t="s">
        <v>729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730</v>
      </c>
      <c r="C329" s="431">
        <v>5032151</v>
      </c>
      <c r="D329" s="431">
        <v>4371872</v>
      </c>
      <c r="E329" s="431">
        <f t="shared" ref="E329:E335" si="34">D329-C329</f>
        <v>-660279</v>
      </c>
      <c r="F329" s="462">
        <f t="shared" ref="F329:F335" si="35">IF(C329=0,0,E329/C329)</f>
        <v>-0.13121208008265253</v>
      </c>
    </row>
    <row r="330" spans="1:22" s="333" customFormat="1" ht="11.25" customHeight="1" x14ac:dyDescent="0.2">
      <c r="A330" s="364">
        <v>2</v>
      </c>
      <c r="B330" s="360" t="s">
        <v>731</v>
      </c>
      <c r="C330" s="429">
        <v>6543376</v>
      </c>
      <c r="D330" s="429">
        <v>8407994</v>
      </c>
      <c r="E330" s="431">
        <f t="shared" si="34"/>
        <v>1864618</v>
      </c>
      <c r="F330" s="463">
        <f t="shared" si="35"/>
        <v>0.28496268592848706</v>
      </c>
    </row>
    <row r="331" spans="1:22" s="333" customFormat="1" ht="11.25" customHeight="1" x14ac:dyDescent="0.2">
      <c r="A331" s="339">
        <v>3</v>
      </c>
      <c r="B331" s="360" t="s">
        <v>732</v>
      </c>
      <c r="C331" s="429">
        <v>125614183</v>
      </c>
      <c r="D331" s="429">
        <v>128018896</v>
      </c>
      <c r="E331" s="431">
        <f t="shared" si="34"/>
        <v>2404713</v>
      </c>
      <c r="F331" s="462">
        <f t="shared" si="35"/>
        <v>1.9143642402227781E-2</v>
      </c>
    </row>
    <row r="332" spans="1:22" s="333" customFormat="1" ht="11.25" customHeight="1" x14ac:dyDescent="0.2">
      <c r="A332" s="364">
        <v>4</v>
      </c>
      <c r="B332" s="360" t="s">
        <v>733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734</v>
      </c>
      <c r="C333" s="429">
        <v>359092081</v>
      </c>
      <c r="D333" s="429">
        <v>361761109</v>
      </c>
      <c r="E333" s="431">
        <f t="shared" si="34"/>
        <v>2669028</v>
      </c>
      <c r="F333" s="462">
        <f t="shared" si="35"/>
        <v>7.432711945546914E-3</v>
      </c>
    </row>
    <row r="334" spans="1:22" s="333" customFormat="1" ht="11.25" customHeight="1" x14ac:dyDescent="0.2">
      <c r="A334" s="339">
        <v>6</v>
      </c>
      <c r="B334" s="360" t="s">
        <v>735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736</v>
      </c>
      <c r="C335" s="429">
        <v>9725229</v>
      </c>
      <c r="D335" s="429">
        <v>11203451</v>
      </c>
      <c r="E335" s="429">
        <f t="shared" si="34"/>
        <v>1478222</v>
      </c>
      <c r="F335" s="462">
        <f t="shared" si="35"/>
        <v>0.15199868301301697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r:id="rId1"/>
  <headerFooter>
    <oddHeader>&amp;LOFFICE OF HEALTH CARE ACCESS&amp;CTWELVE MONTHS ACTUAL FILING&amp;RBRISTOL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B35" sqref="B35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7.85546875" style="330" customWidth="1"/>
    <col min="5" max="5" width="16.7109375" style="488" bestFit="1" customWidth="1"/>
    <col min="6" max="6" width="18" style="330" customWidth="1"/>
    <col min="7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589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737</v>
      </c>
      <c r="B5" s="710"/>
      <c r="C5" s="710"/>
      <c r="D5" s="710"/>
      <c r="E5" s="710"/>
    </row>
    <row r="6" spans="1:5" s="338" customFormat="1" ht="15.75" customHeight="1" x14ac:dyDescent="0.25">
      <c r="A6" s="710" t="s">
        <v>738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739</v>
      </c>
      <c r="D9" s="494" t="s">
        <v>740</v>
      </c>
      <c r="E9" s="495" t="s">
        <v>741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619</v>
      </c>
      <c r="C14" s="513">
        <v>45764991</v>
      </c>
      <c r="D14" s="513">
        <v>40241420</v>
      </c>
      <c r="E14" s="514">
        <f t="shared" ref="E14:E22" si="0">D14-C14</f>
        <v>-5523571</v>
      </c>
    </row>
    <row r="15" spans="1:5" s="506" customFormat="1" x14ac:dyDescent="0.2">
      <c r="A15" s="512">
        <v>2</v>
      </c>
      <c r="B15" s="511" t="s">
        <v>598</v>
      </c>
      <c r="C15" s="513">
        <v>86691351</v>
      </c>
      <c r="D15" s="515">
        <v>82914358</v>
      </c>
      <c r="E15" s="514">
        <f t="shared" si="0"/>
        <v>-3776993</v>
      </c>
    </row>
    <row r="16" spans="1:5" s="506" customFormat="1" x14ac:dyDescent="0.2">
      <c r="A16" s="512">
        <v>3</v>
      </c>
      <c r="B16" s="511" t="s">
        <v>744</v>
      </c>
      <c r="C16" s="513">
        <v>19653562</v>
      </c>
      <c r="D16" s="515">
        <v>22453091</v>
      </c>
      <c r="E16" s="514">
        <f t="shared" si="0"/>
        <v>2799529</v>
      </c>
    </row>
    <row r="17" spans="1:5" s="506" customFormat="1" x14ac:dyDescent="0.2">
      <c r="A17" s="512">
        <v>4</v>
      </c>
      <c r="B17" s="511" t="s">
        <v>114</v>
      </c>
      <c r="C17" s="513">
        <v>13394264</v>
      </c>
      <c r="D17" s="515">
        <v>17535373</v>
      </c>
      <c r="E17" s="514">
        <f t="shared" si="0"/>
        <v>4141109</v>
      </c>
    </row>
    <row r="18" spans="1:5" s="506" customFormat="1" x14ac:dyDescent="0.2">
      <c r="A18" s="512">
        <v>5</v>
      </c>
      <c r="B18" s="511" t="s">
        <v>711</v>
      </c>
      <c r="C18" s="513">
        <v>6259298</v>
      </c>
      <c r="D18" s="515">
        <v>4917718</v>
      </c>
      <c r="E18" s="514">
        <f t="shared" si="0"/>
        <v>-1341580</v>
      </c>
    </row>
    <row r="19" spans="1:5" s="506" customFormat="1" x14ac:dyDescent="0.2">
      <c r="A19" s="512">
        <v>6</v>
      </c>
      <c r="B19" s="511" t="s">
        <v>416</v>
      </c>
      <c r="C19" s="513">
        <v>200630</v>
      </c>
      <c r="D19" s="515">
        <v>622433</v>
      </c>
      <c r="E19" s="514">
        <f t="shared" si="0"/>
        <v>421803</v>
      </c>
    </row>
    <row r="20" spans="1:5" s="506" customFormat="1" x14ac:dyDescent="0.2">
      <c r="A20" s="512">
        <v>7</v>
      </c>
      <c r="B20" s="511" t="s">
        <v>726</v>
      </c>
      <c r="C20" s="513">
        <v>905666</v>
      </c>
      <c r="D20" s="515">
        <v>778948</v>
      </c>
      <c r="E20" s="514">
        <f t="shared" si="0"/>
        <v>-126718</v>
      </c>
    </row>
    <row r="21" spans="1:5" s="506" customFormat="1" x14ac:dyDescent="0.2">
      <c r="A21" s="512"/>
      <c r="B21" s="516" t="s">
        <v>745</v>
      </c>
      <c r="C21" s="517">
        <f>SUM(C15+C16+C19)</f>
        <v>106545543</v>
      </c>
      <c r="D21" s="517">
        <f>SUM(D15+D16+D19)</f>
        <v>105989882</v>
      </c>
      <c r="E21" s="517">
        <f t="shared" si="0"/>
        <v>-555661</v>
      </c>
    </row>
    <row r="22" spans="1:5" s="506" customFormat="1" x14ac:dyDescent="0.2">
      <c r="A22" s="512"/>
      <c r="B22" s="516" t="s">
        <v>685</v>
      </c>
      <c r="C22" s="517">
        <f>SUM(C14+C21)</f>
        <v>152310534</v>
      </c>
      <c r="D22" s="517">
        <f>SUM(D14+D21)</f>
        <v>146231302</v>
      </c>
      <c r="E22" s="517">
        <f t="shared" si="0"/>
        <v>-6079232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619</v>
      </c>
      <c r="C25" s="513">
        <v>104148378</v>
      </c>
      <c r="D25" s="513">
        <v>97504016</v>
      </c>
      <c r="E25" s="514">
        <f t="shared" ref="E25:E33" si="1">D25-C25</f>
        <v>-6644362</v>
      </c>
    </row>
    <row r="26" spans="1:5" s="506" customFormat="1" x14ac:dyDescent="0.2">
      <c r="A26" s="512">
        <v>2</v>
      </c>
      <c r="B26" s="511" t="s">
        <v>598</v>
      </c>
      <c r="C26" s="513">
        <v>71274877</v>
      </c>
      <c r="D26" s="515">
        <v>78569021</v>
      </c>
      <c r="E26" s="514">
        <f t="shared" si="1"/>
        <v>7294144</v>
      </c>
    </row>
    <row r="27" spans="1:5" s="506" customFormat="1" x14ac:dyDescent="0.2">
      <c r="A27" s="512">
        <v>3</v>
      </c>
      <c r="B27" s="511" t="s">
        <v>744</v>
      </c>
      <c r="C27" s="513">
        <v>30932278</v>
      </c>
      <c r="D27" s="515">
        <v>38820554</v>
      </c>
      <c r="E27" s="514">
        <f t="shared" si="1"/>
        <v>7888276</v>
      </c>
    </row>
    <row r="28" spans="1:5" s="506" customFormat="1" x14ac:dyDescent="0.2">
      <c r="A28" s="512">
        <v>4</v>
      </c>
      <c r="B28" s="511" t="s">
        <v>114</v>
      </c>
      <c r="C28" s="513">
        <v>23673877</v>
      </c>
      <c r="D28" s="515">
        <v>31424389</v>
      </c>
      <c r="E28" s="514">
        <f t="shared" si="1"/>
        <v>7750512</v>
      </c>
    </row>
    <row r="29" spans="1:5" s="506" customFormat="1" x14ac:dyDescent="0.2">
      <c r="A29" s="512">
        <v>5</v>
      </c>
      <c r="B29" s="511" t="s">
        <v>711</v>
      </c>
      <c r="C29" s="513">
        <v>7258401</v>
      </c>
      <c r="D29" s="515">
        <v>7396165</v>
      </c>
      <c r="E29" s="514">
        <f t="shared" si="1"/>
        <v>137764</v>
      </c>
    </row>
    <row r="30" spans="1:5" s="506" customFormat="1" x14ac:dyDescent="0.2">
      <c r="A30" s="512">
        <v>6</v>
      </c>
      <c r="B30" s="511" t="s">
        <v>416</v>
      </c>
      <c r="C30" s="513">
        <v>426014</v>
      </c>
      <c r="D30" s="515">
        <v>636350</v>
      </c>
      <c r="E30" s="514">
        <f t="shared" si="1"/>
        <v>210336</v>
      </c>
    </row>
    <row r="31" spans="1:5" s="506" customFormat="1" x14ac:dyDescent="0.2">
      <c r="A31" s="512">
        <v>7</v>
      </c>
      <c r="B31" s="511" t="s">
        <v>726</v>
      </c>
      <c r="C31" s="514">
        <v>5537635</v>
      </c>
      <c r="D31" s="518">
        <v>5736491</v>
      </c>
      <c r="E31" s="514">
        <f t="shared" si="1"/>
        <v>198856</v>
      </c>
    </row>
    <row r="32" spans="1:5" s="506" customFormat="1" x14ac:dyDescent="0.2">
      <c r="A32" s="512"/>
      <c r="B32" s="516" t="s">
        <v>747</v>
      </c>
      <c r="C32" s="517">
        <f>SUM(C26+C27+C30)</f>
        <v>102633169</v>
      </c>
      <c r="D32" s="517">
        <f>SUM(D26+D27+D30)</f>
        <v>118025925</v>
      </c>
      <c r="E32" s="517">
        <f t="shared" si="1"/>
        <v>15392756</v>
      </c>
    </row>
    <row r="33" spans="1:5" s="506" customFormat="1" x14ac:dyDescent="0.2">
      <c r="A33" s="512"/>
      <c r="B33" s="516" t="s">
        <v>691</v>
      </c>
      <c r="C33" s="517">
        <f>SUM(C25+C32)</f>
        <v>206781547</v>
      </c>
      <c r="D33" s="517">
        <f>SUM(D25+D32)</f>
        <v>215529941</v>
      </c>
      <c r="E33" s="517">
        <f t="shared" si="1"/>
        <v>8748394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748</v>
      </c>
      <c r="C36" s="514">
        <f t="shared" ref="C36:D42" si="2">C14+C25</f>
        <v>149913369</v>
      </c>
      <c r="D36" s="514">
        <f t="shared" si="2"/>
        <v>137745436</v>
      </c>
      <c r="E36" s="514">
        <f t="shared" ref="E36:E44" si="3">D36-C36</f>
        <v>-12167933</v>
      </c>
    </row>
    <row r="37" spans="1:5" s="506" customFormat="1" x14ac:dyDescent="0.2">
      <c r="A37" s="512">
        <v>2</v>
      </c>
      <c r="B37" s="511" t="s">
        <v>749</v>
      </c>
      <c r="C37" s="514">
        <f t="shared" si="2"/>
        <v>157966228</v>
      </c>
      <c r="D37" s="514">
        <f t="shared" si="2"/>
        <v>161483379</v>
      </c>
      <c r="E37" s="514">
        <f t="shared" si="3"/>
        <v>3517151</v>
      </c>
    </row>
    <row r="38" spans="1:5" s="506" customFormat="1" x14ac:dyDescent="0.2">
      <c r="A38" s="512">
        <v>3</v>
      </c>
      <c r="B38" s="511" t="s">
        <v>750</v>
      </c>
      <c r="C38" s="514">
        <f t="shared" si="2"/>
        <v>50585840</v>
      </c>
      <c r="D38" s="514">
        <f t="shared" si="2"/>
        <v>61273645</v>
      </c>
      <c r="E38" s="514">
        <f t="shared" si="3"/>
        <v>10687805</v>
      </c>
    </row>
    <row r="39" spans="1:5" s="506" customFormat="1" x14ac:dyDescent="0.2">
      <c r="A39" s="512">
        <v>4</v>
      </c>
      <c r="B39" s="511" t="s">
        <v>751</v>
      </c>
      <c r="C39" s="514">
        <f t="shared" si="2"/>
        <v>37068141</v>
      </c>
      <c r="D39" s="514">
        <f t="shared" si="2"/>
        <v>48959762</v>
      </c>
      <c r="E39" s="514">
        <f t="shared" si="3"/>
        <v>11891621</v>
      </c>
    </row>
    <row r="40" spans="1:5" s="506" customFormat="1" x14ac:dyDescent="0.2">
      <c r="A40" s="512">
        <v>5</v>
      </c>
      <c r="B40" s="511" t="s">
        <v>752</v>
      </c>
      <c r="C40" s="514">
        <f t="shared" si="2"/>
        <v>13517699</v>
      </c>
      <c r="D40" s="514">
        <f t="shared" si="2"/>
        <v>12313883</v>
      </c>
      <c r="E40" s="514">
        <f t="shared" si="3"/>
        <v>-1203816</v>
      </c>
    </row>
    <row r="41" spans="1:5" s="506" customFormat="1" x14ac:dyDescent="0.2">
      <c r="A41" s="512">
        <v>6</v>
      </c>
      <c r="B41" s="511" t="s">
        <v>753</v>
      </c>
      <c r="C41" s="514">
        <f t="shared" si="2"/>
        <v>626644</v>
      </c>
      <c r="D41" s="514">
        <f t="shared" si="2"/>
        <v>1258783</v>
      </c>
      <c r="E41" s="514">
        <f t="shared" si="3"/>
        <v>632139</v>
      </c>
    </row>
    <row r="42" spans="1:5" s="506" customFormat="1" x14ac:dyDescent="0.2">
      <c r="A42" s="512">
        <v>7</v>
      </c>
      <c r="B42" s="511" t="s">
        <v>754</v>
      </c>
      <c r="C42" s="514">
        <f t="shared" si="2"/>
        <v>6443301</v>
      </c>
      <c r="D42" s="514">
        <f t="shared" si="2"/>
        <v>6515439</v>
      </c>
      <c r="E42" s="514">
        <f t="shared" si="3"/>
        <v>72138</v>
      </c>
    </row>
    <row r="43" spans="1:5" s="506" customFormat="1" x14ac:dyDescent="0.2">
      <c r="A43" s="512"/>
      <c r="B43" s="516" t="s">
        <v>755</v>
      </c>
      <c r="C43" s="517">
        <f>SUM(C37+C38+C41)</f>
        <v>209178712</v>
      </c>
      <c r="D43" s="517">
        <f>SUM(D37+D38+D41)</f>
        <v>224015807</v>
      </c>
      <c r="E43" s="517">
        <f t="shared" si="3"/>
        <v>14837095</v>
      </c>
    </row>
    <row r="44" spans="1:5" s="506" customFormat="1" x14ac:dyDescent="0.2">
      <c r="A44" s="512"/>
      <c r="B44" s="516" t="s">
        <v>693</v>
      </c>
      <c r="C44" s="517">
        <f>SUM(C36+C43)</f>
        <v>359092081</v>
      </c>
      <c r="D44" s="517">
        <f>SUM(D36+D43)</f>
        <v>361761243</v>
      </c>
      <c r="E44" s="517">
        <f t="shared" si="3"/>
        <v>2669162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756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619</v>
      </c>
      <c r="C47" s="513">
        <v>19574604</v>
      </c>
      <c r="D47" s="513">
        <v>18721550</v>
      </c>
      <c r="E47" s="514">
        <f t="shared" ref="E47:E55" si="4">D47-C47</f>
        <v>-853054</v>
      </c>
    </row>
    <row r="48" spans="1:5" s="506" customFormat="1" x14ac:dyDescent="0.2">
      <c r="A48" s="512">
        <v>2</v>
      </c>
      <c r="B48" s="511" t="s">
        <v>598</v>
      </c>
      <c r="C48" s="513">
        <v>29232376</v>
      </c>
      <c r="D48" s="515">
        <v>30644675</v>
      </c>
      <c r="E48" s="514">
        <f t="shared" si="4"/>
        <v>1412299</v>
      </c>
    </row>
    <row r="49" spans="1:5" s="506" customFormat="1" x14ac:dyDescent="0.2">
      <c r="A49" s="512">
        <v>3</v>
      </c>
      <c r="B49" s="511" t="s">
        <v>744</v>
      </c>
      <c r="C49" s="513">
        <v>4554647</v>
      </c>
      <c r="D49" s="515">
        <v>5860122</v>
      </c>
      <c r="E49" s="514">
        <f t="shared" si="4"/>
        <v>1305475</v>
      </c>
    </row>
    <row r="50" spans="1:5" s="506" customFormat="1" x14ac:dyDescent="0.2">
      <c r="A50" s="512">
        <v>4</v>
      </c>
      <c r="B50" s="511" t="s">
        <v>114</v>
      </c>
      <c r="C50" s="513">
        <v>3598923</v>
      </c>
      <c r="D50" s="515">
        <v>4882557</v>
      </c>
      <c r="E50" s="514">
        <f t="shared" si="4"/>
        <v>1283634</v>
      </c>
    </row>
    <row r="51" spans="1:5" s="506" customFormat="1" x14ac:dyDescent="0.2">
      <c r="A51" s="512">
        <v>5</v>
      </c>
      <c r="B51" s="511" t="s">
        <v>711</v>
      </c>
      <c r="C51" s="513">
        <v>955724</v>
      </c>
      <c r="D51" s="515">
        <v>977565</v>
      </c>
      <c r="E51" s="514">
        <f t="shared" si="4"/>
        <v>21841</v>
      </c>
    </row>
    <row r="52" spans="1:5" s="506" customFormat="1" x14ac:dyDescent="0.2">
      <c r="A52" s="512">
        <v>6</v>
      </c>
      <c r="B52" s="511" t="s">
        <v>416</v>
      </c>
      <c r="C52" s="513">
        <v>74488</v>
      </c>
      <c r="D52" s="515">
        <v>162772</v>
      </c>
      <c r="E52" s="514">
        <f t="shared" si="4"/>
        <v>88284</v>
      </c>
    </row>
    <row r="53" spans="1:5" s="506" customFormat="1" x14ac:dyDescent="0.2">
      <c r="A53" s="512">
        <v>7</v>
      </c>
      <c r="B53" s="511" t="s">
        <v>726</v>
      </c>
      <c r="C53" s="513">
        <v>24036</v>
      </c>
      <c r="D53" s="515">
        <v>27969</v>
      </c>
      <c r="E53" s="514">
        <f t="shared" si="4"/>
        <v>3933</v>
      </c>
    </row>
    <row r="54" spans="1:5" s="506" customFormat="1" x14ac:dyDescent="0.2">
      <c r="A54" s="512"/>
      <c r="B54" s="516" t="s">
        <v>757</v>
      </c>
      <c r="C54" s="517">
        <f>SUM(C48+C49+C52)</f>
        <v>33861511</v>
      </c>
      <c r="D54" s="517">
        <f>SUM(D48+D49+D52)</f>
        <v>36667569</v>
      </c>
      <c r="E54" s="517">
        <f t="shared" si="4"/>
        <v>2806058</v>
      </c>
    </row>
    <row r="55" spans="1:5" s="506" customFormat="1" x14ac:dyDescent="0.2">
      <c r="A55" s="512"/>
      <c r="B55" s="516" t="s">
        <v>686</v>
      </c>
      <c r="C55" s="517">
        <f>SUM(C47+C54)</f>
        <v>53436115</v>
      </c>
      <c r="D55" s="517">
        <f>SUM(D47+D54)</f>
        <v>55389119</v>
      </c>
      <c r="E55" s="517">
        <f t="shared" si="4"/>
        <v>1953004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758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619</v>
      </c>
      <c r="C58" s="513">
        <v>41085749</v>
      </c>
      <c r="D58" s="513">
        <v>36311112</v>
      </c>
      <c r="E58" s="514">
        <f t="shared" ref="E58:E66" si="5">D58-C58</f>
        <v>-4774637</v>
      </c>
    </row>
    <row r="59" spans="1:5" s="506" customFormat="1" x14ac:dyDescent="0.2">
      <c r="A59" s="512">
        <v>2</v>
      </c>
      <c r="B59" s="511" t="s">
        <v>598</v>
      </c>
      <c r="C59" s="513">
        <v>16688591</v>
      </c>
      <c r="D59" s="515">
        <v>18498947</v>
      </c>
      <c r="E59" s="514">
        <f t="shared" si="5"/>
        <v>1810356</v>
      </c>
    </row>
    <row r="60" spans="1:5" s="506" customFormat="1" x14ac:dyDescent="0.2">
      <c r="A60" s="512">
        <v>3</v>
      </c>
      <c r="B60" s="511" t="s">
        <v>744</v>
      </c>
      <c r="C60" s="513">
        <f>C61+C62</f>
        <v>7139492</v>
      </c>
      <c r="D60" s="515">
        <f>D61+D62</f>
        <v>8660816</v>
      </c>
      <c r="E60" s="514">
        <f t="shared" si="5"/>
        <v>1521324</v>
      </c>
    </row>
    <row r="61" spans="1:5" s="506" customFormat="1" x14ac:dyDescent="0.2">
      <c r="A61" s="512">
        <v>4</v>
      </c>
      <c r="B61" s="511" t="s">
        <v>114</v>
      </c>
      <c r="C61" s="513">
        <v>6268516</v>
      </c>
      <c r="D61" s="515">
        <v>7604701</v>
      </c>
      <c r="E61" s="514">
        <f t="shared" si="5"/>
        <v>1336185</v>
      </c>
    </row>
    <row r="62" spans="1:5" s="506" customFormat="1" x14ac:dyDescent="0.2">
      <c r="A62" s="512">
        <v>5</v>
      </c>
      <c r="B62" s="511" t="s">
        <v>711</v>
      </c>
      <c r="C62" s="513">
        <v>870976</v>
      </c>
      <c r="D62" s="515">
        <v>1056115</v>
      </c>
      <c r="E62" s="514">
        <f t="shared" si="5"/>
        <v>185139</v>
      </c>
    </row>
    <row r="63" spans="1:5" s="506" customFormat="1" x14ac:dyDescent="0.2">
      <c r="A63" s="512">
        <v>6</v>
      </c>
      <c r="B63" s="511" t="s">
        <v>416</v>
      </c>
      <c r="C63" s="513">
        <v>96511</v>
      </c>
      <c r="D63" s="515">
        <v>126904</v>
      </c>
      <c r="E63" s="514">
        <f t="shared" si="5"/>
        <v>30393</v>
      </c>
    </row>
    <row r="64" spans="1:5" s="506" customFormat="1" x14ac:dyDescent="0.2">
      <c r="A64" s="512">
        <v>7</v>
      </c>
      <c r="B64" s="511" t="s">
        <v>726</v>
      </c>
      <c r="C64" s="513">
        <v>267683</v>
      </c>
      <c r="D64" s="515">
        <v>379481</v>
      </c>
      <c r="E64" s="514">
        <f t="shared" si="5"/>
        <v>111798</v>
      </c>
    </row>
    <row r="65" spans="1:5" s="506" customFormat="1" x14ac:dyDescent="0.2">
      <c r="A65" s="512"/>
      <c r="B65" s="516" t="s">
        <v>759</v>
      </c>
      <c r="C65" s="517">
        <f>SUM(C59+C60+C63)</f>
        <v>23924594</v>
      </c>
      <c r="D65" s="517">
        <f>SUM(D59+D60+D63)</f>
        <v>27286667</v>
      </c>
      <c r="E65" s="517">
        <f t="shared" si="5"/>
        <v>3362073</v>
      </c>
    </row>
    <row r="66" spans="1:5" s="506" customFormat="1" x14ac:dyDescent="0.2">
      <c r="A66" s="512"/>
      <c r="B66" s="516" t="s">
        <v>692</v>
      </c>
      <c r="C66" s="517">
        <f>SUM(C58+C65)</f>
        <v>65010343</v>
      </c>
      <c r="D66" s="517">
        <f>SUM(D58+D65)</f>
        <v>63597779</v>
      </c>
      <c r="E66" s="517">
        <f t="shared" si="5"/>
        <v>-1412564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617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748</v>
      </c>
      <c r="C69" s="514">
        <f t="shared" ref="C69:D75" si="6">C47+C58</f>
        <v>60660353</v>
      </c>
      <c r="D69" s="514">
        <f t="shared" si="6"/>
        <v>55032662</v>
      </c>
      <c r="E69" s="514">
        <f t="shared" ref="E69:E77" si="7">D69-C69</f>
        <v>-5627691</v>
      </c>
    </row>
    <row r="70" spans="1:5" s="506" customFormat="1" x14ac:dyDescent="0.2">
      <c r="A70" s="512">
        <v>2</v>
      </c>
      <c r="B70" s="511" t="s">
        <v>749</v>
      </c>
      <c r="C70" s="514">
        <f t="shared" si="6"/>
        <v>45920967</v>
      </c>
      <c r="D70" s="514">
        <f t="shared" si="6"/>
        <v>49143622</v>
      </c>
      <c r="E70" s="514">
        <f t="shared" si="7"/>
        <v>3222655</v>
      </c>
    </row>
    <row r="71" spans="1:5" s="506" customFormat="1" x14ac:dyDescent="0.2">
      <c r="A71" s="512">
        <v>3</v>
      </c>
      <c r="B71" s="511" t="s">
        <v>750</v>
      </c>
      <c r="C71" s="514">
        <f t="shared" si="6"/>
        <v>11694139</v>
      </c>
      <c r="D71" s="514">
        <f t="shared" si="6"/>
        <v>14520938</v>
      </c>
      <c r="E71" s="514">
        <f t="shared" si="7"/>
        <v>2826799</v>
      </c>
    </row>
    <row r="72" spans="1:5" s="506" customFormat="1" x14ac:dyDescent="0.2">
      <c r="A72" s="512">
        <v>4</v>
      </c>
      <c r="B72" s="511" t="s">
        <v>751</v>
      </c>
      <c r="C72" s="514">
        <f t="shared" si="6"/>
        <v>9867439</v>
      </c>
      <c r="D72" s="514">
        <f t="shared" si="6"/>
        <v>12487258</v>
      </c>
      <c r="E72" s="514">
        <f t="shared" si="7"/>
        <v>2619819</v>
      </c>
    </row>
    <row r="73" spans="1:5" s="506" customFormat="1" x14ac:dyDescent="0.2">
      <c r="A73" s="512">
        <v>5</v>
      </c>
      <c r="B73" s="511" t="s">
        <v>752</v>
      </c>
      <c r="C73" s="514">
        <f t="shared" si="6"/>
        <v>1826700</v>
      </c>
      <c r="D73" s="514">
        <f t="shared" si="6"/>
        <v>2033680</v>
      </c>
      <c r="E73" s="514">
        <f t="shared" si="7"/>
        <v>206980</v>
      </c>
    </row>
    <row r="74" spans="1:5" s="506" customFormat="1" x14ac:dyDescent="0.2">
      <c r="A74" s="512">
        <v>6</v>
      </c>
      <c r="B74" s="511" t="s">
        <v>753</v>
      </c>
      <c r="C74" s="514">
        <f t="shared" si="6"/>
        <v>170999</v>
      </c>
      <c r="D74" s="514">
        <f t="shared" si="6"/>
        <v>289676</v>
      </c>
      <c r="E74" s="514">
        <f t="shared" si="7"/>
        <v>118677</v>
      </c>
    </row>
    <row r="75" spans="1:5" s="506" customFormat="1" x14ac:dyDescent="0.2">
      <c r="A75" s="512">
        <v>7</v>
      </c>
      <c r="B75" s="511" t="s">
        <v>754</v>
      </c>
      <c r="C75" s="514">
        <f t="shared" si="6"/>
        <v>291719</v>
      </c>
      <c r="D75" s="514">
        <f t="shared" si="6"/>
        <v>407450</v>
      </c>
      <c r="E75" s="514">
        <f t="shared" si="7"/>
        <v>115731</v>
      </c>
    </row>
    <row r="76" spans="1:5" s="506" customFormat="1" x14ac:dyDescent="0.2">
      <c r="A76" s="512"/>
      <c r="B76" s="516" t="s">
        <v>760</v>
      </c>
      <c r="C76" s="517">
        <f>SUM(C70+C71+C74)</f>
        <v>57786105</v>
      </c>
      <c r="D76" s="517">
        <f>SUM(D70+D71+D74)</f>
        <v>63954236</v>
      </c>
      <c r="E76" s="517">
        <f t="shared" si="7"/>
        <v>6168131</v>
      </c>
    </row>
    <row r="77" spans="1:5" s="506" customFormat="1" x14ac:dyDescent="0.2">
      <c r="A77" s="512"/>
      <c r="B77" s="516" t="s">
        <v>694</v>
      </c>
      <c r="C77" s="517">
        <f>SUM(C69+C76)</f>
        <v>118446458</v>
      </c>
      <c r="D77" s="517">
        <f>SUM(D69+D76)</f>
        <v>118986898</v>
      </c>
      <c r="E77" s="517">
        <f t="shared" si="7"/>
        <v>540440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619</v>
      </c>
      <c r="C83" s="523">
        <f t="shared" ref="C83:D89" si="8">IF(C$44=0,0,C14/C$44)</f>
        <v>0.12744639445279218</v>
      </c>
      <c r="D83" s="523">
        <f t="shared" si="8"/>
        <v>0.11123751031560891</v>
      </c>
      <c r="E83" s="523">
        <f t="shared" ref="E83:E91" si="9">D83-C83</f>
        <v>-1.6208884137183271E-2</v>
      </c>
    </row>
    <row r="84" spans="1:5" s="506" customFormat="1" x14ac:dyDescent="0.2">
      <c r="A84" s="512">
        <v>2</v>
      </c>
      <c r="B84" s="511" t="s">
        <v>598</v>
      </c>
      <c r="C84" s="523">
        <f t="shared" si="8"/>
        <v>0.2414181642730239</v>
      </c>
      <c r="D84" s="523">
        <f t="shared" si="8"/>
        <v>0.22919635423742726</v>
      </c>
      <c r="E84" s="523">
        <f t="shared" si="9"/>
        <v>-1.2221810035596636E-2</v>
      </c>
    </row>
    <row r="85" spans="1:5" s="506" customFormat="1" x14ac:dyDescent="0.2">
      <c r="A85" s="512">
        <v>3</v>
      </c>
      <c r="B85" s="511" t="s">
        <v>744</v>
      </c>
      <c r="C85" s="523">
        <f t="shared" si="8"/>
        <v>5.4731259863121294E-2</v>
      </c>
      <c r="D85" s="523">
        <f t="shared" si="8"/>
        <v>6.2066048905078539E-2</v>
      </c>
      <c r="E85" s="523">
        <f t="shared" si="9"/>
        <v>7.3347890419572445E-3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3.7300360293938087E-2</v>
      </c>
      <c r="D86" s="523">
        <f t="shared" si="8"/>
        <v>4.8472226749840086E-2</v>
      </c>
      <c r="E86" s="523">
        <f t="shared" si="9"/>
        <v>1.1171866455901999E-2</v>
      </c>
    </row>
    <row r="87" spans="1:5" s="506" customFormat="1" x14ac:dyDescent="0.2">
      <c r="A87" s="512">
        <v>5</v>
      </c>
      <c r="B87" s="511" t="s">
        <v>711</v>
      </c>
      <c r="C87" s="523">
        <f t="shared" si="8"/>
        <v>1.7430899569183204E-2</v>
      </c>
      <c r="D87" s="523">
        <f t="shared" si="8"/>
        <v>1.3593822155238449E-2</v>
      </c>
      <c r="E87" s="523">
        <f t="shared" si="9"/>
        <v>-3.8370774139447547E-3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5.5871463230624684E-4</v>
      </c>
      <c r="D88" s="523">
        <f t="shared" si="8"/>
        <v>1.7205629736295439E-3</v>
      </c>
      <c r="E88" s="523">
        <f t="shared" si="9"/>
        <v>1.1618483413232969E-3</v>
      </c>
    </row>
    <row r="89" spans="1:5" s="506" customFormat="1" x14ac:dyDescent="0.2">
      <c r="A89" s="512">
        <v>7</v>
      </c>
      <c r="B89" s="511" t="s">
        <v>726</v>
      </c>
      <c r="C89" s="523">
        <f t="shared" si="8"/>
        <v>2.5220996171174269E-3</v>
      </c>
      <c r="D89" s="523">
        <f t="shared" si="8"/>
        <v>2.1532102044441504E-3</v>
      </c>
      <c r="E89" s="523">
        <f t="shared" si="9"/>
        <v>-3.6888941267327648E-4</v>
      </c>
    </row>
    <row r="90" spans="1:5" s="506" customFormat="1" x14ac:dyDescent="0.2">
      <c r="A90" s="512"/>
      <c r="B90" s="516" t="s">
        <v>763</v>
      </c>
      <c r="C90" s="524">
        <f>SUM(C84+C85+C88)</f>
        <v>0.29670813876845142</v>
      </c>
      <c r="D90" s="524">
        <f>SUM(D84+D85+D88)</f>
        <v>0.29298296611613533</v>
      </c>
      <c r="E90" s="525">
        <f t="shared" si="9"/>
        <v>-3.7251726523160889E-3</v>
      </c>
    </row>
    <row r="91" spans="1:5" s="506" customFormat="1" x14ac:dyDescent="0.2">
      <c r="A91" s="512"/>
      <c r="B91" s="516" t="s">
        <v>764</v>
      </c>
      <c r="C91" s="524">
        <f>SUM(C83+C90)</f>
        <v>0.42415453322124363</v>
      </c>
      <c r="D91" s="524">
        <f>SUM(D83+D90)</f>
        <v>0.40422047643174425</v>
      </c>
      <c r="E91" s="525">
        <f t="shared" si="9"/>
        <v>-1.9934056789499388E-2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619</v>
      </c>
      <c r="C95" s="523">
        <f t="shared" ref="C95:D101" si="10">IF(C$44=0,0,C25/C$44)</f>
        <v>0.29003251118756918</v>
      </c>
      <c r="D95" s="523">
        <f t="shared" si="10"/>
        <v>0.26952587621444013</v>
      </c>
      <c r="E95" s="523">
        <f t="shared" ref="E95:E103" si="11">D95-C95</f>
        <v>-2.0506634973129045E-2</v>
      </c>
    </row>
    <row r="96" spans="1:5" s="506" customFormat="1" x14ac:dyDescent="0.2">
      <c r="A96" s="512">
        <v>2</v>
      </c>
      <c r="B96" s="511" t="s">
        <v>598</v>
      </c>
      <c r="C96" s="523">
        <f t="shared" si="10"/>
        <v>0.19848635147150459</v>
      </c>
      <c r="D96" s="523">
        <f t="shared" si="10"/>
        <v>0.21718473860949222</v>
      </c>
      <c r="E96" s="523">
        <f t="shared" si="11"/>
        <v>1.8698387137987632E-2</v>
      </c>
    </row>
    <row r="97" spans="1:5" s="506" customFormat="1" x14ac:dyDescent="0.2">
      <c r="A97" s="512">
        <v>3</v>
      </c>
      <c r="B97" s="511" t="s">
        <v>744</v>
      </c>
      <c r="C97" s="523">
        <f t="shared" si="10"/>
        <v>8.6140239890169001E-2</v>
      </c>
      <c r="D97" s="523">
        <f t="shared" si="10"/>
        <v>0.10730987564635275</v>
      </c>
      <c r="E97" s="523">
        <f t="shared" si="11"/>
        <v>2.1169635756183747E-2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6.5927037249256415E-2</v>
      </c>
      <c r="D98" s="523">
        <f t="shared" si="10"/>
        <v>8.6864996204140094E-2</v>
      </c>
      <c r="E98" s="523">
        <f t="shared" si="11"/>
        <v>2.0937958954883679E-2</v>
      </c>
    </row>
    <row r="99" spans="1:5" s="506" customFormat="1" x14ac:dyDescent="0.2">
      <c r="A99" s="512">
        <v>5</v>
      </c>
      <c r="B99" s="511" t="s">
        <v>711</v>
      </c>
      <c r="C99" s="523">
        <f t="shared" si="10"/>
        <v>2.0213202640912597E-2</v>
      </c>
      <c r="D99" s="523">
        <f t="shared" si="10"/>
        <v>2.0444879442212665E-2</v>
      </c>
      <c r="E99" s="523">
        <f t="shared" si="11"/>
        <v>2.3167680130006807E-4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1.1863642295135994E-3</v>
      </c>
      <c r="D100" s="523">
        <f t="shared" si="10"/>
        <v>1.7590330979706413E-3</v>
      </c>
      <c r="E100" s="523">
        <f t="shared" si="11"/>
        <v>5.7266886845704188E-4</v>
      </c>
    </row>
    <row r="101" spans="1:5" s="506" customFormat="1" x14ac:dyDescent="0.2">
      <c r="A101" s="512">
        <v>7</v>
      </c>
      <c r="B101" s="511" t="s">
        <v>726</v>
      </c>
      <c r="C101" s="523">
        <f t="shared" si="10"/>
        <v>1.5421211697508862E-2</v>
      </c>
      <c r="D101" s="523">
        <f t="shared" si="10"/>
        <v>1.5857118779304947E-2</v>
      </c>
      <c r="E101" s="523">
        <f t="shared" si="11"/>
        <v>4.359070817960848E-4</v>
      </c>
    </row>
    <row r="102" spans="1:5" s="506" customFormat="1" x14ac:dyDescent="0.2">
      <c r="A102" s="512"/>
      <c r="B102" s="516" t="s">
        <v>766</v>
      </c>
      <c r="C102" s="524">
        <f>SUM(C96+C97+C100)</f>
        <v>0.28581295559118719</v>
      </c>
      <c r="D102" s="524">
        <f>SUM(D96+D97+D100)</f>
        <v>0.32625364735381562</v>
      </c>
      <c r="E102" s="525">
        <f t="shared" si="11"/>
        <v>4.0440691762628433E-2</v>
      </c>
    </row>
    <row r="103" spans="1:5" s="506" customFormat="1" x14ac:dyDescent="0.2">
      <c r="A103" s="512"/>
      <c r="B103" s="516" t="s">
        <v>767</v>
      </c>
      <c r="C103" s="524">
        <f>SUM(C95+C102)</f>
        <v>0.57584546677875637</v>
      </c>
      <c r="D103" s="524">
        <f>SUM(D95+D102)</f>
        <v>0.5957795235682557</v>
      </c>
      <c r="E103" s="525">
        <f t="shared" si="11"/>
        <v>1.9934056789499333E-2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768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769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619</v>
      </c>
      <c r="C109" s="523">
        <f t="shared" ref="C109:D115" si="12">IF(C$77=0,0,C47/C$77)</f>
        <v>0.16526120181660475</v>
      </c>
      <c r="D109" s="523">
        <f t="shared" si="12"/>
        <v>0.15734127298620726</v>
      </c>
      <c r="E109" s="523">
        <f t="shared" ref="E109:E117" si="13">D109-C109</f>
        <v>-7.9199288303974935E-3</v>
      </c>
    </row>
    <row r="110" spans="1:5" s="506" customFormat="1" x14ac:dyDescent="0.2">
      <c r="A110" s="512">
        <v>2</v>
      </c>
      <c r="B110" s="511" t="s">
        <v>598</v>
      </c>
      <c r="C110" s="523">
        <f t="shared" si="12"/>
        <v>0.24679822844512581</v>
      </c>
      <c r="D110" s="523">
        <f t="shared" si="12"/>
        <v>0.25754663341168876</v>
      </c>
      <c r="E110" s="523">
        <f t="shared" si="13"/>
        <v>1.0748404966562958E-2</v>
      </c>
    </row>
    <row r="111" spans="1:5" s="506" customFormat="1" x14ac:dyDescent="0.2">
      <c r="A111" s="512">
        <v>3</v>
      </c>
      <c r="B111" s="511" t="s">
        <v>744</v>
      </c>
      <c r="C111" s="523">
        <f t="shared" si="12"/>
        <v>3.8453214025192715E-2</v>
      </c>
      <c r="D111" s="523">
        <f t="shared" si="12"/>
        <v>4.9250145171445686E-2</v>
      </c>
      <c r="E111" s="523">
        <f t="shared" si="13"/>
        <v>1.0796931146252971E-2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3.0384386842534371E-2</v>
      </c>
      <c r="D112" s="523">
        <f t="shared" si="12"/>
        <v>4.1034408679180796E-2</v>
      </c>
      <c r="E112" s="523">
        <f t="shared" si="13"/>
        <v>1.0650021836646425E-2</v>
      </c>
    </row>
    <row r="113" spans="1:5" s="506" customFormat="1" x14ac:dyDescent="0.2">
      <c r="A113" s="512">
        <v>5</v>
      </c>
      <c r="B113" s="511" t="s">
        <v>711</v>
      </c>
      <c r="C113" s="523">
        <f t="shared" si="12"/>
        <v>8.0688271826583457E-3</v>
      </c>
      <c r="D113" s="523">
        <f t="shared" si="12"/>
        <v>8.2157364922648881E-3</v>
      </c>
      <c r="E113" s="523">
        <f t="shared" si="13"/>
        <v>1.4690930960654242E-4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6.2887486259825516E-4</v>
      </c>
      <c r="D114" s="523">
        <f t="shared" si="12"/>
        <v>1.3679825488012974E-3</v>
      </c>
      <c r="E114" s="523">
        <f t="shared" si="13"/>
        <v>7.3910768620304222E-4</v>
      </c>
    </row>
    <row r="115" spans="1:5" s="506" customFormat="1" x14ac:dyDescent="0.2">
      <c r="A115" s="512">
        <v>7</v>
      </c>
      <c r="B115" s="511" t="s">
        <v>726</v>
      </c>
      <c r="C115" s="523">
        <f t="shared" si="12"/>
        <v>2.0292713185226694E-4</v>
      </c>
      <c r="D115" s="523">
        <f t="shared" si="12"/>
        <v>2.3505949369316277E-4</v>
      </c>
      <c r="E115" s="523">
        <f t="shared" si="13"/>
        <v>3.2132361840895825E-5</v>
      </c>
    </row>
    <row r="116" spans="1:5" s="506" customFormat="1" x14ac:dyDescent="0.2">
      <c r="A116" s="512"/>
      <c r="B116" s="516" t="s">
        <v>763</v>
      </c>
      <c r="C116" s="524">
        <f>SUM(C110+C111+C114)</f>
        <v>0.2858803173329168</v>
      </c>
      <c r="D116" s="524">
        <f>SUM(D110+D111+D114)</f>
        <v>0.30816476113193575</v>
      </c>
      <c r="E116" s="525">
        <f t="shared" si="13"/>
        <v>2.2284443799018949E-2</v>
      </c>
    </row>
    <row r="117" spans="1:5" s="506" customFormat="1" x14ac:dyDescent="0.2">
      <c r="A117" s="512"/>
      <c r="B117" s="516" t="s">
        <v>764</v>
      </c>
      <c r="C117" s="524">
        <f>SUM(C109+C116)</f>
        <v>0.45114151914952155</v>
      </c>
      <c r="D117" s="524">
        <f>SUM(D109+D116)</f>
        <v>0.46550603411814301</v>
      </c>
      <c r="E117" s="525">
        <f t="shared" si="13"/>
        <v>1.4364514968621456E-2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619</v>
      </c>
      <c r="C121" s="523">
        <f t="shared" ref="C121:D127" si="14">IF(C$77=0,0,C58/C$77)</f>
        <v>0.3468719089936822</v>
      </c>
      <c r="D121" s="523">
        <f t="shared" si="14"/>
        <v>0.30516899432070244</v>
      </c>
      <c r="E121" s="523">
        <f t="shared" ref="E121:E129" si="15">D121-C121</f>
        <v>-4.1702914672979763E-2</v>
      </c>
    </row>
    <row r="122" spans="1:5" s="506" customFormat="1" x14ac:dyDescent="0.2">
      <c r="A122" s="512">
        <v>2</v>
      </c>
      <c r="B122" s="511" t="s">
        <v>598</v>
      </c>
      <c r="C122" s="523">
        <f t="shared" si="14"/>
        <v>0.14089565261630702</v>
      </c>
      <c r="D122" s="523">
        <f t="shared" si="14"/>
        <v>0.1554704535620384</v>
      </c>
      <c r="E122" s="523">
        <f t="shared" si="15"/>
        <v>1.4574800945731381E-2</v>
      </c>
    </row>
    <row r="123" spans="1:5" s="506" customFormat="1" x14ac:dyDescent="0.2">
      <c r="A123" s="512">
        <v>3</v>
      </c>
      <c r="B123" s="511" t="s">
        <v>744</v>
      </c>
      <c r="C123" s="523">
        <f t="shared" si="14"/>
        <v>6.0276112266691842E-2</v>
      </c>
      <c r="D123" s="523">
        <f t="shared" si="14"/>
        <v>7.2787980404363517E-2</v>
      </c>
      <c r="E123" s="523">
        <f t="shared" si="15"/>
        <v>1.2511868137671675E-2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5.2922781363373486E-2</v>
      </c>
      <c r="D124" s="523">
        <f t="shared" si="14"/>
        <v>6.3912087194675837E-2</v>
      </c>
      <c r="E124" s="523">
        <f t="shared" si="15"/>
        <v>1.0989305831302351E-2</v>
      </c>
    </row>
    <row r="125" spans="1:5" s="506" customFormat="1" x14ac:dyDescent="0.2">
      <c r="A125" s="512">
        <v>5</v>
      </c>
      <c r="B125" s="511" t="s">
        <v>711</v>
      </c>
      <c r="C125" s="523">
        <f t="shared" si="14"/>
        <v>7.3533309033183584E-3</v>
      </c>
      <c r="D125" s="523">
        <f t="shared" si="14"/>
        <v>8.8758932096876745E-3</v>
      </c>
      <c r="E125" s="523">
        <f t="shared" si="15"/>
        <v>1.5225623063693161E-3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8.1480697379739293E-4</v>
      </c>
      <c r="D126" s="523">
        <f t="shared" si="14"/>
        <v>1.0665375947526592E-3</v>
      </c>
      <c r="E126" s="523">
        <f t="shared" si="15"/>
        <v>2.517306209552663E-4</v>
      </c>
    </row>
    <row r="127" spans="1:5" s="506" customFormat="1" x14ac:dyDescent="0.2">
      <c r="A127" s="512">
        <v>7</v>
      </c>
      <c r="B127" s="511" t="s">
        <v>726</v>
      </c>
      <c r="C127" s="523">
        <f t="shared" si="14"/>
        <v>2.2599493857384913E-3</v>
      </c>
      <c r="D127" s="523">
        <f t="shared" si="14"/>
        <v>3.1892671073751331E-3</v>
      </c>
      <c r="E127" s="523">
        <f t="shared" si="15"/>
        <v>9.2931772163664175E-4</v>
      </c>
    </row>
    <row r="128" spans="1:5" s="506" customFormat="1" x14ac:dyDescent="0.2">
      <c r="A128" s="512"/>
      <c r="B128" s="516" t="s">
        <v>766</v>
      </c>
      <c r="C128" s="524">
        <f>SUM(C122+C123+C126)</f>
        <v>0.20198657185679628</v>
      </c>
      <c r="D128" s="524">
        <f>SUM(D122+D123+D126)</f>
        <v>0.22932497156115458</v>
      </c>
      <c r="E128" s="525">
        <f t="shared" si="15"/>
        <v>2.7338399704358307E-2</v>
      </c>
    </row>
    <row r="129" spans="1:5" s="506" customFormat="1" x14ac:dyDescent="0.2">
      <c r="A129" s="512"/>
      <c r="B129" s="516" t="s">
        <v>767</v>
      </c>
      <c r="C129" s="524">
        <f>SUM(C121+C128)</f>
        <v>0.5488584808504785</v>
      </c>
      <c r="D129" s="524">
        <f>SUM(D121+D128)</f>
        <v>0.53449396588185705</v>
      </c>
      <c r="E129" s="525">
        <f t="shared" si="15"/>
        <v>-1.4364514968621456E-2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619</v>
      </c>
      <c r="C137" s="530">
        <v>2731</v>
      </c>
      <c r="D137" s="530">
        <v>2486</v>
      </c>
      <c r="E137" s="531">
        <f t="shared" ref="E137:E145" si="16">D137-C137</f>
        <v>-245</v>
      </c>
    </row>
    <row r="138" spans="1:5" s="506" customFormat="1" x14ac:dyDescent="0.2">
      <c r="A138" s="512">
        <v>2</v>
      </c>
      <c r="B138" s="511" t="s">
        <v>598</v>
      </c>
      <c r="C138" s="530">
        <v>3597</v>
      </c>
      <c r="D138" s="530">
        <v>3426</v>
      </c>
      <c r="E138" s="531">
        <f t="shared" si="16"/>
        <v>-171</v>
      </c>
    </row>
    <row r="139" spans="1:5" s="506" customFormat="1" x14ac:dyDescent="0.2">
      <c r="A139" s="512">
        <v>3</v>
      </c>
      <c r="B139" s="511" t="s">
        <v>744</v>
      </c>
      <c r="C139" s="530">
        <f>C140+C141</f>
        <v>1507</v>
      </c>
      <c r="D139" s="530">
        <f>D140+D141</f>
        <v>1685</v>
      </c>
      <c r="E139" s="531">
        <f t="shared" si="16"/>
        <v>178</v>
      </c>
    </row>
    <row r="140" spans="1:5" s="506" customFormat="1" x14ac:dyDescent="0.2">
      <c r="A140" s="512">
        <v>4</v>
      </c>
      <c r="B140" s="511" t="s">
        <v>114</v>
      </c>
      <c r="C140" s="530">
        <v>1084</v>
      </c>
      <c r="D140" s="530">
        <v>1325</v>
      </c>
      <c r="E140" s="531">
        <f t="shared" si="16"/>
        <v>241</v>
      </c>
    </row>
    <row r="141" spans="1:5" s="506" customFormat="1" x14ac:dyDescent="0.2">
      <c r="A141" s="512">
        <v>5</v>
      </c>
      <c r="B141" s="511" t="s">
        <v>711</v>
      </c>
      <c r="C141" s="530">
        <v>423</v>
      </c>
      <c r="D141" s="530">
        <v>360</v>
      </c>
      <c r="E141" s="531">
        <f t="shared" si="16"/>
        <v>-63</v>
      </c>
    </row>
    <row r="142" spans="1:5" s="506" customFormat="1" x14ac:dyDescent="0.2">
      <c r="A142" s="512">
        <v>6</v>
      </c>
      <c r="B142" s="511" t="s">
        <v>416</v>
      </c>
      <c r="C142" s="530">
        <v>11</v>
      </c>
      <c r="D142" s="530">
        <v>20</v>
      </c>
      <c r="E142" s="531">
        <f t="shared" si="16"/>
        <v>9</v>
      </c>
    </row>
    <row r="143" spans="1:5" s="506" customFormat="1" x14ac:dyDescent="0.2">
      <c r="A143" s="512">
        <v>7</v>
      </c>
      <c r="B143" s="511" t="s">
        <v>726</v>
      </c>
      <c r="C143" s="530">
        <v>43</v>
      </c>
      <c r="D143" s="530">
        <v>64</v>
      </c>
      <c r="E143" s="531">
        <f t="shared" si="16"/>
        <v>21</v>
      </c>
    </row>
    <row r="144" spans="1:5" s="506" customFormat="1" x14ac:dyDescent="0.2">
      <c r="A144" s="512"/>
      <c r="B144" s="516" t="s">
        <v>774</v>
      </c>
      <c r="C144" s="532">
        <f>SUM(C138+C139+C142)</f>
        <v>5115</v>
      </c>
      <c r="D144" s="532">
        <f>SUM(D138+D139+D142)</f>
        <v>5131</v>
      </c>
      <c r="E144" s="533">
        <f t="shared" si="16"/>
        <v>16</v>
      </c>
    </row>
    <row r="145" spans="1:5" s="506" customFormat="1" x14ac:dyDescent="0.2">
      <c r="A145" s="512"/>
      <c r="B145" s="516" t="s">
        <v>688</v>
      </c>
      <c r="C145" s="532">
        <f>SUM(C137+C144)</f>
        <v>7846</v>
      </c>
      <c r="D145" s="532">
        <f>SUM(D137+D144)</f>
        <v>7617</v>
      </c>
      <c r="E145" s="533">
        <f t="shared" si="16"/>
        <v>-229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619</v>
      </c>
      <c r="C149" s="534">
        <v>8932</v>
      </c>
      <c r="D149" s="534">
        <v>7861</v>
      </c>
      <c r="E149" s="531">
        <f t="shared" ref="E149:E157" si="17">D149-C149</f>
        <v>-1071</v>
      </c>
    </row>
    <row r="150" spans="1:5" s="506" customFormat="1" x14ac:dyDescent="0.2">
      <c r="A150" s="512">
        <v>2</v>
      </c>
      <c r="B150" s="511" t="s">
        <v>598</v>
      </c>
      <c r="C150" s="534">
        <v>19311</v>
      </c>
      <c r="D150" s="534">
        <v>17157</v>
      </c>
      <c r="E150" s="531">
        <f t="shared" si="17"/>
        <v>-2154</v>
      </c>
    </row>
    <row r="151" spans="1:5" s="506" customFormat="1" x14ac:dyDescent="0.2">
      <c r="A151" s="512">
        <v>3</v>
      </c>
      <c r="B151" s="511" t="s">
        <v>744</v>
      </c>
      <c r="C151" s="534">
        <f>C152+C153</f>
        <v>5370</v>
      </c>
      <c r="D151" s="534">
        <f>D152+D153</f>
        <v>5510</v>
      </c>
      <c r="E151" s="531">
        <f t="shared" si="17"/>
        <v>140</v>
      </c>
    </row>
    <row r="152" spans="1:5" s="506" customFormat="1" x14ac:dyDescent="0.2">
      <c r="A152" s="512">
        <v>4</v>
      </c>
      <c r="B152" s="511" t="s">
        <v>114</v>
      </c>
      <c r="C152" s="534">
        <v>3662</v>
      </c>
      <c r="D152" s="534">
        <v>4218</v>
      </c>
      <c r="E152" s="531">
        <f t="shared" si="17"/>
        <v>556</v>
      </c>
    </row>
    <row r="153" spans="1:5" s="506" customFormat="1" x14ac:dyDescent="0.2">
      <c r="A153" s="512">
        <v>5</v>
      </c>
      <c r="B153" s="511" t="s">
        <v>711</v>
      </c>
      <c r="C153" s="535">
        <v>1708</v>
      </c>
      <c r="D153" s="534">
        <v>1292</v>
      </c>
      <c r="E153" s="531">
        <f t="shared" si="17"/>
        <v>-416</v>
      </c>
    </row>
    <row r="154" spans="1:5" s="506" customFormat="1" x14ac:dyDescent="0.2">
      <c r="A154" s="512">
        <v>6</v>
      </c>
      <c r="B154" s="511" t="s">
        <v>416</v>
      </c>
      <c r="C154" s="534">
        <v>45</v>
      </c>
      <c r="D154" s="534">
        <v>145</v>
      </c>
      <c r="E154" s="531">
        <f t="shared" si="17"/>
        <v>100</v>
      </c>
    </row>
    <row r="155" spans="1:5" s="506" customFormat="1" x14ac:dyDescent="0.2">
      <c r="A155" s="512">
        <v>7</v>
      </c>
      <c r="B155" s="511" t="s">
        <v>726</v>
      </c>
      <c r="C155" s="534">
        <v>205</v>
      </c>
      <c r="D155" s="534">
        <v>241</v>
      </c>
      <c r="E155" s="531">
        <f t="shared" si="17"/>
        <v>36</v>
      </c>
    </row>
    <row r="156" spans="1:5" s="506" customFormat="1" x14ac:dyDescent="0.2">
      <c r="A156" s="512"/>
      <c r="B156" s="516" t="s">
        <v>775</v>
      </c>
      <c r="C156" s="532">
        <f>SUM(C150+C151+C154)</f>
        <v>24726</v>
      </c>
      <c r="D156" s="532">
        <f>SUM(D150+D151+D154)</f>
        <v>22812</v>
      </c>
      <c r="E156" s="533">
        <f t="shared" si="17"/>
        <v>-1914</v>
      </c>
    </row>
    <row r="157" spans="1:5" s="506" customFormat="1" x14ac:dyDescent="0.2">
      <c r="A157" s="512"/>
      <c r="B157" s="516" t="s">
        <v>776</v>
      </c>
      <c r="C157" s="532">
        <f>SUM(C149+C156)</f>
        <v>33658</v>
      </c>
      <c r="D157" s="532">
        <f>SUM(D149+D156)</f>
        <v>30673</v>
      </c>
      <c r="E157" s="533">
        <f t="shared" si="17"/>
        <v>-2985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619</v>
      </c>
      <c r="C161" s="536">
        <f t="shared" ref="C161:D169" si="18">IF(C137=0,0,C149/C137)</f>
        <v>3.2705968509703407</v>
      </c>
      <c r="D161" s="536">
        <f t="shared" si="18"/>
        <v>3.162107803700724</v>
      </c>
      <c r="E161" s="537">
        <f t="shared" ref="E161:E169" si="19">D161-C161</f>
        <v>-0.10848904726961672</v>
      </c>
    </row>
    <row r="162" spans="1:5" s="506" customFormat="1" x14ac:dyDescent="0.2">
      <c r="A162" s="512">
        <v>2</v>
      </c>
      <c r="B162" s="511" t="s">
        <v>598</v>
      </c>
      <c r="C162" s="536">
        <f t="shared" si="18"/>
        <v>5.3686405337781489</v>
      </c>
      <c r="D162" s="536">
        <f t="shared" si="18"/>
        <v>5.0078809106830127</v>
      </c>
      <c r="E162" s="537">
        <f t="shared" si="19"/>
        <v>-0.36075962309513621</v>
      </c>
    </row>
    <row r="163" spans="1:5" s="506" customFormat="1" x14ac:dyDescent="0.2">
      <c r="A163" s="512">
        <v>3</v>
      </c>
      <c r="B163" s="511" t="s">
        <v>744</v>
      </c>
      <c r="C163" s="536">
        <f t="shared" si="18"/>
        <v>3.5633709356337095</v>
      </c>
      <c r="D163" s="536">
        <f t="shared" si="18"/>
        <v>3.2700296735905043</v>
      </c>
      <c r="E163" s="537">
        <f t="shared" si="19"/>
        <v>-0.29334126204320521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3.378228782287823</v>
      </c>
      <c r="D164" s="536">
        <f t="shared" si="18"/>
        <v>3.1833962264150943</v>
      </c>
      <c r="E164" s="537">
        <f t="shared" si="19"/>
        <v>-0.19483255587272863</v>
      </c>
    </row>
    <row r="165" spans="1:5" s="506" customFormat="1" x14ac:dyDescent="0.2">
      <c r="A165" s="512">
        <v>5</v>
      </c>
      <c r="B165" s="511" t="s">
        <v>711</v>
      </c>
      <c r="C165" s="536">
        <f t="shared" si="18"/>
        <v>4.0378250591016549</v>
      </c>
      <c r="D165" s="536">
        <f t="shared" si="18"/>
        <v>3.588888888888889</v>
      </c>
      <c r="E165" s="537">
        <f t="shared" si="19"/>
        <v>-0.44893617021276588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4.0909090909090908</v>
      </c>
      <c r="D166" s="536">
        <f t="shared" si="18"/>
        <v>7.25</v>
      </c>
      <c r="E166" s="537">
        <f t="shared" si="19"/>
        <v>3.1590909090909092</v>
      </c>
    </row>
    <row r="167" spans="1:5" s="506" customFormat="1" x14ac:dyDescent="0.2">
      <c r="A167" s="512">
        <v>7</v>
      </c>
      <c r="B167" s="511" t="s">
        <v>726</v>
      </c>
      <c r="C167" s="536">
        <f t="shared" si="18"/>
        <v>4.7674418604651159</v>
      </c>
      <c r="D167" s="536">
        <f t="shared" si="18"/>
        <v>3.765625</v>
      </c>
      <c r="E167" s="537">
        <f t="shared" si="19"/>
        <v>-1.0018168604651159</v>
      </c>
    </row>
    <row r="168" spans="1:5" s="506" customFormat="1" x14ac:dyDescent="0.2">
      <c r="A168" s="512"/>
      <c r="B168" s="516" t="s">
        <v>778</v>
      </c>
      <c r="C168" s="538">
        <f t="shared" si="18"/>
        <v>4.8340175953079179</v>
      </c>
      <c r="D168" s="538">
        <f t="shared" si="18"/>
        <v>4.4459169752484895</v>
      </c>
      <c r="E168" s="539">
        <f t="shared" si="19"/>
        <v>-0.38810062005942836</v>
      </c>
    </row>
    <row r="169" spans="1:5" s="506" customFormat="1" x14ac:dyDescent="0.2">
      <c r="A169" s="512"/>
      <c r="B169" s="516" t="s">
        <v>712</v>
      </c>
      <c r="C169" s="538">
        <f t="shared" si="18"/>
        <v>4.289829212337497</v>
      </c>
      <c r="D169" s="538">
        <f t="shared" si="18"/>
        <v>4.0269134829985562</v>
      </c>
      <c r="E169" s="539">
        <f t="shared" si="19"/>
        <v>-0.26291572933894081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779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619</v>
      </c>
      <c r="C173" s="541">
        <f t="shared" ref="C173:D181" si="20">IF(C137=0,0,C203/C137)</f>
        <v>0.95589999999999997</v>
      </c>
      <c r="D173" s="541">
        <f t="shared" si="20"/>
        <v>0.94639999999999991</v>
      </c>
      <c r="E173" s="542">
        <f t="shared" ref="E173:E181" si="21">D173-C173</f>
        <v>-9.5000000000000639E-3</v>
      </c>
    </row>
    <row r="174" spans="1:5" s="506" customFormat="1" x14ac:dyDescent="0.2">
      <c r="A174" s="512">
        <v>2</v>
      </c>
      <c r="B174" s="511" t="s">
        <v>598</v>
      </c>
      <c r="C174" s="541">
        <f t="shared" si="20"/>
        <v>1.3004</v>
      </c>
      <c r="D174" s="541">
        <f t="shared" si="20"/>
        <v>1.2873000000000001</v>
      </c>
      <c r="E174" s="542">
        <f t="shared" si="21"/>
        <v>-1.309999999999989E-2</v>
      </c>
    </row>
    <row r="175" spans="1:5" s="506" customFormat="1" x14ac:dyDescent="0.2">
      <c r="A175" s="512">
        <v>0</v>
      </c>
      <c r="B175" s="511" t="s">
        <v>744</v>
      </c>
      <c r="C175" s="541">
        <f t="shared" si="20"/>
        <v>0.82920066357000655</v>
      </c>
      <c r="D175" s="541">
        <f t="shared" si="20"/>
        <v>0.85442551928783372</v>
      </c>
      <c r="E175" s="542">
        <f t="shared" si="21"/>
        <v>2.5224855717827177E-2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0.80289999999999995</v>
      </c>
      <c r="D176" s="541">
        <f t="shared" si="20"/>
        <v>0.83899999999999997</v>
      </c>
      <c r="E176" s="542">
        <f t="shared" si="21"/>
        <v>3.6100000000000021E-2</v>
      </c>
    </row>
    <row r="177" spans="1:5" s="506" customFormat="1" x14ac:dyDescent="0.2">
      <c r="A177" s="512">
        <v>5</v>
      </c>
      <c r="B177" s="511" t="s">
        <v>711</v>
      </c>
      <c r="C177" s="541">
        <f t="shared" si="20"/>
        <v>0.89659999999999995</v>
      </c>
      <c r="D177" s="541">
        <f t="shared" si="20"/>
        <v>0.9111999999999999</v>
      </c>
      <c r="E177" s="542">
        <f t="shared" si="21"/>
        <v>1.4599999999999946E-2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1.054</v>
      </c>
      <c r="D178" s="541">
        <f t="shared" si="20"/>
        <v>1.5094000000000001</v>
      </c>
      <c r="E178" s="542">
        <f t="shared" si="21"/>
        <v>0.45540000000000003</v>
      </c>
    </row>
    <row r="179" spans="1:5" s="506" customFormat="1" x14ac:dyDescent="0.2">
      <c r="A179" s="512">
        <v>7</v>
      </c>
      <c r="B179" s="511" t="s">
        <v>726</v>
      </c>
      <c r="C179" s="541">
        <f t="shared" si="20"/>
        <v>0.96460000000000001</v>
      </c>
      <c r="D179" s="541">
        <f t="shared" si="20"/>
        <v>0.89229999999999998</v>
      </c>
      <c r="E179" s="542">
        <f t="shared" si="21"/>
        <v>-7.2300000000000031E-2</v>
      </c>
    </row>
    <row r="180" spans="1:5" s="506" customFormat="1" x14ac:dyDescent="0.2">
      <c r="A180" s="512"/>
      <c r="B180" s="516" t="s">
        <v>780</v>
      </c>
      <c r="C180" s="543">
        <f t="shared" si="20"/>
        <v>1.1610436363636365</v>
      </c>
      <c r="D180" s="543">
        <f t="shared" si="20"/>
        <v>1.146011459754434</v>
      </c>
      <c r="E180" s="544">
        <f t="shared" si="21"/>
        <v>-1.503217660920253E-2</v>
      </c>
    </row>
    <row r="181" spans="1:5" s="506" customFormat="1" x14ac:dyDescent="0.2">
      <c r="A181" s="512"/>
      <c r="B181" s="516" t="s">
        <v>689</v>
      </c>
      <c r="C181" s="543">
        <f t="shared" si="20"/>
        <v>1.0896381723171042</v>
      </c>
      <c r="D181" s="543">
        <f t="shared" si="20"/>
        <v>1.0808632269922542</v>
      </c>
      <c r="E181" s="544">
        <f t="shared" si="21"/>
        <v>-8.7749453248500142E-3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782</v>
      </c>
      <c r="C185" s="513">
        <v>131777027</v>
      </c>
      <c r="D185" s="513">
        <v>121599557</v>
      </c>
      <c r="E185" s="514">
        <f>D185-C185</f>
        <v>-10177470</v>
      </c>
    </row>
    <row r="186" spans="1:5" s="506" customFormat="1" ht="25.5" x14ac:dyDescent="0.2">
      <c r="A186" s="512">
        <v>2</v>
      </c>
      <c r="B186" s="511" t="s">
        <v>783</v>
      </c>
      <c r="C186" s="513">
        <v>55788426</v>
      </c>
      <c r="D186" s="513">
        <v>53040369</v>
      </c>
      <c r="E186" s="514">
        <f>D186-C186</f>
        <v>-2748057</v>
      </c>
    </row>
    <row r="187" spans="1:5" s="506" customFormat="1" x14ac:dyDescent="0.2">
      <c r="A187" s="512"/>
      <c r="B187" s="511" t="s">
        <v>631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715</v>
      </c>
      <c r="C188" s="546">
        <f>+C185-C186</f>
        <v>75988601</v>
      </c>
      <c r="D188" s="546">
        <f>+D185-D186</f>
        <v>68559188</v>
      </c>
      <c r="E188" s="514">
        <f t="shared" ref="E188:E197" si="22">D188-C188</f>
        <v>-7429413</v>
      </c>
    </row>
    <row r="189" spans="1:5" s="506" customFormat="1" x14ac:dyDescent="0.2">
      <c r="A189" s="512">
        <v>4</v>
      </c>
      <c r="B189" s="511" t="s">
        <v>633</v>
      </c>
      <c r="C189" s="547">
        <f>IF(C185=0,0,+C188/C185)</f>
        <v>0.57664528279272831</v>
      </c>
      <c r="D189" s="547">
        <f>IF(D185=0,0,+D188/D185)</f>
        <v>0.56381116585811242</v>
      </c>
      <c r="E189" s="523">
        <f t="shared" si="22"/>
        <v>-1.2834116934615891E-2</v>
      </c>
    </row>
    <row r="190" spans="1:5" s="506" customFormat="1" x14ac:dyDescent="0.2">
      <c r="A190" s="512">
        <v>5</v>
      </c>
      <c r="B190" s="511" t="s">
        <v>730</v>
      </c>
      <c r="C190" s="513">
        <v>5032151</v>
      </c>
      <c r="D190" s="513">
        <v>4371872</v>
      </c>
      <c r="E190" s="546">
        <f t="shared" si="22"/>
        <v>-660279</v>
      </c>
    </row>
    <row r="191" spans="1:5" s="506" customFormat="1" x14ac:dyDescent="0.2">
      <c r="A191" s="512">
        <v>6</v>
      </c>
      <c r="B191" s="511" t="s">
        <v>716</v>
      </c>
      <c r="C191" s="513">
        <v>3539186</v>
      </c>
      <c r="D191" s="513">
        <v>2950139</v>
      </c>
      <c r="E191" s="546">
        <f t="shared" si="22"/>
        <v>-589047</v>
      </c>
    </row>
    <row r="192" spans="1:5" ht="29.25" x14ac:dyDescent="0.2">
      <c r="A192" s="512">
        <v>7</v>
      </c>
      <c r="B192" s="548" t="s">
        <v>784</v>
      </c>
      <c r="C192" s="513">
        <v>624350</v>
      </c>
      <c r="D192" s="513">
        <v>624004</v>
      </c>
      <c r="E192" s="546">
        <f t="shared" si="22"/>
        <v>-346</v>
      </c>
    </row>
    <row r="193" spans="1:5" s="506" customFormat="1" x14ac:dyDescent="0.2">
      <c r="A193" s="512">
        <v>8</v>
      </c>
      <c r="B193" s="511" t="s">
        <v>785</v>
      </c>
      <c r="C193" s="513">
        <v>558883</v>
      </c>
      <c r="D193" s="513">
        <v>259103</v>
      </c>
      <c r="E193" s="546">
        <f t="shared" si="22"/>
        <v>-299780</v>
      </c>
    </row>
    <row r="194" spans="1:5" s="506" customFormat="1" x14ac:dyDescent="0.2">
      <c r="A194" s="512">
        <v>9</v>
      </c>
      <c r="B194" s="511" t="s">
        <v>786</v>
      </c>
      <c r="C194" s="513">
        <v>9166346</v>
      </c>
      <c r="D194" s="513">
        <v>10944348</v>
      </c>
      <c r="E194" s="546">
        <f t="shared" si="22"/>
        <v>1778002</v>
      </c>
    </row>
    <row r="195" spans="1:5" s="506" customFormat="1" x14ac:dyDescent="0.2">
      <c r="A195" s="512">
        <v>10</v>
      </c>
      <c r="B195" s="511" t="s">
        <v>787</v>
      </c>
      <c r="C195" s="513">
        <f>+C193+C194</f>
        <v>9725229</v>
      </c>
      <c r="D195" s="513">
        <f>+D193+D194</f>
        <v>11203451</v>
      </c>
      <c r="E195" s="549">
        <f t="shared" si="22"/>
        <v>1478222</v>
      </c>
    </row>
    <row r="196" spans="1:5" s="506" customFormat="1" x14ac:dyDescent="0.2">
      <c r="A196" s="512">
        <v>11</v>
      </c>
      <c r="B196" s="511" t="s">
        <v>788</v>
      </c>
      <c r="C196" s="513">
        <v>131777027</v>
      </c>
      <c r="D196" s="513">
        <v>121599557</v>
      </c>
      <c r="E196" s="546">
        <f t="shared" si="22"/>
        <v>-10177470</v>
      </c>
    </row>
    <row r="197" spans="1:5" s="506" customFormat="1" x14ac:dyDescent="0.2">
      <c r="A197" s="512">
        <v>12</v>
      </c>
      <c r="B197" s="511" t="s">
        <v>673</v>
      </c>
      <c r="C197" s="513">
        <v>129657399</v>
      </c>
      <c r="D197" s="513">
        <v>130987633</v>
      </c>
      <c r="E197" s="546">
        <f t="shared" si="22"/>
        <v>1330234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789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619</v>
      </c>
      <c r="C203" s="553">
        <v>2610.5628999999999</v>
      </c>
      <c r="D203" s="553">
        <v>2352.7503999999999</v>
      </c>
      <c r="E203" s="554">
        <f t="shared" ref="E203:E211" si="23">D203-C203</f>
        <v>-257.8125</v>
      </c>
    </row>
    <row r="204" spans="1:5" s="506" customFormat="1" x14ac:dyDescent="0.2">
      <c r="A204" s="512">
        <v>2</v>
      </c>
      <c r="B204" s="511" t="s">
        <v>598</v>
      </c>
      <c r="C204" s="553">
        <v>4677.5388000000003</v>
      </c>
      <c r="D204" s="553">
        <v>4410.2898000000005</v>
      </c>
      <c r="E204" s="554">
        <f t="shared" si="23"/>
        <v>-267.2489999999998</v>
      </c>
    </row>
    <row r="205" spans="1:5" s="506" customFormat="1" x14ac:dyDescent="0.2">
      <c r="A205" s="512">
        <v>3</v>
      </c>
      <c r="B205" s="511" t="s">
        <v>744</v>
      </c>
      <c r="C205" s="553">
        <f>C206+C207</f>
        <v>1249.6053999999999</v>
      </c>
      <c r="D205" s="553">
        <f>D206+D207</f>
        <v>1439.7069999999999</v>
      </c>
      <c r="E205" s="554">
        <f t="shared" si="23"/>
        <v>190.10159999999996</v>
      </c>
    </row>
    <row r="206" spans="1:5" s="506" customFormat="1" x14ac:dyDescent="0.2">
      <c r="A206" s="512">
        <v>4</v>
      </c>
      <c r="B206" s="511" t="s">
        <v>114</v>
      </c>
      <c r="C206" s="553">
        <v>870.34359999999992</v>
      </c>
      <c r="D206" s="553">
        <v>1111.675</v>
      </c>
      <c r="E206" s="554">
        <f t="shared" si="23"/>
        <v>241.33140000000003</v>
      </c>
    </row>
    <row r="207" spans="1:5" s="506" customFormat="1" x14ac:dyDescent="0.2">
      <c r="A207" s="512">
        <v>5</v>
      </c>
      <c r="B207" s="511" t="s">
        <v>711</v>
      </c>
      <c r="C207" s="553">
        <v>379.26179999999999</v>
      </c>
      <c r="D207" s="553">
        <v>328.03199999999998</v>
      </c>
      <c r="E207" s="554">
        <f t="shared" si="23"/>
        <v>-51.229800000000012</v>
      </c>
    </row>
    <row r="208" spans="1:5" s="506" customFormat="1" x14ac:dyDescent="0.2">
      <c r="A208" s="512">
        <v>6</v>
      </c>
      <c r="B208" s="511" t="s">
        <v>416</v>
      </c>
      <c r="C208" s="553">
        <v>11.594000000000001</v>
      </c>
      <c r="D208" s="553">
        <v>30.188000000000002</v>
      </c>
      <c r="E208" s="554">
        <f t="shared" si="23"/>
        <v>18.594000000000001</v>
      </c>
    </row>
    <row r="209" spans="1:5" s="506" customFormat="1" x14ac:dyDescent="0.2">
      <c r="A209" s="512">
        <v>7</v>
      </c>
      <c r="B209" s="511" t="s">
        <v>726</v>
      </c>
      <c r="C209" s="553">
        <v>41.477800000000002</v>
      </c>
      <c r="D209" s="553">
        <v>57.107199999999999</v>
      </c>
      <c r="E209" s="554">
        <f t="shared" si="23"/>
        <v>15.629399999999997</v>
      </c>
    </row>
    <row r="210" spans="1:5" s="506" customFormat="1" x14ac:dyDescent="0.2">
      <c r="A210" s="512"/>
      <c r="B210" s="516" t="s">
        <v>791</v>
      </c>
      <c r="C210" s="555">
        <f>C204+C205+C208</f>
        <v>5938.7382000000007</v>
      </c>
      <c r="D210" s="555">
        <f>D204+D205+D208</f>
        <v>5880.1848000000009</v>
      </c>
      <c r="E210" s="556">
        <f t="shared" si="23"/>
        <v>-58.553399999999783</v>
      </c>
    </row>
    <row r="211" spans="1:5" s="506" customFormat="1" x14ac:dyDescent="0.2">
      <c r="A211" s="512"/>
      <c r="B211" s="516" t="s">
        <v>690</v>
      </c>
      <c r="C211" s="555">
        <f>C210+C203</f>
        <v>8549.3011000000006</v>
      </c>
      <c r="D211" s="555">
        <f>D210+D203</f>
        <v>8232.9351999999999</v>
      </c>
      <c r="E211" s="556">
        <f t="shared" si="23"/>
        <v>-316.36590000000069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619</v>
      </c>
      <c r="C215" s="557">
        <f>IF(C14*C137=0,0,C25/C14*C137)</f>
        <v>6214.9956572262854</v>
      </c>
      <c r="D215" s="557">
        <f>IF(D14*D137=0,0,D25/D14*D137)</f>
        <v>6023.519641603104</v>
      </c>
      <c r="E215" s="557">
        <f t="shared" ref="E215:E223" si="24">D215-C215</f>
        <v>-191.47601562318141</v>
      </c>
    </row>
    <row r="216" spans="1:5" s="506" customFormat="1" x14ac:dyDescent="0.2">
      <c r="A216" s="512">
        <v>2</v>
      </c>
      <c r="B216" s="511" t="s">
        <v>598</v>
      </c>
      <c r="C216" s="557">
        <f>IF(C15*C138=0,0,C26/C15*C138)</f>
        <v>2957.3392225598145</v>
      </c>
      <c r="D216" s="557">
        <f>IF(D15*D138=0,0,D26/D15*D138)</f>
        <v>3246.4517900024025</v>
      </c>
      <c r="E216" s="557">
        <f t="shared" si="24"/>
        <v>289.11256744258799</v>
      </c>
    </row>
    <row r="217" spans="1:5" s="506" customFormat="1" x14ac:dyDescent="0.2">
      <c r="A217" s="512">
        <v>3</v>
      </c>
      <c r="B217" s="511" t="s">
        <v>744</v>
      </c>
      <c r="C217" s="557">
        <f>C218+C219</f>
        <v>2406.4496242285354</v>
      </c>
      <c r="D217" s="557">
        <f>D218+D219</f>
        <v>2915.909539061312</v>
      </c>
      <c r="E217" s="557">
        <f t="shared" si="24"/>
        <v>509.45991483277658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1915.9307796232777</v>
      </c>
      <c r="D218" s="557">
        <f t="shared" si="25"/>
        <v>2374.4756056800161</v>
      </c>
      <c r="E218" s="557">
        <f t="shared" si="24"/>
        <v>458.54482605673843</v>
      </c>
    </row>
    <row r="219" spans="1:5" s="506" customFormat="1" x14ac:dyDescent="0.2">
      <c r="A219" s="512">
        <v>5</v>
      </c>
      <c r="B219" s="511" t="s">
        <v>711</v>
      </c>
      <c r="C219" s="557">
        <f t="shared" si="25"/>
        <v>490.51884460525764</v>
      </c>
      <c r="D219" s="557">
        <f t="shared" si="25"/>
        <v>541.43393338129601</v>
      </c>
      <c r="E219" s="557">
        <f t="shared" si="24"/>
        <v>50.915088776038374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23.357194836265762</v>
      </c>
      <c r="D220" s="557">
        <f t="shared" si="25"/>
        <v>20.447180660408431</v>
      </c>
      <c r="E220" s="557">
        <f t="shared" si="24"/>
        <v>-2.9100141758573308</v>
      </c>
    </row>
    <row r="221" spans="1:5" s="506" customFormat="1" x14ac:dyDescent="0.2">
      <c r="A221" s="512">
        <v>7</v>
      </c>
      <c r="B221" s="511" t="s">
        <v>726</v>
      </c>
      <c r="C221" s="557">
        <f t="shared" si="25"/>
        <v>262.92066280505173</v>
      </c>
      <c r="D221" s="557">
        <f t="shared" si="25"/>
        <v>471.32212163071222</v>
      </c>
      <c r="E221" s="557">
        <f t="shared" si="24"/>
        <v>208.40145882566048</v>
      </c>
    </row>
    <row r="222" spans="1:5" s="506" customFormat="1" x14ac:dyDescent="0.2">
      <c r="A222" s="512"/>
      <c r="B222" s="516" t="s">
        <v>793</v>
      </c>
      <c r="C222" s="558">
        <f>C216+C218+C219+C220</f>
        <v>5387.1460416246164</v>
      </c>
      <c r="D222" s="558">
        <f>D216+D218+D219+D220</f>
        <v>6182.8085097241228</v>
      </c>
      <c r="E222" s="558">
        <f t="shared" si="24"/>
        <v>795.66246809950644</v>
      </c>
    </row>
    <row r="223" spans="1:5" s="506" customFormat="1" x14ac:dyDescent="0.2">
      <c r="A223" s="512"/>
      <c r="B223" s="516" t="s">
        <v>794</v>
      </c>
      <c r="C223" s="558">
        <f>C215+C222</f>
        <v>11602.141698850901</v>
      </c>
      <c r="D223" s="558">
        <f>D215+D222</f>
        <v>12206.328151327227</v>
      </c>
      <c r="E223" s="558">
        <f t="shared" si="24"/>
        <v>604.18645247632594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619</v>
      </c>
      <c r="C227" s="560">
        <f t="shared" ref="C227:D235" si="26">IF(C203=0,0,C47/C203)</f>
        <v>7498.2311286198083</v>
      </c>
      <c r="D227" s="560">
        <f t="shared" si="26"/>
        <v>7957.3039282024993</v>
      </c>
      <c r="E227" s="560">
        <f t="shared" ref="E227:E235" si="27">D227-C227</f>
        <v>459.072799582691</v>
      </c>
    </row>
    <row r="228" spans="1:5" s="506" customFormat="1" x14ac:dyDescent="0.2">
      <c r="A228" s="512">
        <v>2</v>
      </c>
      <c r="B228" s="511" t="s">
        <v>598</v>
      </c>
      <c r="C228" s="560">
        <f t="shared" si="26"/>
        <v>6249.520794995864</v>
      </c>
      <c r="D228" s="560">
        <f t="shared" si="26"/>
        <v>6948.4492833101349</v>
      </c>
      <c r="E228" s="560">
        <f t="shared" si="27"/>
        <v>698.92848831427091</v>
      </c>
    </row>
    <row r="229" spans="1:5" s="506" customFormat="1" x14ac:dyDescent="0.2">
      <c r="A229" s="512">
        <v>3</v>
      </c>
      <c r="B229" s="511" t="s">
        <v>744</v>
      </c>
      <c r="C229" s="560">
        <f t="shared" si="26"/>
        <v>3644.8682119971636</v>
      </c>
      <c r="D229" s="560">
        <f t="shared" si="26"/>
        <v>4070.3573713262494</v>
      </c>
      <c r="E229" s="560">
        <f t="shared" si="27"/>
        <v>425.48915932908585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4135.0599923984046</v>
      </c>
      <c r="D230" s="560">
        <f t="shared" si="26"/>
        <v>4392.0723232959272</v>
      </c>
      <c r="E230" s="560">
        <f t="shared" si="27"/>
        <v>257.01233089752259</v>
      </c>
    </row>
    <row r="231" spans="1:5" s="506" customFormat="1" x14ac:dyDescent="0.2">
      <c r="A231" s="512">
        <v>5</v>
      </c>
      <c r="B231" s="511" t="s">
        <v>711</v>
      </c>
      <c r="C231" s="560">
        <f t="shared" si="26"/>
        <v>2519.9585088717081</v>
      </c>
      <c r="D231" s="560">
        <f t="shared" si="26"/>
        <v>2980.090357038338</v>
      </c>
      <c r="E231" s="560">
        <f t="shared" si="27"/>
        <v>460.13184816662988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6424.7024322925645</v>
      </c>
      <c r="D232" s="560">
        <f t="shared" si="26"/>
        <v>5391.943818735921</v>
      </c>
      <c r="E232" s="560">
        <f t="shared" si="27"/>
        <v>-1032.7586135566435</v>
      </c>
    </row>
    <row r="233" spans="1:5" s="506" customFormat="1" x14ac:dyDescent="0.2">
      <c r="A233" s="512">
        <v>7</v>
      </c>
      <c r="B233" s="511" t="s">
        <v>726</v>
      </c>
      <c r="C233" s="560">
        <f t="shared" si="26"/>
        <v>579.49071551528766</v>
      </c>
      <c r="D233" s="560">
        <f t="shared" si="26"/>
        <v>489.76311218200158</v>
      </c>
      <c r="E233" s="560">
        <f t="shared" si="27"/>
        <v>-89.727603333286083</v>
      </c>
    </row>
    <row r="234" spans="1:5" x14ac:dyDescent="0.2">
      <c r="A234" s="512"/>
      <c r="B234" s="516" t="s">
        <v>796</v>
      </c>
      <c r="C234" s="561">
        <f t="shared" si="26"/>
        <v>5701.8022784705336</v>
      </c>
      <c r="D234" s="561">
        <f t="shared" si="26"/>
        <v>6235.7851406302734</v>
      </c>
      <c r="E234" s="561">
        <f t="shared" si="27"/>
        <v>533.98286215973985</v>
      </c>
    </row>
    <row r="235" spans="1:5" s="506" customFormat="1" x14ac:dyDescent="0.2">
      <c r="A235" s="512"/>
      <c r="B235" s="516" t="s">
        <v>797</v>
      </c>
      <c r="C235" s="561">
        <f t="shared" si="26"/>
        <v>6250.3489320314147</v>
      </c>
      <c r="D235" s="561">
        <f t="shared" si="26"/>
        <v>6727.7486891916751</v>
      </c>
      <c r="E235" s="561">
        <f t="shared" si="27"/>
        <v>477.39975716026038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798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619</v>
      </c>
      <c r="C239" s="560">
        <f t="shared" ref="C239:D247" si="28">IF(C215=0,0,C58/C215)</f>
        <v>6610.7446032128555</v>
      </c>
      <c r="D239" s="560">
        <f t="shared" si="28"/>
        <v>6028.2217308975414</v>
      </c>
      <c r="E239" s="562">
        <f t="shared" ref="E239:E247" si="29">D239-C239</f>
        <v>-582.52287231531409</v>
      </c>
    </row>
    <row r="240" spans="1:5" s="506" customFormat="1" x14ac:dyDescent="0.2">
      <c r="A240" s="512">
        <v>2</v>
      </c>
      <c r="B240" s="511" t="s">
        <v>598</v>
      </c>
      <c r="C240" s="560">
        <f t="shared" si="28"/>
        <v>5643.1101554709994</v>
      </c>
      <c r="D240" s="560">
        <f t="shared" si="28"/>
        <v>5698.2047467848924</v>
      </c>
      <c r="E240" s="562">
        <f t="shared" si="29"/>
        <v>55.094591313893034</v>
      </c>
    </row>
    <row r="241" spans="1:5" x14ac:dyDescent="0.2">
      <c r="A241" s="512">
        <v>3</v>
      </c>
      <c r="B241" s="511" t="s">
        <v>744</v>
      </c>
      <c r="C241" s="560">
        <f t="shared" si="28"/>
        <v>2966.8154812460671</v>
      </c>
      <c r="D241" s="560">
        <f t="shared" si="28"/>
        <v>2970.1936510650758</v>
      </c>
      <c r="E241" s="562">
        <f t="shared" si="29"/>
        <v>3.37816981900869</v>
      </c>
    </row>
    <row r="242" spans="1:5" x14ac:dyDescent="0.2">
      <c r="A242" s="512">
        <v>4</v>
      </c>
      <c r="B242" s="511" t="s">
        <v>114</v>
      </c>
      <c r="C242" s="560">
        <f t="shared" si="28"/>
        <v>3271.7862600613134</v>
      </c>
      <c r="D242" s="560">
        <f t="shared" si="28"/>
        <v>3202.6865139438319</v>
      </c>
      <c r="E242" s="562">
        <f t="shared" si="29"/>
        <v>-69.099746117481573</v>
      </c>
    </row>
    <row r="243" spans="1:5" x14ac:dyDescent="0.2">
      <c r="A243" s="512">
        <v>5</v>
      </c>
      <c r="B243" s="511" t="s">
        <v>711</v>
      </c>
      <c r="C243" s="560">
        <f t="shared" si="28"/>
        <v>1775.6218942024809</v>
      </c>
      <c r="D243" s="560">
        <f t="shared" si="28"/>
        <v>1950.5888620694341</v>
      </c>
      <c r="E243" s="562">
        <f t="shared" si="29"/>
        <v>174.96696786695315</v>
      </c>
    </row>
    <row r="244" spans="1:5" x14ac:dyDescent="0.2">
      <c r="A244" s="512">
        <v>6</v>
      </c>
      <c r="B244" s="511" t="s">
        <v>416</v>
      </c>
      <c r="C244" s="560">
        <f t="shared" si="28"/>
        <v>4131.9602236716937</v>
      </c>
      <c r="D244" s="560">
        <f t="shared" si="28"/>
        <v>6206.4302217333225</v>
      </c>
      <c r="E244" s="562">
        <f t="shared" si="29"/>
        <v>2074.4699980616288</v>
      </c>
    </row>
    <row r="245" spans="1:5" x14ac:dyDescent="0.2">
      <c r="A245" s="512">
        <v>7</v>
      </c>
      <c r="B245" s="511" t="s">
        <v>726</v>
      </c>
      <c r="C245" s="560">
        <f t="shared" si="28"/>
        <v>1018.1132100616961</v>
      </c>
      <c r="D245" s="560">
        <f t="shared" si="28"/>
        <v>805.14150001499172</v>
      </c>
      <c r="E245" s="562">
        <f t="shared" si="29"/>
        <v>-212.9717100467044</v>
      </c>
    </row>
    <row r="246" spans="1:5" ht="25.5" x14ac:dyDescent="0.2">
      <c r="A246" s="512"/>
      <c r="B246" s="516" t="s">
        <v>799</v>
      </c>
      <c r="C246" s="561">
        <f t="shared" si="28"/>
        <v>4441.0516839794072</v>
      </c>
      <c r="D246" s="561">
        <f t="shared" si="28"/>
        <v>4413.3126486263327</v>
      </c>
      <c r="E246" s="563">
        <f t="shared" si="29"/>
        <v>-27.739035353074541</v>
      </c>
    </row>
    <row r="247" spans="1:5" x14ac:dyDescent="0.2">
      <c r="A247" s="512"/>
      <c r="B247" s="516" t="s">
        <v>800</v>
      </c>
      <c r="C247" s="561">
        <f t="shared" si="28"/>
        <v>5603.3053799402187</v>
      </c>
      <c r="D247" s="561">
        <f t="shared" si="28"/>
        <v>5210.230153699812</v>
      </c>
      <c r="E247" s="563">
        <f t="shared" si="29"/>
        <v>-393.07522624040666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728</v>
      </c>
      <c r="B249" s="550" t="s">
        <v>725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4543292.4396715872</v>
      </c>
      <c r="D251" s="546">
        <f>((IF((IF(D15=0,0,D26/D15)*D138)=0,0,D59/(IF(D15=0,0,D26/D15)*D138)))-(IF((IF(D17=0,0,D28/D17)*D140)=0,0,D61/(IF(D17=0,0,D28/D17)*D140))))*(IF(D17=0,0,D28/D17)*D140)</f>
        <v>5925547.1674108012</v>
      </c>
      <c r="E251" s="546">
        <f>D251-C251</f>
        <v>1382254.727739214</v>
      </c>
    </row>
    <row r="252" spans="1:5" x14ac:dyDescent="0.2">
      <c r="A252" s="512">
        <v>2</v>
      </c>
      <c r="B252" s="511" t="s">
        <v>711</v>
      </c>
      <c r="C252" s="546">
        <f>IF(C231=0,0,(C228-C231)*C207)+IF(C243=0,0,(C240-C243)*C219)</f>
        <v>3311556.3792893928</v>
      </c>
      <c r="D252" s="546">
        <f>IF(D231=0,0,(D228-D231)*D207)+IF(D243=0,0,(D240-D243)*D219)</f>
        <v>3330835.1245665066</v>
      </c>
      <c r="E252" s="546">
        <f>D252-C252</f>
        <v>19278.745277113747</v>
      </c>
    </row>
    <row r="253" spans="1:5" x14ac:dyDescent="0.2">
      <c r="A253" s="512">
        <v>3</v>
      </c>
      <c r="B253" s="511" t="s">
        <v>726</v>
      </c>
      <c r="C253" s="546">
        <f>IF(C233=0,0,(C228-C233)*C209+IF(C221=0,0,(C240-C245)*C221))</f>
        <v>1451187.6359890332</v>
      </c>
      <c r="D253" s="546">
        <f>IF(D233=0,0,(D228-D233)*D209+IF(D221=0,0,(D240-D245)*D221))</f>
        <v>2675046.433652699</v>
      </c>
      <c r="E253" s="546">
        <f>D253-C253</f>
        <v>1223858.7976636658</v>
      </c>
    </row>
    <row r="254" spans="1:5" ht="15" customHeight="1" x14ac:dyDescent="0.2">
      <c r="A254" s="512"/>
      <c r="B254" s="516" t="s">
        <v>727</v>
      </c>
      <c r="C254" s="564">
        <f>+C251+C252+C253</f>
        <v>9306036.4549500123</v>
      </c>
      <c r="D254" s="564">
        <f>+D251+D252+D253</f>
        <v>11931428.725630008</v>
      </c>
      <c r="E254" s="564">
        <f>D254-C254</f>
        <v>2625392.2706799954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801</v>
      </c>
      <c r="B256" s="550" t="s">
        <v>802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693</v>
      </c>
      <c r="C258" s="546">
        <f>+C44</f>
        <v>359092081</v>
      </c>
      <c r="D258" s="549">
        <f>+D44</f>
        <v>361761243</v>
      </c>
      <c r="E258" s="546">
        <f t="shared" ref="E258:E271" si="30">D258-C258</f>
        <v>2669162</v>
      </c>
    </row>
    <row r="259" spans="1:5" x14ac:dyDescent="0.2">
      <c r="A259" s="512">
        <v>2</v>
      </c>
      <c r="B259" s="511" t="s">
        <v>710</v>
      </c>
      <c r="C259" s="546">
        <f>+(C43-C76)</f>
        <v>151392607</v>
      </c>
      <c r="D259" s="549">
        <f>+(D43-D76)</f>
        <v>160061571</v>
      </c>
      <c r="E259" s="546">
        <f t="shared" si="30"/>
        <v>8668964</v>
      </c>
    </row>
    <row r="260" spans="1:5" x14ac:dyDescent="0.2">
      <c r="A260" s="512">
        <v>3</v>
      </c>
      <c r="B260" s="511" t="s">
        <v>714</v>
      </c>
      <c r="C260" s="546">
        <f>C195</f>
        <v>9725229</v>
      </c>
      <c r="D260" s="546">
        <f>D195</f>
        <v>11203451</v>
      </c>
      <c r="E260" s="546">
        <f t="shared" si="30"/>
        <v>1478222</v>
      </c>
    </row>
    <row r="261" spans="1:5" x14ac:dyDescent="0.2">
      <c r="A261" s="512">
        <v>4</v>
      </c>
      <c r="B261" s="511" t="s">
        <v>715</v>
      </c>
      <c r="C261" s="546">
        <f>C188</f>
        <v>75988601</v>
      </c>
      <c r="D261" s="546">
        <f>D188</f>
        <v>68559188</v>
      </c>
      <c r="E261" s="546">
        <f t="shared" si="30"/>
        <v>-7429413</v>
      </c>
    </row>
    <row r="262" spans="1:5" x14ac:dyDescent="0.2">
      <c r="A262" s="512">
        <v>5</v>
      </c>
      <c r="B262" s="511" t="s">
        <v>716</v>
      </c>
      <c r="C262" s="546">
        <f>C191</f>
        <v>3539186</v>
      </c>
      <c r="D262" s="546">
        <f>D191</f>
        <v>2950139</v>
      </c>
      <c r="E262" s="546">
        <f t="shared" si="30"/>
        <v>-589047</v>
      </c>
    </row>
    <row r="263" spans="1:5" x14ac:dyDescent="0.2">
      <c r="A263" s="512">
        <v>6</v>
      </c>
      <c r="B263" s="511" t="s">
        <v>717</v>
      </c>
      <c r="C263" s="546">
        <f>+C259+C260+C261+C262</f>
        <v>240645623</v>
      </c>
      <c r="D263" s="546">
        <f>+D259+D260+D261+D262</f>
        <v>242774349</v>
      </c>
      <c r="E263" s="546">
        <f t="shared" si="30"/>
        <v>2128726</v>
      </c>
    </row>
    <row r="264" spans="1:5" x14ac:dyDescent="0.2">
      <c r="A264" s="512">
        <v>7</v>
      </c>
      <c r="B264" s="511" t="s">
        <v>617</v>
      </c>
      <c r="C264" s="546">
        <f>+C258-C263</f>
        <v>118446458</v>
      </c>
      <c r="D264" s="546">
        <f>+D258-D263</f>
        <v>118986894</v>
      </c>
      <c r="E264" s="546">
        <f t="shared" si="30"/>
        <v>540436</v>
      </c>
    </row>
    <row r="265" spans="1:5" x14ac:dyDescent="0.2">
      <c r="A265" s="512">
        <v>8</v>
      </c>
      <c r="B265" s="511" t="s">
        <v>803</v>
      </c>
      <c r="C265" s="565">
        <f>C192</f>
        <v>624350</v>
      </c>
      <c r="D265" s="565">
        <f>D192</f>
        <v>624004</v>
      </c>
      <c r="E265" s="546">
        <f t="shared" si="30"/>
        <v>-346</v>
      </c>
    </row>
    <row r="266" spans="1:5" x14ac:dyDescent="0.2">
      <c r="A266" s="512">
        <v>9</v>
      </c>
      <c r="B266" s="511" t="s">
        <v>804</v>
      </c>
      <c r="C266" s="546">
        <f>+C264+C265</f>
        <v>119070808</v>
      </c>
      <c r="D266" s="546">
        <f>+D264+D265</f>
        <v>119610898</v>
      </c>
      <c r="E266" s="565">
        <f t="shared" si="30"/>
        <v>540090</v>
      </c>
    </row>
    <row r="267" spans="1:5" x14ac:dyDescent="0.2">
      <c r="A267" s="512">
        <v>10</v>
      </c>
      <c r="B267" s="511" t="s">
        <v>805</v>
      </c>
      <c r="C267" s="566">
        <f>IF(C258=0,0,C266/C258)</f>
        <v>0.33158850974494197</v>
      </c>
      <c r="D267" s="566">
        <f>IF(D258=0,0,D266/D258)</f>
        <v>0.33063491547103069</v>
      </c>
      <c r="E267" s="567">
        <f t="shared" si="30"/>
        <v>-9.535942739112846E-4</v>
      </c>
    </row>
    <row r="268" spans="1:5" x14ac:dyDescent="0.2">
      <c r="A268" s="512">
        <v>11</v>
      </c>
      <c r="B268" s="511" t="s">
        <v>679</v>
      </c>
      <c r="C268" s="546">
        <f>+C260*C267</f>
        <v>3224774.1910382924</v>
      </c>
      <c r="D268" s="568">
        <f>+D260*D267</f>
        <v>3704252.074368834</v>
      </c>
      <c r="E268" s="546">
        <f t="shared" si="30"/>
        <v>479477.88333054166</v>
      </c>
    </row>
    <row r="269" spans="1:5" x14ac:dyDescent="0.2">
      <c r="A269" s="512">
        <v>12</v>
      </c>
      <c r="B269" s="511" t="s">
        <v>806</v>
      </c>
      <c r="C269" s="546">
        <f>((C17+C18+C28+C29)*C267)-(C50+C51+C61+C62)</f>
        <v>5079544.2997960746</v>
      </c>
      <c r="D269" s="568">
        <f>((D17+D18+D28+D29)*D267)-(D50+D51+D61+D62)</f>
        <v>5738268.4351769425</v>
      </c>
      <c r="E269" s="546">
        <f t="shared" si="30"/>
        <v>658724.13538086787</v>
      </c>
    </row>
    <row r="270" spans="1:5" s="569" customFormat="1" x14ac:dyDescent="0.2">
      <c r="A270" s="570">
        <v>13</v>
      </c>
      <c r="B270" s="571" t="s">
        <v>807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808</v>
      </c>
      <c r="C271" s="546">
        <f>+C268+C269+C270</f>
        <v>8304318.4908343665</v>
      </c>
      <c r="D271" s="546">
        <f>+D268+D269+D270</f>
        <v>9442520.509545777</v>
      </c>
      <c r="E271" s="549">
        <f t="shared" si="30"/>
        <v>1138202.0187114105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809</v>
      </c>
      <c r="B273" s="550" t="s">
        <v>810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811</v>
      </c>
      <c r="C275" s="340"/>
      <c r="D275" s="340"/>
      <c r="E275" s="520"/>
    </row>
    <row r="276" spans="1:5" x14ac:dyDescent="0.2">
      <c r="A276" s="512">
        <v>1</v>
      </c>
      <c r="B276" s="511" t="s">
        <v>619</v>
      </c>
      <c r="C276" s="547">
        <f t="shared" ref="C276:D284" si="31">IF(C14=0,0,+C47/C14)</f>
        <v>0.42772004478270298</v>
      </c>
      <c r="D276" s="547">
        <f t="shared" si="31"/>
        <v>0.46523084920959551</v>
      </c>
      <c r="E276" s="574">
        <f t="shared" ref="E276:E284" si="32">D276-C276</f>
        <v>3.751080442689253E-2</v>
      </c>
    </row>
    <row r="277" spans="1:5" x14ac:dyDescent="0.2">
      <c r="A277" s="512">
        <v>2</v>
      </c>
      <c r="B277" s="511" t="s">
        <v>598</v>
      </c>
      <c r="C277" s="547">
        <f t="shared" si="31"/>
        <v>0.3372006049369331</v>
      </c>
      <c r="D277" s="547">
        <f t="shared" si="31"/>
        <v>0.36959431079476007</v>
      </c>
      <c r="E277" s="574">
        <f t="shared" si="32"/>
        <v>3.2393705857826971E-2</v>
      </c>
    </row>
    <row r="278" spans="1:5" x14ac:dyDescent="0.2">
      <c r="A278" s="512">
        <v>3</v>
      </c>
      <c r="B278" s="511" t="s">
        <v>744</v>
      </c>
      <c r="C278" s="547">
        <f t="shared" si="31"/>
        <v>0.23174664216084595</v>
      </c>
      <c r="D278" s="547">
        <f t="shared" si="31"/>
        <v>0.26099399855458655</v>
      </c>
      <c r="E278" s="574">
        <f t="shared" si="32"/>
        <v>2.9247356393740598E-2</v>
      </c>
    </row>
    <row r="279" spans="1:5" x14ac:dyDescent="0.2">
      <c r="A279" s="512">
        <v>4</v>
      </c>
      <c r="B279" s="511" t="s">
        <v>114</v>
      </c>
      <c r="C279" s="547">
        <f t="shared" si="31"/>
        <v>0.26869135922660625</v>
      </c>
      <c r="D279" s="547">
        <f t="shared" si="31"/>
        <v>0.27844044150073111</v>
      </c>
      <c r="E279" s="574">
        <f t="shared" si="32"/>
        <v>9.749082274124854E-3</v>
      </c>
    </row>
    <row r="280" spans="1:5" x14ac:dyDescent="0.2">
      <c r="A280" s="512">
        <v>5</v>
      </c>
      <c r="B280" s="511" t="s">
        <v>711</v>
      </c>
      <c r="C280" s="547">
        <f t="shared" si="31"/>
        <v>0.15268868809249855</v>
      </c>
      <c r="D280" s="547">
        <f t="shared" si="31"/>
        <v>0.19878427351873368</v>
      </c>
      <c r="E280" s="574">
        <f t="shared" si="32"/>
        <v>4.6095585426235125E-2</v>
      </c>
    </row>
    <row r="281" spans="1:5" x14ac:dyDescent="0.2">
      <c r="A281" s="512">
        <v>6</v>
      </c>
      <c r="B281" s="511" t="s">
        <v>416</v>
      </c>
      <c r="C281" s="547">
        <f t="shared" si="31"/>
        <v>0.37127049793151573</v>
      </c>
      <c r="D281" s="547">
        <f t="shared" si="31"/>
        <v>0.26150927087734743</v>
      </c>
      <c r="E281" s="574">
        <f t="shared" si="32"/>
        <v>-0.1097612270541683</v>
      </c>
    </row>
    <row r="282" spans="1:5" x14ac:dyDescent="0.2">
      <c r="A282" s="512">
        <v>7</v>
      </c>
      <c r="B282" s="511" t="s">
        <v>726</v>
      </c>
      <c r="C282" s="547">
        <f t="shared" si="31"/>
        <v>2.6539585233408342E-2</v>
      </c>
      <c r="D282" s="547">
        <f t="shared" si="31"/>
        <v>3.5906119535578755E-2</v>
      </c>
      <c r="E282" s="574">
        <f t="shared" si="32"/>
        <v>9.366534302170413E-3</v>
      </c>
    </row>
    <row r="283" spans="1:5" ht="29.25" customHeight="1" x14ac:dyDescent="0.2">
      <c r="A283" s="512"/>
      <c r="B283" s="516" t="s">
        <v>812</v>
      </c>
      <c r="C283" s="575">
        <f t="shared" si="31"/>
        <v>0.3178125527034012</v>
      </c>
      <c r="D283" s="575">
        <f t="shared" si="31"/>
        <v>0.34595348450336044</v>
      </c>
      <c r="E283" s="576">
        <f t="shared" si="32"/>
        <v>2.8140931799959246E-2</v>
      </c>
    </row>
    <row r="284" spans="1:5" x14ac:dyDescent="0.2">
      <c r="A284" s="512"/>
      <c r="B284" s="516" t="s">
        <v>813</v>
      </c>
      <c r="C284" s="575">
        <f t="shared" si="31"/>
        <v>0.35083663353186062</v>
      </c>
      <c r="D284" s="575">
        <f t="shared" si="31"/>
        <v>0.37877744533793456</v>
      </c>
      <c r="E284" s="576">
        <f t="shared" si="32"/>
        <v>2.794081180607394E-2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814</v>
      </c>
      <c r="C286" s="520"/>
      <c r="D286" s="520"/>
      <c r="E286" s="520"/>
    </row>
    <row r="287" spans="1:5" x14ac:dyDescent="0.2">
      <c r="A287" s="512">
        <v>1</v>
      </c>
      <c r="B287" s="511" t="s">
        <v>619</v>
      </c>
      <c r="C287" s="547">
        <f t="shared" ref="C287:D295" si="33">IF(C25=0,0,+C58/C25)</f>
        <v>0.39449245191317334</v>
      </c>
      <c r="D287" s="547">
        <f t="shared" si="33"/>
        <v>0.37240632221753822</v>
      </c>
      <c r="E287" s="574">
        <f t="shared" ref="E287:E295" si="34">D287-C287</f>
        <v>-2.2086129695635115E-2</v>
      </c>
    </row>
    <row r="288" spans="1:5" x14ac:dyDescent="0.2">
      <c r="A288" s="512">
        <v>2</v>
      </c>
      <c r="B288" s="511" t="s">
        <v>598</v>
      </c>
      <c r="C288" s="547">
        <f t="shared" si="33"/>
        <v>0.23414408698313152</v>
      </c>
      <c r="D288" s="547">
        <f t="shared" si="33"/>
        <v>0.23544835820214688</v>
      </c>
      <c r="E288" s="574">
        <f t="shared" si="34"/>
        <v>1.3042712190153571E-3</v>
      </c>
    </row>
    <row r="289" spans="1:5" x14ac:dyDescent="0.2">
      <c r="A289" s="512">
        <v>3</v>
      </c>
      <c r="B289" s="511" t="s">
        <v>744</v>
      </c>
      <c r="C289" s="547">
        <f t="shared" si="33"/>
        <v>0.23081041751920114</v>
      </c>
      <c r="D289" s="547">
        <f t="shared" si="33"/>
        <v>0.22309872239329712</v>
      </c>
      <c r="E289" s="574">
        <f t="shared" si="34"/>
        <v>-7.7116951259040278E-3</v>
      </c>
    </row>
    <row r="290" spans="1:5" x14ac:dyDescent="0.2">
      <c r="A290" s="512">
        <v>4</v>
      </c>
      <c r="B290" s="511" t="s">
        <v>114</v>
      </c>
      <c r="C290" s="547">
        <f t="shared" si="33"/>
        <v>0.26478620295273142</v>
      </c>
      <c r="D290" s="547">
        <f t="shared" si="33"/>
        <v>0.24199996378608984</v>
      </c>
      <c r="E290" s="574">
        <f t="shared" si="34"/>
        <v>-2.2786239166641575E-2</v>
      </c>
    </row>
    <row r="291" spans="1:5" x14ac:dyDescent="0.2">
      <c r="A291" s="512">
        <v>5</v>
      </c>
      <c r="B291" s="511" t="s">
        <v>711</v>
      </c>
      <c r="C291" s="547">
        <f t="shared" si="33"/>
        <v>0.11999557478293084</v>
      </c>
      <c r="D291" s="547">
        <f t="shared" si="33"/>
        <v>0.14279224435906987</v>
      </c>
      <c r="E291" s="574">
        <f t="shared" si="34"/>
        <v>2.2796669576139031E-2</v>
      </c>
    </row>
    <row r="292" spans="1:5" x14ac:dyDescent="0.2">
      <c r="A292" s="512">
        <v>6</v>
      </c>
      <c r="B292" s="511" t="s">
        <v>416</v>
      </c>
      <c r="C292" s="547">
        <f t="shared" si="33"/>
        <v>0.22654419807799744</v>
      </c>
      <c r="D292" s="547">
        <f t="shared" si="33"/>
        <v>0.19942484481810324</v>
      </c>
      <c r="E292" s="574">
        <f t="shared" si="34"/>
        <v>-2.7119353259894202E-2</v>
      </c>
    </row>
    <row r="293" spans="1:5" x14ac:dyDescent="0.2">
      <c r="A293" s="512">
        <v>7</v>
      </c>
      <c r="B293" s="511" t="s">
        <v>726</v>
      </c>
      <c r="C293" s="547">
        <f t="shared" si="33"/>
        <v>4.8338866682256953E-2</v>
      </c>
      <c r="D293" s="547">
        <f t="shared" si="33"/>
        <v>6.6152112850869985E-2</v>
      </c>
      <c r="E293" s="574">
        <f t="shared" si="34"/>
        <v>1.7813246168613031E-2</v>
      </c>
    </row>
    <row r="294" spans="1:5" ht="29.25" customHeight="1" x14ac:dyDescent="0.2">
      <c r="A294" s="512"/>
      <c r="B294" s="516" t="s">
        <v>815</v>
      </c>
      <c r="C294" s="575">
        <f t="shared" si="33"/>
        <v>0.23310781722037638</v>
      </c>
      <c r="D294" s="575">
        <f t="shared" si="33"/>
        <v>0.23119214697957249</v>
      </c>
      <c r="E294" s="576">
        <f t="shared" si="34"/>
        <v>-1.915670240803885E-3</v>
      </c>
    </row>
    <row r="295" spans="1:5" x14ac:dyDescent="0.2">
      <c r="A295" s="512"/>
      <c r="B295" s="516" t="s">
        <v>816</v>
      </c>
      <c r="C295" s="575">
        <f t="shared" si="33"/>
        <v>0.31439141423968553</v>
      </c>
      <c r="D295" s="575">
        <f t="shared" si="33"/>
        <v>0.29507630682272584</v>
      </c>
      <c r="E295" s="576">
        <f t="shared" si="34"/>
        <v>-1.9315107416959687E-2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817</v>
      </c>
      <c r="B297" s="501" t="s">
        <v>818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819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617</v>
      </c>
      <c r="C301" s="514">
        <f>+C48+C47+C50+C51+C52+C59+C58+C61+C62+C63</f>
        <v>118446458</v>
      </c>
      <c r="D301" s="514">
        <f>+D48+D47+D50+D51+D52+D59+D58+D61+D62+D63</f>
        <v>118986898</v>
      </c>
      <c r="E301" s="514">
        <f>D301-C301</f>
        <v>540440</v>
      </c>
    </row>
    <row r="302" spans="1:5" ht="25.5" x14ac:dyDescent="0.2">
      <c r="A302" s="512">
        <v>2</v>
      </c>
      <c r="B302" s="511" t="s">
        <v>820</v>
      </c>
      <c r="C302" s="546">
        <f>C265</f>
        <v>624350</v>
      </c>
      <c r="D302" s="546">
        <f>D265</f>
        <v>624004</v>
      </c>
      <c r="E302" s="514">
        <f>D302-C302</f>
        <v>-346</v>
      </c>
    </row>
    <row r="303" spans="1:5" x14ac:dyDescent="0.2">
      <c r="A303" s="512"/>
      <c r="B303" s="516" t="s">
        <v>821</v>
      </c>
      <c r="C303" s="517">
        <f>+C301+C302</f>
        <v>119070808</v>
      </c>
      <c r="D303" s="517">
        <f>+D301+D302</f>
        <v>119610902</v>
      </c>
      <c r="E303" s="517">
        <f>D303-C303</f>
        <v>540094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822</v>
      </c>
      <c r="C305" s="513">
        <v>6543376</v>
      </c>
      <c r="D305" s="578">
        <v>8407994</v>
      </c>
      <c r="E305" s="579">
        <f>D305-C305</f>
        <v>1864618</v>
      </c>
    </row>
    <row r="306" spans="1:5" x14ac:dyDescent="0.2">
      <c r="A306" s="512">
        <v>4</v>
      </c>
      <c r="B306" s="516" t="s">
        <v>823</v>
      </c>
      <c r="C306" s="580">
        <f>+C303+C305</f>
        <v>125614184</v>
      </c>
      <c r="D306" s="580">
        <f>+D303+D305</f>
        <v>128018896</v>
      </c>
      <c r="E306" s="580">
        <f>D306-C306</f>
        <v>2404712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824</v>
      </c>
      <c r="C308" s="513">
        <v>125614183</v>
      </c>
      <c r="D308" s="513">
        <v>128018896</v>
      </c>
      <c r="E308" s="514">
        <f>D308-C308</f>
        <v>2404713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825</v>
      </c>
      <c r="C310" s="581">
        <f>C306-C308</f>
        <v>1</v>
      </c>
      <c r="D310" s="582">
        <f>D306-D308</f>
        <v>0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827</v>
      </c>
      <c r="C314" s="514">
        <f>+C14+C15+C16+C19+C25+C26+C27+C30</f>
        <v>359092081</v>
      </c>
      <c r="D314" s="514">
        <f>+D14+D15+D16+D19+D25+D26+D27+D30</f>
        <v>361761243</v>
      </c>
      <c r="E314" s="514">
        <f>D314-C314</f>
        <v>2669162</v>
      </c>
    </row>
    <row r="315" spans="1:5" x14ac:dyDescent="0.2">
      <c r="A315" s="512">
        <v>2</v>
      </c>
      <c r="B315" s="583" t="s">
        <v>828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829</v>
      </c>
      <c r="C316" s="581">
        <f>C314+C315</f>
        <v>359092081</v>
      </c>
      <c r="D316" s="581">
        <f>D314+D315</f>
        <v>361761243</v>
      </c>
      <c r="E316" s="517">
        <f>D316-C316</f>
        <v>2669162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830</v>
      </c>
      <c r="C318" s="513">
        <v>359092081</v>
      </c>
      <c r="D318" s="513">
        <v>361761109</v>
      </c>
      <c r="E318" s="514">
        <f>D318-C318</f>
        <v>2669028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825</v>
      </c>
      <c r="C320" s="581">
        <f>C316-C318</f>
        <v>0</v>
      </c>
      <c r="D320" s="581">
        <f>D316-D318</f>
        <v>134</v>
      </c>
      <c r="E320" s="517">
        <f>D320-C320</f>
        <v>134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832</v>
      </c>
      <c r="C324" s="513">
        <f>+C193+C194</f>
        <v>9725229</v>
      </c>
      <c r="D324" s="513">
        <f>+D193+D194</f>
        <v>11203451</v>
      </c>
      <c r="E324" s="514">
        <f>D324-C324</f>
        <v>1478222</v>
      </c>
    </row>
    <row r="325" spans="1:5" x14ac:dyDescent="0.2">
      <c r="A325" s="512">
        <v>2</v>
      </c>
      <c r="B325" s="511" t="s">
        <v>833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834</v>
      </c>
      <c r="C326" s="581">
        <f>C324+C325</f>
        <v>9725229</v>
      </c>
      <c r="D326" s="581">
        <f>D324+D325</f>
        <v>11203451</v>
      </c>
      <c r="E326" s="517">
        <f>D326-C326</f>
        <v>1478222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835</v>
      </c>
      <c r="C328" s="513">
        <v>9725229</v>
      </c>
      <c r="D328" s="513">
        <v>11203451</v>
      </c>
      <c r="E328" s="514">
        <f>D328-C328</f>
        <v>1478222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FILING&amp;RBRISTOL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B35" sqref="B35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5" width="9.140625" style="330"/>
    <col min="6" max="6" width="18" style="330" customWidth="1"/>
    <col min="7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589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837</v>
      </c>
      <c r="B5" s="696"/>
      <c r="C5" s="697"/>
      <c r="D5" s="585"/>
    </row>
    <row r="6" spans="1:58" s="338" customFormat="1" ht="15.75" customHeight="1" x14ac:dyDescent="0.25">
      <c r="A6" s="695" t="s">
        <v>838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839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619</v>
      </c>
      <c r="C14" s="513">
        <v>40241420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598</v>
      </c>
      <c r="C15" s="515">
        <v>82914358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744</v>
      </c>
      <c r="C16" s="515">
        <v>22453091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17535373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711</v>
      </c>
      <c r="C18" s="515">
        <v>4917718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622433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726</v>
      </c>
      <c r="C20" s="515">
        <v>778948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745</v>
      </c>
      <c r="C21" s="517">
        <f>SUM(C15+C16+C19)</f>
        <v>105989882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685</v>
      </c>
      <c r="C22" s="517">
        <f>SUM(C14+C21)</f>
        <v>146231302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619</v>
      </c>
      <c r="C25" s="513">
        <v>97504016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598</v>
      </c>
      <c r="C26" s="515">
        <v>78569021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744</v>
      </c>
      <c r="C27" s="515">
        <v>38820554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31424389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711</v>
      </c>
      <c r="C29" s="515">
        <v>7396165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636350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726</v>
      </c>
      <c r="C31" s="518">
        <v>5736491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747</v>
      </c>
      <c r="C32" s="517">
        <f>SUM(C26+C27+C30)</f>
        <v>118025925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691</v>
      </c>
      <c r="C33" s="517">
        <f>SUM(C25+C32)</f>
        <v>215529941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841</v>
      </c>
      <c r="C36" s="514">
        <f>SUM(C14+C25)</f>
        <v>137745436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842</v>
      </c>
      <c r="C37" s="518">
        <f>SUM(C21+C32)</f>
        <v>224015807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616</v>
      </c>
      <c r="C38" s="517">
        <f>SUM(+C36+C37)</f>
        <v>361761243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756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619</v>
      </c>
      <c r="C41" s="513">
        <v>18721550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598</v>
      </c>
      <c r="C42" s="515">
        <v>30644675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744</v>
      </c>
      <c r="C43" s="515">
        <v>5860122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4882557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711</v>
      </c>
      <c r="C45" s="515">
        <v>977565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162772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726</v>
      </c>
      <c r="C47" s="515">
        <v>27969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757</v>
      </c>
      <c r="C48" s="517">
        <f>SUM(C42+C43+C46)</f>
        <v>36667569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686</v>
      </c>
      <c r="C49" s="517">
        <f>SUM(C41+C48)</f>
        <v>55389119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758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619</v>
      </c>
      <c r="C52" s="513">
        <v>36311112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598</v>
      </c>
      <c r="C53" s="515">
        <v>18498947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744</v>
      </c>
      <c r="C54" s="515">
        <v>8660816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7604701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711</v>
      </c>
      <c r="C56" s="515">
        <v>1056115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126904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726</v>
      </c>
      <c r="C58" s="515">
        <v>379481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759</v>
      </c>
      <c r="C59" s="517">
        <f>SUM(C53+C54+C57)</f>
        <v>27286667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692</v>
      </c>
      <c r="C60" s="517">
        <f>SUM(C52+C59)</f>
        <v>63597779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617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843</v>
      </c>
      <c r="C63" s="514">
        <f>SUM(C41+C52)</f>
        <v>55032662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844</v>
      </c>
      <c r="C64" s="518">
        <f>SUM(C48+C59)</f>
        <v>63954236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617</v>
      </c>
      <c r="C65" s="517">
        <f>SUM(+C63+C64)</f>
        <v>118986898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619</v>
      </c>
      <c r="C70" s="530">
        <v>2486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598</v>
      </c>
      <c r="C71" s="530">
        <v>3426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744</v>
      </c>
      <c r="C72" s="530">
        <v>1685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1325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711</v>
      </c>
      <c r="C74" s="530">
        <v>360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20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726</v>
      </c>
      <c r="C76" s="545">
        <v>64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774</v>
      </c>
      <c r="C77" s="532">
        <f>SUM(C71+C72+C75)</f>
        <v>5131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688</v>
      </c>
      <c r="C78" s="596">
        <f>SUM(C70+C77)</f>
        <v>7617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779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619</v>
      </c>
      <c r="C81" s="541">
        <v>0.94640000000000002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598</v>
      </c>
      <c r="C82" s="541">
        <v>1.2873000000000001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744</v>
      </c>
      <c r="C83" s="541">
        <f>((C73*C84)+(C74*C85))/(C73+C74)</f>
        <v>0.85442551928783372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0.83899999999999997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711</v>
      </c>
      <c r="C85" s="541">
        <v>0.91120000000000001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1.5094000000000001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726</v>
      </c>
      <c r="C87" s="541">
        <v>0.89229999999999998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780</v>
      </c>
      <c r="C88" s="543">
        <f>((C71*C82)+(C73*C84)+(C74*C85)+(C75*C86))/(C71+C73+C74+C75)</f>
        <v>1.146011459754434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689</v>
      </c>
      <c r="C89" s="543">
        <f>((C70*C81)+(C71*C82)+(C73*C84)+(C74*C85)+(C75*C86))/(C70+C71+C73+C74+C75)</f>
        <v>1.0808632269922542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782</v>
      </c>
      <c r="C92" s="513">
        <v>121599557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783</v>
      </c>
      <c r="C93" s="546">
        <v>53040369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715</v>
      </c>
      <c r="C95" s="513">
        <f>+C92-C93</f>
        <v>68559188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633</v>
      </c>
      <c r="C96" s="597">
        <f>(+C92-C93)/C92</f>
        <v>0.56381116585811242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730</v>
      </c>
      <c r="C98" s="513">
        <v>4371872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716</v>
      </c>
      <c r="C99" s="513">
        <v>2950139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847</v>
      </c>
      <c r="C101" s="513">
        <v>624004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785</v>
      </c>
      <c r="C103" s="513">
        <v>259103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786</v>
      </c>
      <c r="C104" s="513">
        <v>10944348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787</v>
      </c>
      <c r="C105" s="578">
        <f>+C103+C104</f>
        <v>11203451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788</v>
      </c>
      <c r="C107" s="513">
        <v>4183082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673</v>
      </c>
      <c r="C108" s="513">
        <v>130987633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818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819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617</v>
      </c>
      <c r="C114" s="514">
        <f>+C65</f>
        <v>118986898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820</v>
      </c>
      <c r="C115" s="546">
        <f>+C101</f>
        <v>624004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821</v>
      </c>
      <c r="C116" s="517">
        <f>+C114+C115</f>
        <v>119610902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822</v>
      </c>
      <c r="C118" s="578">
        <v>8407994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823</v>
      </c>
      <c r="C119" s="580">
        <f>+C116+C118</f>
        <v>128018896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824</v>
      </c>
      <c r="C121" s="513">
        <v>128018896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825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827</v>
      </c>
      <c r="C127" s="514">
        <f>+C38</f>
        <v>361761243</v>
      </c>
      <c r="D127" s="588"/>
      <c r="AR127" s="507"/>
    </row>
    <row r="128" spans="1:58" s="506" customFormat="1" x14ac:dyDescent="0.2">
      <c r="A128" s="512">
        <v>2</v>
      </c>
      <c r="B128" s="583" t="s">
        <v>828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829</v>
      </c>
      <c r="C129" s="581">
        <f>C127+C128</f>
        <v>361761243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830</v>
      </c>
      <c r="C131" s="513">
        <v>361761109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825</v>
      </c>
      <c r="C133" s="581">
        <f>C129-C131</f>
        <v>134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832</v>
      </c>
      <c r="C137" s="513">
        <f>C105</f>
        <v>11203451</v>
      </c>
      <c r="D137" s="588"/>
      <c r="AR137" s="507"/>
    </row>
    <row r="138" spans="1:44" s="506" customFormat="1" x14ac:dyDescent="0.2">
      <c r="A138" s="512">
        <v>2</v>
      </c>
      <c r="B138" s="511" t="s">
        <v>848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834</v>
      </c>
      <c r="C139" s="581">
        <f>C137+C138</f>
        <v>11203451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849</v>
      </c>
      <c r="C141" s="513">
        <v>11203451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836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FILING&amp;RBRISTOL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35" sqref="B35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5" width="15.7109375" style="307" customWidth="1"/>
    <col min="6" max="6" width="18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589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593</v>
      </c>
      <c r="D8" s="35" t="s">
        <v>593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595</v>
      </c>
      <c r="D9" s="607" t="s">
        <v>596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852</v>
      </c>
      <c r="C12" s="49">
        <v>310</v>
      </c>
      <c r="D12" s="49">
        <v>122</v>
      </c>
      <c r="E12" s="49">
        <f>+D12-C12</f>
        <v>-188</v>
      </c>
      <c r="F12" s="70">
        <f>IF(C12=0,0,+E12/C12)</f>
        <v>-0.6064516129032258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853</v>
      </c>
      <c r="C13" s="49">
        <v>271</v>
      </c>
      <c r="D13" s="49">
        <v>113</v>
      </c>
      <c r="E13" s="49">
        <f>+D13-C13</f>
        <v>-158</v>
      </c>
      <c r="F13" s="70">
        <f>IF(C13=0,0,+E13/C13)</f>
        <v>-0.58302583025830257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854</v>
      </c>
      <c r="C15" s="51">
        <v>558883</v>
      </c>
      <c r="D15" s="51">
        <v>259103</v>
      </c>
      <c r="E15" s="51">
        <f>+D15-C15</f>
        <v>-299780</v>
      </c>
      <c r="F15" s="70">
        <f>IF(C15=0,0,+E15/C15)</f>
        <v>-0.53639133772184877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855</v>
      </c>
      <c r="C16" s="27">
        <f>IF(C13=0,0,+C15/+C13)</f>
        <v>2062.2988929889298</v>
      </c>
      <c r="D16" s="27">
        <f>IF(D13=0,0,+D15/+D13)</f>
        <v>2292.9469026548672</v>
      </c>
      <c r="E16" s="27">
        <f>+D16-C16</f>
        <v>230.64800966593748</v>
      </c>
      <c r="F16" s="28">
        <f>IF(C16=0,0,+E16/C16)</f>
        <v>0.11184024316264596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856</v>
      </c>
      <c r="C18" s="210">
        <v>0.32749600000000001</v>
      </c>
      <c r="D18" s="210">
        <v>0.35700100000000001</v>
      </c>
      <c r="E18" s="210">
        <f>+D18-C18</f>
        <v>2.9505000000000003E-2</v>
      </c>
      <c r="F18" s="70">
        <f>IF(C18=0,0,+E18/C18)</f>
        <v>9.0092703422331888E-2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857</v>
      </c>
      <c r="C19" s="27">
        <f>+C15*C18</f>
        <v>183031.946968</v>
      </c>
      <c r="D19" s="27">
        <f>+D15*D18</f>
        <v>92500.030102999997</v>
      </c>
      <c r="E19" s="27">
        <f>+D19-C19</f>
        <v>-90531.916865000007</v>
      </c>
      <c r="F19" s="28">
        <f>IF(C19=0,0,+E19/C19)</f>
        <v>-0.4946235800071993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858</v>
      </c>
      <c r="C20" s="27">
        <f>IF(C13=0,0,+C19/C13)</f>
        <v>675.39463825830262</v>
      </c>
      <c r="D20" s="27">
        <f>IF(D13=0,0,+D19/D13)</f>
        <v>818.58433719469019</v>
      </c>
      <c r="E20" s="27">
        <f>+D20-C20</f>
        <v>143.18969893638757</v>
      </c>
      <c r="F20" s="28">
        <f>IF(C20=0,0,+E20/C20)</f>
        <v>0.21200893644291133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859</v>
      </c>
      <c r="C22" s="51">
        <v>311902</v>
      </c>
      <c r="D22" s="51">
        <v>112925</v>
      </c>
      <c r="E22" s="51">
        <f>+D22-C22</f>
        <v>-198977</v>
      </c>
      <c r="F22" s="70">
        <f>IF(C22=0,0,+E22/C22)</f>
        <v>-0.63794717571544912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860</v>
      </c>
      <c r="C23" s="49">
        <v>148746</v>
      </c>
      <c r="D23" s="49">
        <v>107044</v>
      </c>
      <c r="E23" s="49">
        <f>+D23-C23</f>
        <v>-41702</v>
      </c>
      <c r="F23" s="70">
        <f>IF(C23=0,0,+E23/C23)</f>
        <v>-0.28035711884689335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861</v>
      </c>
      <c r="C24" s="49">
        <v>98235</v>
      </c>
      <c r="D24" s="49">
        <v>39134</v>
      </c>
      <c r="E24" s="49">
        <f>+D24-C24</f>
        <v>-59101</v>
      </c>
      <c r="F24" s="70">
        <f>IF(C24=0,0,+E24/C24)</f>
        <v>-0.60162874739145922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854</v>
      </c>
      <c r="C25" s="27">
        <f>+C22+C23+C24</f>
        <v>558883</v>
      </c>
      <c r="D25" s="27">
        <f>+D22+D23+D24</f>
        <v>259103</v>
      </c>
      <c r="E25" s="27">
        <f>+E22+E23+E24</f>
        <v>-299780</v>
      </c>
      <c r="F25" s="28">
        <f>IF(C25=0,0,+E25/C25)</f>
        <v>-0.53639133772184877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862</v>
      </c>
      <c r="C27" s="49">
        <v>64</v>
      </c>
      <c r="D27" s="49">
        <v>15</v>
      </c>
      <c r="E27" s="49">
        <f>+D27-C27</f>
        <v>-49</v>
      </c>
      <c r="F27" s="70">
        <f>IF(C27=0,0,+E27/C27)</f>
        <v>-0.765625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863</v>
      </c>
      <c r="C28" s="49">
        <v>14</v>
      </c>
      <c r="D28" s="49">
        <v>7</v>
      </c>
      <c r="E28" s="49">
        <f>+D28-C28</f>
        <v>-7</v>
      </c>
      <c r="F28" s="70">
        <f>IF(C28=0,0,+E28/C28)</f>
        <v>-0.5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864</v>
      </c>
      <c r="C29" s="49">
        <v>97</v>
      </c>
      <c r="D29" s="49">
        <v>43</v>
      </c>
      <c r="E29" s="49">
        <f>+D29-C29</f>
        <v>-54</v>
      </c>
      <c r="F29" s="70">
        <f>IF(C29=0,0,+E29/C29)</f>
        <v>-0.55670103092783507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865</v>
      </c>
      <c r="C30" s="49">
        <v>251</v>
      </c>
      <c r="D30" s="49">
        <v>130</v>
      </c>
      <c r="E30" s="49">
        <f>+D30-C30</f>
        <v>-121</v>
      </c>
      <c r="F30" s="70">
        <f>IF(C30=0,0,+E30/C30)</f>
        <v>-0.48207171314741037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867</v>
      </c>
      <c r="C33" s="51">
        <v>2656979</v>
      </c>
      <c r="D33" s="51">
        <v>3160089</v>
      </c>
      <c r="E33" s="51">
        <f>+D33-C33</f>
        <v>503110</v>
      </c>
      <c r="F33" s="70">
        <f>IF(C33=0,0,+E33/C33)</f>
        <v>0.18935414995752695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868</v>
      </c>
      <c r="C34" s="49">
        <v>5506317</v>
      </c>
      <c r="D34" s="49">
        <v>6514871</v>
      </c>
      <c r="E34" s="49">
        <f>+D34-C34</f>
        <v>1008554</v>
      </c>
      <c r="F34" s="70">
        <f>IF(C34=0,0,+E34/C34)</f>
        <v>0.18316308341855364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869</v>
      </c>
      <c r="C35" s="49">
        <v>1003050</v>
      </c>
      <c r="D35" s="49">
        <v>1269388</v>
      </c>
      <c r="E35" s="49">
        <f>+D35-C35</f>
        <v>266338</v>
      </c>
      <c r="F35" s="70">
        <f>IF(C35=0,0,+E35/C35)</f>
        <v>0.26552813917551465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870</v>
      </c>
      <c r="C36" s="27">
        <f>+C33+C34+C35</f>
        <v>9166346</v>
      </c>
      <c r="D36" s="27">
        <f>+D33+D34+D35</f>
        <v>10944348</v>
      </c>
      <c r="E36" s="27">
        <f>+E33+E34+E35</f>
        <v>1778002</v>
      </c>
      <c r="F36" s="28">
        <f>IF(C36=0,0,+E36/C36)</f>
        <v>0.19397063999111533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872</v>
      </c>
      <c r="C39" s="51">
        <f>+C25</f>
        <v>558883</v>
      </c>
      <c r="D39" s="51">
        <f>+D25</f>
        <v>259103</v>
      </c>
      <c r="E39" s="51">
        <f>+D39-C39</f>
        <v>-299780</v>
      </c>
      <c r="F39" s="70">
        <f>IF(C39=0,0,+E39/C39)</f>
        <v>-0.53639133772184877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873</v>
      </c>
      <c r="C40" s="49">
        <f>+C36</f>
        <v>9166346</v>
      </c>
      <c r="D40" s="49">
        <f>+D36</f>
        <v>10944348</v>
      </c>
      <c r="E40" s="49">
        <f>+D40-C40</f>
        <v>1778002</v>
      </c>
      <c r="F40" s="70">
        <f>IF(C40=0,0,+E40/C40)</f>
        <v>0.19397063999111533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874</v>
      </c>
      <c r="C41" s="27">
        <f>+C39+C40</f>
        <v>9725229</v>
      </c>
      <c r="D41" s="27">
        <f>+D39+D40</f>
        <v>11203451</v>
      </c>
      <c r="E41" s="27">
        <f>+E39+E40</f>
        <v>1478222</v>
      </c>
      <c r="F41" s="28">
        <f>IF(C41=0,0,+E41/C41)</f>
        <v>0.15199868301301697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875</v>
      </c>
      <c r="C43" s="51">
        <f t="shared" ref="C43:D45" si="0">+C22+C33</f>
        <v>2968881</v>
      </c>
      <c r="D43" s="51">
        <f t="shared" si="0"/>
        <v>3273014</v>
      </c>
      <c r="E43" s="51">
        <f>+D43-C43</f>
        <v>304133</v>
      </c>
      <c r="F43" s="70">
        <f>IF(C43=0,0,+E43/C43)</f>
        <v>0.10244027968786894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876</v>
      </c>
      <c r="C44" s="49">
        <f t="shared" si="0"/>
        <v>5655063</v>
      </c>
      <c r="D44" s="49">
        <f t="shared" si="0"/>
        <v>6621915</v>
      </c>
      <c r="E44" s="49">
        <f>+D44-C44</f>
        <v>966852</v>
      </c>
      <c r="F44" s="70">
        <f>IF(C44=0,0,+E44/C44)</f>
        <v>0.1709710395799304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877</v>
      </c>
      <c r="C45" s="49">
        <f t="shared" si="0"/>
        <v>1101285</v>
      </c>
      <c r="D45" s="49">
        <f t="shared" si="0"/>
        <v>1308522</v>
      </c>
      <c r="E45" s="49">
        <f>+D45-C45</f>
        <v>207237</v>
      </c>
      <c r="F45" s="70">
        <f>IF(C45=0,0,+E45/C45)</f>
        <v>0.18817744725479779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874</v>
      </c>
      <c r="C46" s="27">
        <f>+C43+C44+C45</f>
        <v>9725229</v>
      </c>
      <c r="D46" s="27">
        <f>+D43+D44+D45</f>
        <v>11203451</v>
      </c>
      <c r="E46" s="27">
        <f>+E43+E44+E45</f>
        <v>1478222</v>
      </c>
      <c r="F46" s="28">
        <f>IF(C46=0,0,+E46/C46)</f>
        <v>0.15199868301301697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878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3" orientation="portrait" r:id="rId1"/>
  <headerFooter>
    <oddHeader>&amp;LOFFICE OF HEALTH CARE ACCESS&amp;CTWELVE MONTHS ACTUAL FILING&amp;RBRISTOL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B35" sqref="B3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5" width="20.7109375" style="307" customWidth="1"/>
    <col min="6" max="6" width="18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589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595</v>
      </c>
      <c r="D9" s="35" t="s">
        <v>596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881</v>
      </c>
      <c r="D10" s="35" t="s">
        <v>881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882</v>
      </c>
      <c r="D11" s="605" t="s">
        <v>882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131777027</v>
      </c>
      <c r="D15" s="51">
        <v>121599557</v>
      </c>
      <c r="E15" s="51">
        <f>+D15-C15</f>
        <v>-10177470</v>
      </c>
      <c r="F15" s="70">
        <f>+E15/C15</f>
        <v>-7.7232505784183461E-2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502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884</v>
      </c>
      <c r="C17" s="51">
        <v>75988601</v>
      </c>
      <c r="D17" s="51">
        <v>68559188</v>
      </c>
      <c r="E17" s="51">
        <f>+D17-C17</f>
        <v>-7429413</v>
      </c>
      <c r="F17" s="70">
        <f>+E17/C17</f>
        <v>-9.7770098438843475E-2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885</v>
      </c>
      <c r="C19" s="27">
        <f>+C15-C17</f>
        <v>55788426</v>
      </c>
      <c r="D19" s="27">
        <f>+D15-D17</f>
        <v>53040369</v>
      </c>
      <c r="E19" s="27">
        <f>+D19-C19</f>
        <v>-2748057</v>
      </c>
      <c r="F19" s="28">
        <f>+E19/C19</f>
        <v>-4.9258550510100425E-2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886</v>
      </c>
      <c r="C21" s="628">
        <f>+C17/C15</f>
        <v>0.57664528279272831</v>
      </c>
      <c r="D21" s="628">
        <f>+D17/D15</f>
        <v>0.56381116585811242</v>
      </c>
      <c r="E21" s="628">
        <f>+D21-C21</f>
        <v>-1.2834116934615891E-2</v>
      </c>
      <c r="F21" s="28">
        <f>+E21/C21</f>
        <v>-2.2256519419459185E-2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502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502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502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502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887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2" orientation="landscape" r:id="rId1"/>
  <headerFooter>
    <oddHeader>&amp;L&amp;12OFFICE OF HEALTH CARE ACCESS&amp;C&amp;12TWELVE MONTHS ACTUAL FILING&amp;R&amp;12BRISTOL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B35" sqref="B35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  <col min="6" max="6" width="18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888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889</v>
      </c>
      <c r="B6" s="632" t="s">
        <v>890</v>
      </c>
      <c r="C6" s="632" t="s">
        <v>891</v>
      </c>
      <c r="D6" s="632" t="s">
        <v>892</v>
      </c>
      <c r="E6" s="632" t="s">
        <v>893</v>
      </c>
    </row>
    <row r="7" spans="1:6" ht="37.5" customHeight="1" x14ac:dyDescent="0.25">
      <c r="A7" s="633" t="s">
        <v>8</v>
      </c>
      <c r="B7" s="634" t="s">
        <v>894</v>
      </c>
      <c r="C7" s="631" t="s">
        <v>895</v>
      </c>
      <c r="D7" s="631" t="s">
        <v>896</v>
      </c>
      <c r="E7" s="631" t="s">
        <v>897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898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899</v>
      </c>
      <c r="C10" s="641">
        <v>146408469</v>
      </c>
      <c r="D10" s="641">
        <v>152310534</v>
      </c>
      <c r="E10" s="641">
        <v>146231302</v>
      </c>
    </row>
    <row r="11" spans="1:6" ht="26.1" customHeight="1" x14ac:dyDescent="0.25">
      <c r="A11" s="639">
        <v>2</v>
      </c>
      <c r="B11" s="640" t="s">
        <v>900</v>
      </c>
      <c r="C11" s="641">
        <v>198062826</v>
      </c>
      <c r="D11" s="641">
        <v>206781547</v>
      </c>
      <c r="E11" s="641">
        <v>215529941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344471295</v>
      </c>
      <c r="D12" s="641">
        <f>+D11+D10</f>
        <v>359092081</v>
      </c>
      <c r="E12" s="641">
        <f>+E11+E10</f>
        <v>361761243</v>
      </c>
    </row>
    <row r="13" spans="1:6" ht="26.1" customHeight="1" x14ac:dyDescent="0.25">
      <c r="A13" s="639">
        <v>4</v>
      </c>
      <c r="B13" s="640" t="s">
        <v>482</v>
      </c>
      <c r="C13" s="641">
        <v>119290195</v>
      </c>
      <c r="D13" s="641">
        <v>124989832</v>
      </c>
      <c r="E13" s="641">
        <v>127394892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901</v>
      </c>
      <c r="C16" s="641">
        <v>125713012</v>
      </c>
      <c r="D16" s="641">
        <v>129657399</v>
      </c>
      <c r="E16" s="641">
        <v>130987633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33258</v>
      </c>
      <c r="D19" s="644">
        <v>33658</v>
      </c>
      <c r="E19" s="644">
        <v>30673</v>
      </c>
    </row>
    <row r="20" spans="1:5" ht="26.1" customHeight="1" x14ac:dyDescent="0.25">
      <c r="A20" s="639">
        <v>2</v>
      </c>
      <c r="B20" s="640" t="s">
        <v>371</v>
      </c>
      <c r="C20" s="645">
        <v>8016</v>
      </c>
      <c r="D20" s="645">
        <v>7846</v>
      </c>
      <c r="E20" s="645">
        <v>7617</v>
      </c>
    </row>
    <row r="21" spans="1:5" ht="26.1" customHeight="1" x14ac:dyDescent="0.25">
      <c r="A21" s="639">
        <v>3</v>
      </c>
      <c r="B21" s="640" t="s">
        <v>903</v>
      </c>
      <c r="C21" s="646">
        <f>IF(C20=0,0,+C19/C20)</f>
        <v>4.148952095808383</v>
      </c>
      <c r="D21" s="646">
        <f>IF(D20=0,0,+D19/D20)</f>
        <v>4.289829212337497</v>
      </c>
      <c r="E21" s="646">
        <f>IF(E20=0,0,+E19/E20)</f>
        <v>4.0269134829985562</v>
      </c>
    </row>
    <row r="22" spans="1:5" ht="26.1" customHeight="1" x14ac:dyDescent="0.25">
      <c r="A22" s="639">
        <v>4</v>
      </c>
      <c r="B22" s="640" t="s">
        <v>904</v>
      </c>
      <c r="C22" s="645">
        <f>IF(C10=0,0,C19*(C12/C10))</f>
        <v>78249.751584452388</v>
      </c>
      <c r="D22" s="645">
        <f>IF(D10=0,0,D19*(D12/D10))</f>
        <v>79353.154012958825</v>
      </c>
      <c r="E22" s="645">
        <f>IF(E10=0,0,E19*(E12/E10))</f>
        <v>75881.856037491903</v>
      </c>
    </row>
    <row r="23" spans="1:5" ht="26.1" customHeight="1" x14ac:dyDescent="0.25">
      <c r="A23" s="639">
        <v>0</v>
      </c>
      <c r="B23" s="640" t="s">
        <v>905</v>
      </c>
      <c r="C23" s="645">
        <f>IF(C10=0,0,C20*(C12/C10))</f>
        <v>18860.124141589102</v>
      </c>
      <c r="D23" s="645">
        <f>IF(D10=0,0,D20*(D12/D10))</f>
        <v>18497.975113960274</v>
      </c>
      <c r="E23" s="645">
        <f>IF(E10=0,0,E20*(E12/E10))</f>
        <v>18843.676765806271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906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1.0817031312375247</v>
      </c>
      <c r="D26" s="647">
        <v>1.089638172317104</v>
      </c>
      <c r="E26" s="647">
        <v>1.0808632269922542</v>
      </c>
    </row>
    <row r="27" spans="1:5" ht="26.1" customHeight="1" x14ac:dyDescent="0.25">
      <c r="A27" s="639">
        <v>2</v>
      </c>
      <c r="B27" s="640" t="s">
        <v>907</v>
      </c>
      <c r="C27" s="645">
        <f>C19*C26</f>
        <v>35975.282738697599</v>
      </c>
      <c r="D27" s="645">
        <f>D19*D26</f>
        <v>36675.041603849088</v>
      </c>
      <c r="E27" s="645">
        <f>E19*E26</f>
        <v>33153.317761533413</v>
      </c>
    </row>
    <row r="28" spans="1:5" ht="26.1" customHeight="1" x14ac:dyDescent="0.25">
      <c r="A28" s="639">
        <v>3</v>
      </c>
      <c r="B28" s="640" t="s">
        <v>908</v>
      </c>
      <c r="C28" s="645">
        <f>C20*C26</f>
        <v>8670.9322999999986</v>
      </c>
      <c r="D28" s="645">
        <f>D20*D26</f>
        <v>8549.3010999999988</v>
      </c>
      <c r="E28" s="645">
        <f>E20*E26</f>
        <v>8232.9351999999999</v>
      </c>
    </row>
    <row r="29" spans="1:5" ht="26.1" customHeight="1" x14ac:dyDescent="0.25">
      <c r="A29" s="639">
        <v>4</v>
      </c>
      <c r="B29" s="640" t="s">
        <v>909</v>
      </c>
      <c r="C29" s="645">
        <f>C22*C26</f>
        <v>84643.00130746061</v>
      </c>
      <c r="D29" s="645">
        <f>D22*D26</f>
        <v>86466.225706278128</v>
      </c>
      <c r="E29" s="645">
        <f>E22*E26</f>
        <v>82017.907786845171</v>
      </c>
    </row>
    <row r="30" spans="1:5" ht="26.1" customHeight="1" x14ac:dyDescent="0.25">
      <c r="A30" s="639">
        <v>5</v>
      </c>
      <c r="B30" s="640" t="s">
        <v>910</v>
      </c>
      <c r="C30" s="645">
        <f>C23*C26</f>
        <v>20401.055339485363</v>
      </c>
      <c r="D30" s="645">
        <f>D23*D26</f>
        <v>20156.099794742946</v>
      </c>
      <c r="E30" s="645">
        <f>E23*E26</f>
        <v>20367.43727748833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912</v>
      </c>
      <c r="C33" s="641">
        <f>IF(C19=0,0,C12/C19)</f>
        <v>10357.546906007577</v>
      </c>
      <c r="D33" s="641">
        <f>IF(D19=0,0,D12/D19)</f>
        <v>10668.847851922277</v>
      </c>
      <c r="E33" s="641">
        <f>IF(E19=0,0,E12/E19)</f>
        <v>11794.126528216999</v>
      </c>
    </row>
    <row r="34" spans="1:5" ht="26.1" customHeight="1" x14ac:dyDescent="0.25">
      <c r="A34" s="639">
        <v>2</v>
      </c>
      <c r="B34" s="640" t="s">
        <v>913</v>
      </c>
      <c r="C34" s="641">
        <f>IF(C20=0,0,C12/C20)</f>
        <v>42972.96594311377</v>
      </c>
      <c r="D34" s="641">
        <f>IF(D20=0,0,D12/D20)</f>
        <v>45767.535177160338</v>
      </c>
      <c r="E34" s="641">
        <f>IF(E20=0,0,E12/E20)</f>
        <v>47493.927136667982</v>
      </c>
    </row>
    <row r="35" spans="1:5" ht="26.1" customHeight="1" x14ac:dyDescent="0.25">
      <c r="A35" s="639">
        <v>3</v>
      </c>
      <c r="B35" s="640" t="s">
        <v>914</v>
      </c>
      <c r="C35" s="641">
        <f>IF(C22=0,0,C12/C22)</f>
        <v>4402.2030488904929</v>
      </c>
      <c r="D35" s="641">
        <f>IF(D22=0,0,D12/D22)</f>
        <v>4525.2401806405605</v>
      </c>
      <c r="E35" s="641">
        <f>IF(E22=0,0,E12/E22)</f>
        <v>4767.4274443321483</v>
      </c>
    </row>
    <row r="36" spans="1:5" ht="26.1" customHeight="1" x14ac:dyDescent="0.25">
      <c r="A36" s="639">
        <v>4</v>
      </c>
      <c r="B36" s="640" t="s">
        <v>915</v>
      </c>
      <c r="C36" s="641">
        <f>IF(C23=0,0,C12/C23)</f>
        <v>18264.529565868266</v>
      </c>
      <c r="D36" s="641">
        <f>IF(D23=0,0,D12/D23)</f>
        <v>19412.507519755287</v>
      </c>
      <c r="E36" s="641">
        <f>IF(E23=0,0,E12/E23)</f>
        <v>19198.017854798476</v>
      </c>
    </row>
    <row r="37" spans="1:5" ht="26.1" customHeight="1" x14ac:dyDescent="0.25">
      <c r="A37" s="639">
        <v>5</v>
      </c>
      <c r="B37" s="640" t="s">
        <v>916</v>
      </c>
      <c r="C37" s="641">
        <f>IF(C29=0,0,C12/C29)</f>
        <v>4069.696131741935</v>
      </c>
      <c r="D37" s="641">
        <f>IF(D29=0,0,D12/D29)</f>
        <v>4152.9750843967631</v>
      </c>
      <c r="E37" s="641">
        <f>IF(E29=0,0,E12/E29)</f>
        <v>4410.7592202933856</v>
      </c>
    </row>
    <row r="38" spans="1:5" ht="26.1" customHeight="1" x14ac:dyDescent="0.25">
      <c r="A38" s="639">
        <v>6</v>
      </c>
      <c r="B38" s="640" t="s">
        <v>917</v>
      </c>
      <c r="C38" s="641">
        <f>IF(C30=0,0,C12/C30)</f>
        <v>16884.974295093973</v>
      </c>
      <c r="D38" s="641">
        <f>IF(D30=0,0,D12/D30)</f>
        <v>17815.55383515502</v>
      </c>
      <c r="E38" s="641">
        <f>IF(E30=0,0,E12/E30)</f>
        <v>17761.745774459636</v>
      </c>
    </row>
    <row r="39" spans="1:5" ht="26.1" customHeight="1" x14ac:dyDescent="0.25">
      <c r="A39" s="639">
        <v>7</v>
      </c>
      <c r="B39" s="640" t="s">
        <v>918</v>
      </c>
      <c r="C39" s="641">
        <f>IF(C22=0,0,C10/C22)</f>
        <v>1871.0406874836676</v>
      </c>
      <c r="D39" s="641">
        <f>IF(D22=0,0,D10/D22)</f>
        <v>1919.401136533613</v>
      </c>
      <c r="E39" s="641">
        <f>IF(E22=0,0,E10/E22)</f>
        <v>1927.0917929017137</v>
      </c>
    </row>
    <row r="40" spans="1:5" ht="26.1" customHeight="1" x14ac:dyDescent="0.25">
      <c r="A40" s="639">
        <v>8</v>
      </c>
      <c r="B40" s="640" t="s">
        <v>919</v>
      </c>
      <c r="C40" s="641">
        <f>IF(C23=0,0,C10/C23)</f>
        <v>7762.8581816781207</v>
      </c>
      <c r="D40" s="641">
        <f>IF(D23=0,0,D10/D23)</f>
        <v>8233.9030656956857</v>
      </c>
      <c r="E40" s="641">
        <f>IF(E23=0,0,E10/E23)</f>
        <v>7760.2319238117725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921</v>
      </c>
      <c r="C43" s="641">
        <f>IF(C19=0,0,C13/C19)</f>
        <v>3586.812045222202</v>
      </c>
      <c r="D43" s="641">
        <f>IF(D19=0,0,D13/D19)</f>
        <v>3713.5252243151704</v>
      </c>
      <c r="E43" s="641">
        <f>IF(E19=0,0,E13/E19)</f>
        <v>4153.3235092752584</v>
      </c>
    </row>
    <row r="44" spans="1:5" ht="26.1" customHeight="1" x14ac:dyDescent="0.25">
      <c r="A44" s="639">
        <v>2</v>
      </c>
      <c r="B44" s="640" t="s">
        <v>922</v>
      </c>
      <c r="C44" s="641">
        <f>IF(C20=0,0,C13/C20)</f>
        <v>14881.511352295409</v>
      </c>
      <c r="D44" s="641">
        <f>IF(D20=0,0,D13/D20)</f>
        <v>15930.388988019373</v>
      </c>
      <c r="E44" s="641">
        <f>IF(E20=0,0,E13/E20)</f>
        <v>16725.074438755415</v>
      </c>
    </row>
    <row r="45" spans="1:5" ht="26.1" customHeight="1" x14ac:dyDescent="0.25">
      <c r="A45" s="639">
        <v>3</v>
      </c>
      <c r="B45" s="640" t="s">
        <v>923</v>
      </c>
      <c r="C45" s="641">
        <f>IF(C22=0,0,C13/C22)</f>
        <v>1524.4801751383709</v>
      </c>
      <c r="D45" s="641">
        <f>IF(D22=0,0,D13/D22)</f>
        <v>1575.1085581247148</v>
      </c>
      <c r="E45" s="641">
        <f>IF(E22=0,0,E13/E22)</f>
        <v>1678.8584076944085</v>
      </c>
    </row>
    <row r="46" spans="1:5" ht="26.1" customHeight="1" x14ac:dyDescent="0.25">
      <c r="A46" s="639">
        <v>4</v>
      </c>
      <c r="B46" s="640" t="s">
        <v>924</v>
      </c>
      <c r="C46" s="641">
        <f>IF(C23=0,0,C13/C23)</f>
        <v>6324.9952176586758</v>
      </c>
      <c r="D46" s="641">
        <f>IF(D23=0,0,D13/D23)</f>
        <v>6756.946705246196</v>
      </c>
      <c r="E46" s="641">
        <f>IF(E23=0,0,E13/E23)</f>
        <v>6760.617557990101</v>
      </c>
    </row>
    <row r="47" spans="1:5" ht="26.1" customHeight="1" x14ac:dyDescent="0.25">
      <c r="A47" s="639">
        <v>5</v>
      </c>
      <c r="B47" s="640" t="s">
        <v>925</v>
      </c>
      <c r="C47" s="641">
        <f>IF(C29=0,0,C13/C29)</f>
        <v>1409.3332367396276</v>
      </c>
      <c r="D47" s="641">
        <f>IF(D29=0,0,D13/D29)</f>
        <v>1445.5335708139364</v>
      </c>
      <c r="E47" s="641">
        <f>IF(E29=0,0,E13/E29)</f>
        <v>1553.2570317580428</v>
      </c>
    </row>
    <row r="48" spans="1:5" ht="26.1" customHeight="1" x14ac:dyDescent="0.25">
      <c r="A48" s="639">
        <v>6</v>
      </c>
      <c r="B48" s="640" t="s">
        <v>926</v>
      </c>
      <c r="C48" s="641">
        <f>IF(C30=0,0,C13/C30)</f>
        <v>5847.2560862632909</v>
      </c>
      <c r="D48" s="641">
        <f>IF(D30=0,0,D13/D30)</f>
        <v>6201.0921394921588</v>
      </c>
      <c r="E48" s="641">
        <f>IF(E30=0,0,E13/E30)</f>
        <v>6254.8316837487801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927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928</v>
      </c>
      <c r="C51" s="641">
        <f>IF(C19=0,0,C16/C19)</f>
        <v>3779.9330085994347</v>
      </c>
      <c r="D51" s="641">
        <f>IF(D19=0,0,D16/D19)</f>
        <v>3852.2015271257947</v>
      </c>
      <c r="E51" s="641">
        <f>IF(E19=0,0,E16/E19)</f>
        <v>4270.4539171258111</v>
      </c>
    </row>
    <row r="52" spans="1:6" ht="26.1" customHeight="1" x14ac:dyDescent="0.25">
      <c r="A52" s="639">
        <v>2</v>
      </c>
      <c r="B52" s="640" t="s">
        <v>929</v>
      </c>
      <c r="C52" s="641">
        <f>IF(C20=0,0,C16/C20)</f>
        <v>15682.760978043912</v>
      </c>
      <c r="D52" s="641">
        <f>IF(D20=0,0,D16/D20)</f>
        <v>16525.286642875351</v>
      </c>
      <c r="E52" s="641">
        <f>IF(E20=0,0,E16/E20)</f>
        <v>17196.748457397927</v>
      </c>
    </row>
    <row r="53" spans="1:6" ht="26.1" customHeight="1" x14ac:dyDescent="0.25">
      <c r="A53" s="639">
        <v>3</v>
      </c>
      <c r="B53" s="640" t="s">
        <v>930</v>
      </c>
      <c r="C53" s="641">
        <f>IF(C22=0,0,C16/C22)</f>
        <v>1606.5611641504329</v>
      </c>
      <c r="D53" s="641">
        <f>IF(D22=0,0,D16/D22)</f>
        <v>1633.928740612203</v>
      </c>
      <c r="E53" s="641">
        <f>IF(E22=0,0,E16/E22)</f>
        <v>1726.2049169604034</v>
      </c>
    </row>
    <row r="54" spans="1:6" ht="26.1" customHeight="1" x14ac:dyDescent="0.25">
      <c r="A54" s="639">
        <v>4</v>
      </c>
      <c r="B54" s="640" t="s">
        <v>931</v>
      </c>
      <c r="C54" s="641">
        <f>IF(C23=0,0,C16/C23)</f>
        <v>6665.5453090462943</v>
      </c>
      <c r="D54" s="641">
        <f>IF(D23=0,0,D16/D23)</f>
        <v>7009.275242356046</v>
      </c>
      <c r="E54" s="641">
        <f>IF(E23=0,0,E16/E23)</f>
        <v>6951.2778545262518</v>
      </c>
    </row>
    <row r="55" spans="1:6" ht="26.1" customHeight="1" x14ac:dyDescent="0.25">
      <c r="A55" s="639">
        <v>5</v>
      </c>
      <c r="B55" s="640" t="s">
        <v>932</v>
      </c>
      <c r="C55" s="641">
        <f>IF(C29=0,0,C16/C29)</f>
        <v>1485.2144897763615</v>
      </c>
      <c r="D55" s="641">
        <f>IF(D29=0,0,D16/D29)</f>
        <v>1499.5149602162624</v>
      </c>
      <c r="E55" s="641">
        <f>IF(E29=0,0,E16/E29)</f>
        <v>1597.0613800637459</v>
      </c>
    </row>
    <row r="56" spans="1:6" ht="26.1" customHeight="1" x14ac:dyDescent="0.25">
      <c r="A56" s="639">
        <v>6</v>
      </c>
      <c r="B56" s="640" t="s">
        <v>933</v>
      </c>
      <c r="C56" s="641">
        <f>IF(C30=0,0,C16/C30)</f>
        <v>6162.0837700826132</v>
      </c>
      <c r="D56" s="641">
        <f>IF(D30=0,0,D16/D30)</f>
        <v>6432.6630806728226</v>
      </c>
      <c r="E56" s="641">
        <f>IF(E30=0,0,E16/E30)</f>
        <v>6431.2280045549805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934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935</v>
      </c>
      <c r="C59" s="649">
        <v>19832509</v>
      </c>
      <c r="D59" s="649">
        <v>21080745</v>
      </c>
      <c r="E59" s="649">
        <v>20662698</v>
      </c>
    </row>
    <row r="60" spans="1:6" ht="26.1" customHeight="1" x14ac:dyDescent="0.25">
      <c r="A60" s="639">
        <v>2</v>
      </c>
      <c r="B60" s="640" t="s">
        <v>936</v>
      </c>
      <c r="C60" s="649">
        <v>4792505</v>
      </c>
      <c r="D60" s="649">
        <v>5421117</v>
      </c>
      <c r="E60" s="649">
        <v>6166989</v>
      </c>
    </row>
    <row r="61" spans="1:6" ht="26.1" customHeight="1" x14ac:dyDescent="0.25">
      <c r="A61" s="650">
        <v>3</v>
      </c>
      <c r="B61" s="651" t="s">
        <v>937</v>
      </c>
      <c r="C61" s="652">
        <f>C59+C60</f>
        <v>24625014</v>
      </c>
      <c r="D61" s="652">
        <f>D59+D60</f>
        <v>26501862</v>
      </c>
      <c r="E61" s="652">
        <f>E59+E60</f>
        <v>26829687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938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939</v>
      </c>
      <c r="C64" s="641">
        <v>724920</v>
      </c>
      <c r="D64" s="641">
        <v>539198</v>
      </c>
      <c r="E64" s="649">
        <v>365058</v>
      </c>
      <c r="F64" s="653"/>
    </row>
    <row r="65" spans="1:6" ht="26.1" customHeight="1" x14ac:dyDescent="0.25">
      <c r="A65" s="639">
        <v>2</v>
      </c>
      <c r="B65" s="640" t="s">
        <v>940</v>
      </c>
      <c r="C65" s="649">
        <v>175176</v>
      </c>
      <c r="D65" s="649">
        <v>138660</v>
      </c>
      <c r="E65" s="649">
        <v>108955</v>
      </c>
      <c r="F65" s="653"/>
    </row>
    <row r="66" spans="1:6" ht="26.1" customHeight="1" x14ac:dyDescent="0.25">
      <c r="A66" s="650">
        <v>3</v>
      </c>
      <c r="B66" s="651" t="s">
        <v>941</v>
      </c>
      <c r="C66" s="654">
        <f>C64+C65</f>
        <v>900096</v>
      </c>
      <c r="D66" s="654">
        <f>D64+D65</f>
        <v>677858</v>
      </c>
      <c r="E66" s="654">
        <f>E64+E65</f>
        <v>474013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943</v>
      </c>
      <c r="C69" s="649">
        <v>31278113</v>
      </c>
      <c r="D69" s="649">
        <v>32074903</v>
      </c>
      <c r="E69" s="649">
        <v>30445437</v>
      </c>
    </row>
    <row r="70" spans="1:6" ht="26.1" customHeight="1" x14ac:dyDescent="0.25">
      <c r="A70" s="639">
        <v>2</v>
      </c>
      <c r="B70" s="640" t="s">
        <v>944</v>
      </c>
      <c r="C70" s="649">
        <v>7652934</v>
      </c>
      <c r="D70" s="649">
        <v>8248371</v>
      </c>
      <c r="E70" s="649">
        <v>9086746</v>
      </c>
    </row>
    <row r="71" spans="1:6" ht="26.1" customHeight="1" x14ac:dyDescent="0.25">
      <c r="A71" s="650">
        <v>3</v>
      </c>
      <c r="B71" s="651" t="s">
        <v>945</v>
      </c>
      <c r="C71" s="652">
        <f>C69+C70</f>
        <v>38931047</v>
      </c>
      <c r="D71" s="652">
        <f>D69+D70</f>
        <v>40323274</v>
      </c>
      <c r="E71" s="652">
        <f>E69+E70</f>
        <v>39532183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946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947</v>
      </c>
      <c r="C75" s="641">
        <f t="shared" ref="C75:E76" si="0">+C59+C64+C69</f>
        <v>51835542</v>
      </c>
      <c r="D75" s="641">
        <f t="shared" si="0"/>
        <v>53694846</v>
      </c>
      <c r="E75" s="641">
        <f t="shared" si="0"/>
        <v>51473193</v>
      </c>
    </row>
    <row r="76" spans="1:6" ht="26.1" customHeight="1" x14ac:dyDescent="0.25">
      <c r="A76" s="639">
        <v>2</v>
      </c>
      <c r="B76" s="640" t="s">
        <v>948</v>
      </c>
      <c r="C76" s="641">
        <f t="shared" si="0"/>
        <v>12620615</v>
      </c>
      <c r="D76" s="641">
        <f t="shared" si="0"/>
        <v>13808148</v>
      </c>
      <c r="E76" s="641">
        <f t="shared" si="0"/>
        <v>15362690</v>
      </c>
    </row>
    <row r="77" spans="1:6" ht="26.1" customHeight="1" x14ac:dyDescent="0.25">
      <c r="A77" s="650">
        <v>3</v>
      </c>
      <c r="B77" s="651" t="s">
        <v>946</v>
      </c>
      <c r="C77" s="654">
        <f>C75+C76</f>
        <v>64456157</v>
      </c>
      <c r="D77" s="654">
        <f>D75+D76</f>
        <v>67502994</v>
      </c>
      <c r="E77" s="654">
        <f>E75+E76</f>
        <v>66835883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949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576</v>
      </c>
      <c r="C80" s="646">
        <v>276.2</v>
      </c>
      <c r="D80" s="646">
        <v>285.8</v>
      </c>
      <c r="E80" s="646">
        <v>283.39999999999998</v>
      </c>
    </row>
    <row r="81" spans="1:5" ht="26.1" customHeight="1" x14ac:dyDescent="0.25">
      <c r="A81" s="639">
        <v>2</v>
      </c>
      <c r="B81" s="640" t="s">
        <v>577</v>
      </c>
      <c r="C81" s="646">
        <v>3.7</v>
      </c>
      <c r="D81" s="646">
        <v>2.6</v>
      </c>
      <c r="E81" s="646">
        <v>2.5</v>
      </c>
    </row>
    <row r="82" spans="1:5" ht="26.1" customHeight="1" x14ac:dyDescent="0.25">
      <c r="A82" s="639">
        <v>3</v>
      </c>
      <c r="B82" s="640" t="s">
        <v>950</v>
      </c>
      <c r="C82" s="646">
        <v>625.20000000000005</v>
      </c>
      <c r="D82" s="646">
        <v>611</v>
      </c>
      <c r="E82" s="646">
        <v>587.4</v>
      </c>
    </row>
    <row r="83" spans="1:5" ht="26.1" customHeight="1" x14ac:dyDescent="0.25">
      <c r="A83" s="650">
        <v>4</v>
      </c>
      <c r="B83" s="651" t="s">
        <v>949</v>
      </c>
      <c r="C83" s="656">
        <f>C80+C81+C82</f>
        <v>905.1</v>
      </c>
      <c r="D83" s="656">
        <f>D80+D81+D82</f>
        <v>899.40000000000009</v>
      </c>
      <c r="E83" s="656">
        <f>E80+E81+E82</f>
        <v>873.3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952</v>
      </c>
      <c r="C86" s="649">
        <f>IF(C80=0,0,C59/C80)</f>
        <v>71804.884141926144</v>
      </c>
      <c r="D86" s="649">
        <f>IF(D80=0,0,D59/D80)</f>
        <v>73760.479356193144</v>
      </c>
      <c r="E86" s="649">
        <f>IF(E80=0,0,E59/E80)</f>
        <v>72910.014114326041</v>
      </c>
    </row>
    <row r="87" spans="1:5" ht="26.1" customHeight="1" x14ac:dyDescent="0.25">
      <c r="A87" s="639">
        <v>2</v>
      </c>
      <c r="B87" s="640" t="s">
        <v>953</v>
      </c>
      <c r="C87" s="649">
        <f>IF(C80=0,0,C60/C80)</f>
        <v>17351.574945691529</v>
      </c>
      <c r="D87" s="649">
        <f>IF(D80=0,0,D60/D80)</f>
        <v>18968.219034289712</v>
      </c>
      <c r="E87" s="649">
        <f>IF(E80=0,0,E60/E80)</f>
        <v>21760.723359209598</v>
      </c>
    </row>
    <row r="88" spans="1:5" ht="26.1" customHeight="1" x14ac:dyDescent="0.25">
      <c r="A88" s="650">
        <v>3</v>
      </c>
      <c r="B88" s="651" t="s">
        <v>954</v>
      </c>
      <c r="C88" s="652">
        <f>+C86+C87</f>
        <v>89156.459087617666</v>
      </c>
      <c r="D88" s="652">
        <f>+D86+D87</f>
        <v>92728.698390482852</v>
      </c>
      <c r="E88" s="652">
        <f>+E86+E87</f>
        <v>94670.737473535642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574</v>
      </c>
      <c r="B90" s="642" t="s">
        <v>955</v>
      </c>
    </row>
    <row r="91" spans="1:5" ht="26.1" customHeight="1" x14ac:dyDescent="0.25">
      <c r="A91" s="639">
        <v>1</v>
      </c>
      <c r="B91" s="640" t="s">
        <v>956</v>
      </c>
      <c r="C91" s="641">
        <f>IF(C81=0,0,C64/C81)</f>
        <v>195924.32432432432</v>
      </c>
      <c r="D91" s="641">
        <f>IF(D81=0,0,D64/D81)</f>
        <v>207383.84615384616</v>
      </c>
      <c r="E91" s="641">
        <f>IF(E81=0,0,E64/E81)</f>
        <v>146023.20000000001</v>
      </c>
    </row>
    <row r="92" spans="1:5" ht="26.1" customHeight="1" x14ac:dyDescent="0.25">
      <c r="A92" s="639">
        <v>2</v>
      </c>
      <c r="B92" s="640" t="s">
        <v>957</v>
      </c>
      <c r="C92" s="641">
        <f>IF(C81=0,0,C65/C81)</f>
        <v>47344.86486486486</v>
      </c>
      <c r="D92" s="641">
        <f>IF(D81=0,0,D65/D81)</f>
        <v>53330.769230769227</v>
      </c>
      <c r="E92" s="641">
        <f>IF(E81=0,0,E65/E81)</f>
        <v>43582</v>
      </c>
    </row>
    <row r="93" spans="1:5" ht="26.1" customHeight="1" x14ac:dyDescent="0.25">
      <c r="A93" s="650">
        <v>3</v>
      </c>
      <c r="B93" s="651" t="s">
        <v>958</v>
      </c>
      <c r="C93" s="654">
        <f>+C91+C92</f>
        <v>243269.18918918917</v>
      </c>
      <c r="D93" s="654">
        <f>+D91+D92</f>
        <v>260714.61538461538</v>
      </c>
      <c r="E93" s="654">
        <f>+E91+E92</f>
        <v>189605.2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959</v>
      </c>
      <c r="B95" s="642" t="s">
        <v>960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961</v>
      </c>
      <c r="C96" s="649">
        <f>IF(C82=0,0,C69/C82)</f>
        <v>50028.971529110684</v>
      </c>
      <c r="D96" s="649">
        <f>IF(D82=0,0,D69/D82)</f>
        <v>52495.749590834697</v>
      </c>
      <c r="E96" s="649">
        <f>IF(E82=0,0,E69/E82)</f>
        <v>51830.842696629217</v>
      </c>
    </row>
    <row r="97" spans="1:5" ht="26.1" customHeight="1" x14ac:dyDescent="0.25">
      <c r="A97" s="639">
        <v>2</v>
      </c>
      <c r="B97" s="640" t="s">
        <v>962</v>
      </c>
      <c r="C97" s="649">
        <f>IF(C82=0,0,C70/C82)</f>
        <v>12240.7773512476</v>
      </c>
      <c r="D97" s="649">
        <f>IF(D82=0,0,D70/D82)</f>
        <v>13499.788870703764</v>
      </c>
      <c r="E97" s="649">
        <f>IF(E82=0,0,E70/E82)</f>
        <v>15469.434797412327</v>
      </c>
    </row>
    <row r="98" spans="1:5" ht="26.1" customHeight="1" x14ac:dyDescent="0.25">
      <c r="A98" s="650">
        <v>3</v>
      </c>
      <c r="B98" s="651" t="s">
        <v>963</v>
      </c>
      <c r="C98" s="654">
        <f>+C96+C97</f>
        <v>62269.748880358282</v>
      </c>
      <c r="D98" s="654">
        <f>+D96+D97</f>
        <v>65995.538461538468</v>
      </c>
      <c r="E98" s="654">
        <f>+E96+E97</f>
        <v>67300.27749404154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964</v>
      </c>
      <c r="B100" s="642" t="s">
        <v>965</v>
      </c>
    </row>
    <row r="101" spans="1:5" ht="26.1" customHeight="1" x14ac:dyDescent="0.25">
      <c r="A101" s="639">
        <v>1</v>
      </c>
      <c r="B101" s="640" t="s">
        <v>966</v>
      </c>
      <c r="C101" s="641">
        <f>IF(C83=0,0,C75/C83)</f>
        <v>57270.513755386142</v>
      </c>
      <c r="D101" s="641">
        <f>IF(D83=0,0,D75/D83)</f>
        <v>59700.740493662437</v>
      </c>
      <c r="E101" s="641">
        <f>IF(E83=0,0,E75/E83)</f>
        <v>58941.020267949163</v>
      </c>
    </row>
    <row r="102" spans="1:5" ht="26.1" customHeight="1" x14ac:dyDescent="0.25">
      <c r="A102" s="639">
        <v>2</v>
      </c>
      <c r="B102" s="640" t="s">
        <v>967</v>
      </c>
      <c r="C102" s="658">
        <f>IF(C83=0,0,C76/C83)</f>
        <v>13943.890177880898</v>
      </c>
      <c r="D102" s="658">
        <f>IF(D83=0,0,D76/D83)</f>
        <v>15352.621747831887</v>
      </c>
      <c r="E102" s="658">
        <f>IF(E83=0,0,E76/E83)</f>
        <v>17591.537844955914</v>
      </c>
    </row>
    <row r="103" spans="1:5" ht="26.1" customHeight="1" x14ac:dyDescent="0.25">
      <c r="A103" s="650">
        <v>3</v>
      </c>
      <c r="B103" s="651" t="s">
        <v>965</v>
      </c>
      <c r="C103" s="654">
        <f>+C101+C102</f>
        <v>71214.403933267036</v>
      </c>
      <c r="D103" s="654">
        <f>+D101+D102</f>
        <v>75053.362241494324</v>
      </c>
      <c r="E103" s="654">
        <f>+E101+E102</f>
        <v>76532.55811290507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968</v>
      </c>
      <c r="B107" s="634" t="s">
        <v>969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970</v>
      </c>
      <c r="C108" s="641">
        <f>IF(C19=0,0,C77/C19)</f>
        <v>1938.0647363040471</v>
      </c>
      <c r="D108" s="641">
        <f>IF(D19=0,0,D77/D19)</f>
        <v>2005.5557074098283</v>
      </c>
      <c r="E108" s="641">
        <f>IF(E19=0,0,E77/E19)</f>
        <v>2178.9809604538195</v>
      </c>
    </row>
    <row r="109" spans="1:5" ht="26.1" customHeight="1" x14ac:dyDescent="0.25">
      <c r="A109" s="639">
        <v>2</v>
      </c>
      <c r="B109" s="640" t="s">
        <v>971</v>
      </c>
      <c r="C109" s="641">
        <f>IF(C20=0,0,C77/C20)</f>
        <v>8040.9377495009976</v>
      </c>
      <c r="D109" s="641">
        <f>IF(D20=0,0,D77/D20)</f>
        <v>8603.491460616875</v>
      </c>
      <c r="E109" s="641">
        <f>IF(E20=0,0,E77/E20)</f>
        <v>8774.5678088486275</v>
      </c>
    </row>
    <row r="110" spans="1:5" ht="26.1" customHeight="1" x14ac:dyDescent="0.25">
      <c r="A110" s="639">
        <v>3</v>
      </c>
      <c r="B110" s="640" t="s">
        <v>972</v>
      </c>
      <c r="C110" s="641">
        <f>IF(C22=0,0,C77/C22)</f>
        <v>823.72347125517183</v>
      </c>
      <c r="D110" s="641">
        <f>IF(D22=0,0,D77/D22)</f>
        <v>850.66554492561659</v>
      </c>
      <c r="E110" s="641">
        <f>IF(E22=0,0,E77/E22)</f>
        <v>880.78872197034229</v>
      </c>
    </row>
    <row r="111" spans="1:5" ht="26.1" customHeight="1" x14ac:dyDescent="0.25">
      <c r="A111" s="639">
        <v>4</v>
      </c>
      <c r="B111" s="640" t="s">
        <v>973</v>
      </c>
      <c r="C111" s="641">
        <f>IF(C23=0,0,C77/C23)</f>
        <v>3417.5892224307013</v>
      </c>
      <c r="D111" s="641">
        <f>IF(D23=0,0,D77/D23)</f>
        <v>3649.2099045509058</v>
      </c>
      <c r="E111" s="641">
        <f>IF(E23=0,0,E77/E23)</f>
        <v>3546.8599801754385</v>
      </c>
    </row>
    <row r="112" spans="1:5" ht="26.1" customHeight="1" x14ac:dyDescent="0.25">
      <c r="A112" s="639">
        <v>5</v>
      </c>
      <c r="B112" s="640" t="s">
        <v>974</v>
      </c>
      <c r="C112" s="641">
        <f>IF(C29=0,0,C77/C29)</f>
        <v>761.50604307929586</v>
      </c>
      <c r="D112" s="641">
        <f>IF(D29=0,0,D77/D29)</f>
        <v>780.68625580240575</v>
      </c>
      <c r="E112" s="641">
        <f>IF(E29=0,0,E77/E29)</f>
        <v>814.89378116908983</v>
      </c>
    </row>
    <row r="113" spans="1:7" ht="25.5" customHeight="1" x14ac:dyDescent="0.25">
      <c r="A113" s="639">
        <v>6</v>
      </c>
      <c r="B113" s="640" t="s">
        <v>975</v>
      </c>
      <c r="C113" s="641">
        <f>IF(C30=0,0,C77/C30)</f>
        <v>3159.4520934045941</v>
      </c>
      <c r="D113" s="641">
        <f>IF(D30=0,0,D77/D30)</f>
        <v>3349.0107058115445</v>
      </c>
      <c r="E113" s="641">
        <f>IF(E30=0,0,E77/E30)</f>
        <v>3281.5067546014834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FILING&amp;R&amp;12BRISTOL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35" sqref="B35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5" width="18.7109375" style="56" customWidth="1"/>
    <col min="6" max="6" width="18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359092080</v>
      </c>
      <c r="D12" s="51">
        <v>361761109</v>
      </c>
      <c r="E12" s="51">
        <f t="shared" ref="E12:E19" si="0">D12-C12</f>
        <v>2669029</v>
      </c>
      <c r="F12" s="70">
        <f t="shared" ref="F12:F19" si="1">IF(C12=0,0,E12/C12)</f>
        <v>7.4327147510465843E-3</v>
      </c>
    </row>
    <row r="13" spans="1:8" ht="23.1" customHeight="1" x14ac:dyDescent="0.2">
      <c r="A13" s="25">
        <v>2</v>
      </c>
      <c r="B13" s="48" t="s">
        <v>72</v>
      </c>
      <c r="C13" s="51">
        <v>233543365</v>
      </c>
      <c r="D13" s="51">
        <v>234107114</v>
      </c>
      <c r="E13" s="51">
        <f t="shared" si="0"/>
        <v>563749</v>
      </c>
      <c r="F13" s="70">
        <f t="shared" si="1"/>
        <v>2.4138943103778608E-3</v>
      </c>
    </row>
    <row r="14" spans="1:8" ht="23.1" customHeight="1" x14ac:dyDescent="0.2">
      <c r="A14" s="25">
        <v>3</v>
      </c>
      <c r="B14" s="48" t="s">
        <v>73</v>
      </c>
      <c r="C14" s="51">
        <v>558883</v>
      </c>
      <c r="D14" s="51">
        <v>259103</v>
      </c>
      <c r="E14" s="51">
        <f t="shared" si="0"/>
        <v>-299780</v>
      </c>
      <c r="F14" s="70">
        <f t="shared" si="1"/>
        <v>-0.53639133772184877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124989832</v>
      </c>
      <c r="D16" s="27">
        <f>D12-D13-D14-D15</f>
        <v>127394892</v>
      </c>
      <c r="E16" s="27">
        <f t="shared" si="0"/>
        <v>2405060</v>
      </c>
      <c r="F16" s="28">
        <f t="shared" si="1"/>
        <v>1.9242045224926778E-2</v>
      </c>
    </row>
    <row r="17" spans="1:7" ht="23.1" customHeight="1" x14ac:dyDescent="0.2">
      <c r="A17" s="25">
        <v>5</v>
      </c>
      <c r="B17" s="48" t="s">
        <v>76</v>
      </c>
      <c r="C17" s="51">
        <v>4717358</v>
      </c>
      <c r="D17" s="51">
        <v>4807086</v>
      </c>
      <c r="E17" s="51">
        <f t="shared" si="0"/>
        <v>89728</v>
      </c>
      <c r="F17" s="70">
        <f t="shared" si="1"/>
        <v>1.9020816312859869E-2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129707190</v>
      </c>
      <c r="D19" s="27">
        <f>SUM(D16:D18)</f>
        <v>132201978</v>
      </c>
      <c r="E19" s="27">
        <f t="shared" si="0"/>
        <v>2494788</v>
      </c>
      <c r="F19" s="28">
        <f t="shared" si="1"/>
        <v>1.9233999287163649E-2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53694846</v>
      </c>
      <c r="D22" s="51">
        <v>51473193</v>
      </c>
      <c r="E22" s="51">
        <f t="shared" ref="E22:E31" si="2">D22-C22</f>
        <v>-2221653</v>
      </c>
      <c r="F22" s="70">
        <f t="shared" ref="F22:F31" si="3">IF(C22=0,0,E22/C22)</f>
        <v>-4.1375535372612855E-2</v>
      </c>
    </row>
    <row r="23" spans="1:7" ht="23.1" customHeight="1" x14ac:dyDescent="0.2">
      <c r="A23" s="25">
        <v>2</v>
      </c>
      <c r="B23" s="48" t="s">
        <v>81</v>
      </c>
      <c r="C23" s="51">
        <v>13808148</v>
      </c>
      <c r="D23" s="51">
        <v>15362690</v>
      </c>
      <c r="E23" s="51">
        <f t="shared" si="2"/>
        <v>1554542</v>
      </c>
      <c r="F23" s="70">
        <f t="shared" si="3"/>
        <v>0.11258149898161578</v>
      </c>
    </row>
    <row r="24" spans="1:7" ht="23.1" customHeight="1" x14ac:dyDescent="0.2">
      <c r="A24" s="25">
        <v>3</v>
      </c>
      <c r="B24" s="48" t="s">
        <v>82</v>
      </c>
      <c r="C24" s="51">
        <v>4436306</v>
      </c>
      <c r="D24" s="51">
        <v>5204873</v>
      </c>
      <c r="E24" s="51">
        <f t="shared" si="2"/>
        <v>768567</v>
      </c>
      <c r="F24" s="70">
        <f t="shared" si="3"/>
        <v>0.17324481223792948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16059529</v>
      </c>
      <c r="D25" s="51">
        <v>16068661</v>
      </c>
      <c r="E25" s="51">
        <f t="shared" si="2"/>
        <v>9132</v>
      </c>
      <c r="F25" s="70">
        <f t="shared" si="3"/>
        <v>5.6863436032277156E-4</v>
      </c>
    </row>
    <row r="26" spans="1:7" ht="23.1" customHeight="1" x14ac:dyDescent="0.2">
      <c r="A26" s="25">
        <v>5</v>
      </c>
      <c r="B26" s="48" t="s">
        <v>84</v>
      </c>
      <c r="C26" s="51">
        <v>5438713</v>
      </c>
      <c r="D26" s="51">
        <v>5241260</v>
      </c>
      <c r="E26" s="51">
        <f t="shared" si="2"/>
        <v>-197453</v>
      </c>
      <c r="F26" s="70">
        <f t="shared" si="3"/>
        <v>-3.6305096444691973E-2</v>
      </c>
    </row>
    <row r="27" spans="1:7" ht="23.1" customHeight="1" x14ac:dyDescent="0.2">
      <c r="A27" s="25">
        <v>6</v>
      </c>
      <c r="B27" s="48" t="s">
        <v>85</v>
      </c>
      <c r="C27" s="51">
        <v>9166346</v>
      </c>
      <c r="D27" s="51">
        <v>10944348</v>
      </c>
      <c r="E27" s="51">
        <f t="shared" si="2"/>
        <v>1778002</v>
      </c>
      <c r="F27" s="70">
        <f t="shared" si="3"/>
        <v>0.19397063999111533</v>
      </c>
    </row>
    <row r="28" spans="1:7" ht="23.1" customHeight="1" x14ac:dyDescent="0.2">
      <c r="A28" s="25">
        <v>7</v>
      </c>
      <c r="B28" s="48" t="s">
        <v>86</v>
      </c>
      <c r="C28" s="51">
        <v>1891953</v>
      </c>
      <c r="D28" s="51">
        <v>1693322</v>
      </c>
      <c r="E28" s="51">
        <f t="shared" si="2"/>
        <v>-198631</v>
      </c>
      <c r="F28" s="70">
        <f t="shared" si="3"/>
        <v>-0.10498728033941647</v>
      </c>
    </row>
    <row r="29" spans="1:7" ht="23.1" customHeight="1" x14ac:dyDescent="0.2">
      <c r="A29" s="25">
        <v>8</v>
      </c>
      <c r="B29" s="48" t="s">
        <v>87</v>
      </c>
      <c r="C29" s="51">
        <v>1255062</v>
      </c>
      <c r="D29" s="51">
        <v>1810541</v>
      </c>
      <c r="E29" s="51">
        <f t="shared" si="2"/>
        <v>555479</v>
      </c>
      <c r="F29" s="70">
        <f t="shared" si="3"/>
        <v>0.44259088395633045</v>
      </c>
    </row>
    <row r="30" spans="1:7" ht="23.1" customHeight="1" x14ac:dyDescent="0.2">
      <c r="A30" s="25">
        <v>9</v>
      </c>
      <c r="B30" s="48" t="s">
        <v>88</v>
      </c>
      <c r="C30" s="51">
        <v>23906496</v>
      </c>
      <c r="D30" s="51">
        <v>23188745</v>
      </c>
      <c r="E30" s="51">
        <f t="shared" si="2"/>
        <v>-717751</v>
      </c>
      <c r="F30" s="70">
        <f t="shared" si="3"/>
        <v>-3.0023262296574118E-2</v>
      </c>
    </row>
    <row r="31" spans="1:7" ht="23.1" customHeight="1" x14ac:dyDescent="0.25">
      <c r="A31" s="29"/>
      <c r="B31" s="71" t="s">
        <v>89</v>
      </c>
      <c r="C31" s="27">
        <f>SUM(C22:C30)</f>
        <v>129657399</v>
      </c>
      <c r="D31" s="27">
        <f>SUM(D22:D30)</f>
        <v>130987633</v>
      </c>
      <c r="E31" s="27">
        <f t="shared" si="2"/>
        <v>1330234</v>
      </c>
      <c r="F31" s="28">
        <f t="shared" si="3"/>
        <v>1.0259607320982893E-2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49791</v>
      </c>
      <c r="D33" s="27">
        <f>+D19-D31</f>
        <v>1214345</v>
      </c>
      <c r="E33" s="27">
        <f>D33-C33</f>
        <v>1164554</v>
      </c>
      <c r="F33" s="28">
        <f>IF(C33=0,0,E33/C33)</f>
        <v>23.388845373661908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288634</v>
      </c>
      <c r="D36" s="51">
        <v>285251</v>
      </c>
      <c r="E36" s="51">
        <f>D36-C36</f>
        <v>-3383</v>
      </c>
      <c r="F36" s="70">
        <f>IF(C36=0,0,E36/C36)</f>
        <v>-1.1720725902007387E-2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34973</v>
      </c>
      <c r="D38" s="51">
        <v>286221</v>
      </c>
      <c r="E38" s="51">
        <f>D38-C38</f>
        <v>251248</v>
      </c>
      <c r="F38" s="70">
        <f>IF(C38=0,0,E38/C38)</f>
        <v>7.1840562719812429</v>
      </c>
    </row>
    <row r="39" spans="1:6" ht="23.1" customHeight="1" x14ac:dyDescent="0.25">
      <c r="A39" s="20"/>
      <c r="B39" s="71" t="s">
        <v>95</v>
      </c>
      <c r="C39" s="27">
        <f>SUM(C36:C38)</f>
        <v>323607</v>
      </c>
      <c r="D39" s="27">
        <f>SUM(D36:D38)</f>
        <v>571472</v>
      </c>
      <c r="E39" s="27">
        <f>D39-C39</f>
        <v>247865</v>
      </c>
      <c r="F39" s="28">
        <f>IF(C39=0,0,E39/C39)</f>
        <v>0.76594449440216061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373398</v>
      </c>
      <c r="D41" s="27">
        <f>D33+D39</f>
        <v>1785817</v>
      </c>
      <c r="E41" s="27">
        <f>D41-C41</f>
        <v>1412419</v>
      </c>
      <c r="F41" s="28">
        <f>IF(C41=0,0,E41/C41)</f>
        <v>3.7826099764862158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373398</v>
      </c>
      <c r="D48" s="27">
        <f>D41+D46</f>
        <v>1785817</v>
      </c>
      <c r="E48" s="27">
        <f>D48-C48</f>
        <v>1412419</v>
      </c>
      <c r="F48" s="28">
        <f>IF(C48=0,0,E48/C48)</f>
        <v>3.7826099764862158</v>
      </c>
    </row>
    <row r="49" spans="1:6" ht="23.1" customHeight="1" x14ac:dyDescent="0.2">
      <c r="A49" s="44"/>
      <c r="B49" s="48" t="s">
        <v>102</v>
      </c>
      <c r="C49" s="51">
        <v>1336136</v>
      </c>
      <c r="D49" s="51">
        <v>172922</v>
      </c>
      <c r="E49" s="51">
        <f>D49-C49</f>
        <v>-1163214</v>
      </c>
      <c r="F49" s="70">
        <f>IF(C49=0,0,E49/C49)</f>
        <v>-0.87058053970553895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FILING&amp;RBRISTOL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B35" sqref="B35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73389848</v>
      </c>
      <c r="D14" s="97">
        <v>69532757</v>
      </c>
      <c r="E14" s="97">
        <f t="shared" ref="E14:E25" si="0">D14-C14</f>
        <v>-3857091</v>
      </c>
      <c r="F14" s="98">
        <f t="shared" ref="F14:F25" si="1">IF(C14=0,0,E14/C14)</f>
        <v>-5.2556192785683381E-2</v>
      </c>
    </row>
    <row r="15" spans="1:6" ht="18" customHeight="1" x14ac:dyDescent="0.25">
      <c r="A15" s="99">
        <v>2</v>
      </c>
      <c r="B15" s="100" t="s">
        <v>113</v>
      </c>
      <c r="C15" s="97">
        <v>13301503</v>
      </c>
      <c r="D15" s="97">
        <v>13381601</v>
      </c>
      <c r="E15" s="97">
        <f t="shared" si="0"/>
        <v>80098</v>
      </c>
      <c r="F15" s="98">
        <f t="shared" si="1"/>
        <v>6.0217255147782924E-3</v>
      </c>
    </row>
    <row r="16" spans="1:6" ht="18" customHeight="1" x14ac:dyDescent="0.25">
      <c r="A16" s="99">
        <v>3</v>
      </c>
      <c r="B16" s="100" t="s">
        <v>114</v>
      </c>
      <c r="C16" s="97">
        <v>6492749</v>
      </c>
      <c r="D16" s="97">
        <v>9019862</v>
      </c>
      <c r="E16" s="97">
        <f t="shared" si="0"/>
        <v>2527113</v>
      </c>
      <c r="F16" s="98">
        <f t="shared" si="1"/>
        <v>0.38922080616392224</v>
      </c>
    </row>
    <row r="17" spans="1:6" ht="18" customHeight="1" x14ac:dyDescent="0.25">
      <c r="A17" s="99">
        <v>4</v>
      </c>
      <c r="B17" s="100" t="s">
        <v>115</v>
      </c>
      <c r="C17" s="97">
        <v>6901515</v>
      </c>
      <c r="D17" s="97">
        <v>8515511</v>
      </c>
      <c r="E17" s="97">
        <f t="shared" si="0"/>
        <v>1613996</v>
      </c>
      <c r="F17" s="98">
        <f t="shared" si="1"/>
        <v>0.23386111600134174</v>
      </c>
    </row>
    <row r="18" spans="1:6" ht="18" customHeight="1" x14ac:dyDescent="0.25">
      <c r="A18" s="99">
        <v>5</v>
      </c>
      <c r="B18" s="100" t="s">
        <v>116</v>
      </c>
      <c r="C18" s="97">
        <v>200630</v>
      </c>
      <c r="D18" s="97">
        <v>622433</v>
      </c>
      <c r="E18" s="97">
        <f t="shared" si="0"/>
        <v>421803</v>
      </c>
      <c r="F18" s="98">
        <f t="shared" si="1"/>
        <v>2.1023924637392213</v>
      </c>
    </row>
    <row r="19" spans="1:6" ht="18" customHeight="1" x14ac:dyDescent="0.25">
      <c r="A19" s="99">
        <v>6</v>
      </c>
      <c r="B19" s="100" t="s">
        <v>117</v>
      </c>
      <c r="C19" s="97">
        <v>23291323</v>
      </c>
      <c r="D19" s="97">
        <v>21745875</v>
      </c>
      <c r="E19" s="97">
        <f t="shared" si="0"/>
        <v>-1545448</v>
      </c>
      <c r="F19" s="98">
        <f t="shared" si="1"/>
        <v>-6.6352950409901579E-2</v>
      </c>
    </row>
    <row r="20" spans="1:6" ht="18" customHeight="1" x14ac:dyDescent="0.25">
      <c r="A20" s="99">
        <v>7</v>
      </c>
      <c r="B20" s="100" t="s">
        <v>118</v>
      </c>
      <c r="C20" s="97">
        <v>20754088</v>
      </c>
      <c r="D20" s="97">
        <v>16271401</v>
      </c>
      <c r="E20" s="97">
        <f t="shared" si="0"/>
        <v>-4482687</v>
      </c>
      <c r="F20" s="98">
        <f t="shared" si="1"/>
        <v>-0.21599055569196776</v>
      </c>
    </row>
    <row r="21" spans="1:6" ht="18" customHeight="1" x14ac:dyDescent="0.25">
      <c r="A21" s="99">
        <v>8</v>
      </c>
      <c r="B21" s="100" t="s">
        <v>119</v>
      </c>
      <c r="C21" s="97">
        <v>813914</v>
      </c>
      <c r="D21" s="97">
        <v>1445196</v>
      </c>
      <c r="E21" s="97">
        <f t="shared" si="0"/>
        <v>631282</v>
      </c>
      <c r="F21" s="98">
        <f t="shared" si="1"/>
        <v>0.77561265686546732</v>
      </c>
    </row>
    <row r="22" spans="1:6" ht="18" customHeight="1" x14ac:dyDescent="0.25">
      <c r="A22" s="99">
        <v>9</v>
      </c>
      <c r="B22" s="100" t="s">
        <v>120</v>
      </c>
      <c r="C22" s="97">
        <v>905666</v>
      </c>
      <c r="D22" s="97">
        <v>778948</v>
      </c>
      <c r="E22" s="97">
        <f t="shared" si="0"/>
        <v>-126718</v>
      </c>
      <c r="F22" s="98">
        <f t="shared" si="1"/>
        <v>-0.13991692301576961</v>
      </c>
    </row>
    <row r="23" spans="1:6" ht="18" customHeight="1" x14ac:dyDescent="0.25">
      <c r="A23" s="99">
        <v>10</v>
      </c>
      <c r="B23" s="100" t="s">
        <v>121</v>
      </c>
      <c r="C23" s="97">
        <v>6259297</v>
      </c>
      <c r="D23" s="97">
        <v>4917718</v>
      </c>
      <c r="E23" s="97">
        <f t="shared" si="0"/>
        <v>-1341579</v>
      </c>
      <c r="F23" s="98">
        <f t="shared" si="1"/>
        <v>-0.21433381416475364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152310533</v>
      </c>
      <c r="D25" s="103">
        <f>SUM(D14:D24)</f>
        <v>146231302</v>
      </c>
      <c r="E25" s="103">
        <f t="shared" si="0"/>
        <v>-6079231</v>
      </c>
      <c r="F25" s="104">
        <f t="shared" si="1"/>
        <v>-3.9913398504094262E-2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57230268</v>
      </c>
      <c r="D27" s="97">
        <v>60838619</v>
      </c>
      <c r="E27" s="97">
        <f t="shared" ref="E27:E38" si="2">D27-C27</f>
        <v>3608351</v>
      </c>
      <c r="F27" s="98">
        <f t="shared" ref="F27:F38" si="3">IF(C27=0,0,E27/C27)</f>
        <v>6.3049696010509679E-2</v>
      </c>
    </row>
    <row r="28" spans="1:6" ht="18" customHeight="1" x14ac:dyDescent="0.25">
      <c r="A28" s="99">
        <v>2</v>
      </c>
      <c r="B28" s="100" t="s">
        <v>113</v>
      </c>
      <c r="C28" s="97">
        <v>14044609</v>
      </c>
      <c r="D28" s="97">
        <v>17730402</v>
      </c>
      <c r="E28" s="97">
        <f t="shared" si="2"/>
        <v>3685793</v>
      </c>
      <c r="F28" s="98">
        <f t="shared" si="3"/>
        <v>0.26243471783372541</v>
      </c>
    </row>
    <row r="29" spans="1:6" ht="18" customHeight="1" x14ac:dyDescent="0.25">
      <c r="A29" s="99">
        <v>3</v>
      </c>
      <c r="B29" s="100" t="s">
        <v>114</v>
      </c>
      <c r="C29" s="97">
        <v>7052167</v>
      </c>
      <c r="D29" s="97">
        <v>10694401</v>
      </c>
      <c r="E29" s="97">
        <f t="shared" si="2"/>
        <v>3642234</v>
      </c>
      <c r="F29" s="98">
        <f t="shared" si="3"/>
        <v>0.51647018568902292</v>
      </c>
    </row>
    <row r="30" spans="1:6" ht="18" customHeight="1" x14ac:dyDescent="0.25">
      <c r="A30" s="99">
        <v>4</v>
      </c>
      <c r="B30" s="100" t="s">
        <v>115</v>
      </c>
      <c r="C30" s="97">
        <v>16621710</v>
      </c>
      <c r="D30" s="97">
        <v>20729988</v>
      </c>
      <c r="E30" s="97">
        <f t="shared" si="2"/>
        <v>4108278</v>
      </c>
      <c r="F30" s="98">
        <f t="shared" si="3"/>
        <v>0.24716337849715825</v>
      </c>
    </row>
    <row r="31" spans="1:6" ht="18" customHeight="1" x14ac:dyDescent="0.25">
      <c r="A31" s="99">
        <v>5</v>
      </c>
      <c r="B31" s="100" t="s">
        <v>116</v>
      </c>
      <c r="C31" s="97">
        <v>426014</v>
      </c>
      <c r="D31" s="97">
        <v>636350</v>
      </c>
      <c r="E31" s="97">
        <f t="shared" si="2"/>
        <v>210336</v>
      </c>
      <c r="F31" s="98">
        <f t="shared" si="3"/>
        <v>0.4937302529963804</v>
      </c>
    </row>
    <row r="32" spans="1:6" ht="18" customHeight="1" x14ac:dyDescent="0.25">
      <c r="A32" s="99">
        <v>6</v>
      </c>
      <c r="B32" s="100" t="s">
        <v>117</v>
      </c>
      <c r="C32" s="97">
        <v>46656078</v>
      </c>
      <c r="D32" s="97">
        <v>48322940</v>
      </c>
      <c r="E32" s="97">
        <f t="shared" si="2"/>
        <v>1666862</v>
      </c>
      <c r="F32" s="98">
        <f t="shared" si="3"/>
        <v>3.5726577789071769E-2</v>
      </c>
    </row>
    <row r="33" spans="1:6" ht="18" customHeight="1" x14ac:dyDescent="0.25">
      <c r="A33" s="99">
        <v>7</v>
      </c>
      <c r="B33" s="100" t="s">
        <v>118</v>
      </c>
      <c r="C33" s="97">
        <v>45816881</v>
      </c>
      <c r="D33" s="97">
        <v>39127515</v>
      </c>
      <c r="E33" s="97">
        <f t="shared" si="2"/>
        <v>-6689366</v>
      </c>
      <c r="F33" s="98">
        <f t="shared" si="3"/>
        <v>-0.14600221259059515</v>
      </c>
    </row>
    <row r="34" spans="1:6" ht="18" customHeight="1" x14ac:dyDescent="0.25">
      <c r="A34" s="99">
        <v>8</v>
      </c>
      <c r="B34" s="100" t="s">
        <v>119</v>
      </c>
      <c r="C34" s="97">
        <v>6137784</v>
      </c>
      <c r="D34" s="97">
        <v>4317070</v>
      </c>
      <c r="E34" s="97">
        <f t="shared" si="2"/>
        <v>-1820714</v>
      </c>
      <c r="F34" s="98">
        <f t="shared" si="3"/>
        <v>-0.29664028580999269</v>
      </c>
    </row>
    <row r="35" spans="1:6" ht="18" customHeight="1" x14ac:dyDescent="0.25">
      <c r="A35" s="99">
        <v>9</v>
      </c>
      <c r="B35" s="100" t="s">
        <v>120</v>
      </c>
      <c r="C35" s="97">
        <v>5537635</v>
      </c>
      <c r="D35" s="97">
        <v>5736491</v>
      </c>
      <c r="E35" s="97">
        <f t="shared" si="2"/>
        <v>198856</v>
      </c>
      <c r="F35" s="98">
        <f t="shared" si="3"/>
        <v>3.5909914611562517E-2</v>
      </c>
    </row>
    <row r="36" spans="1:6" ht="18" customHeight="1" x14ac:dyDescent="0.25">
      <c r="A36" s="99">
        <v>10</v>
      </c>
      <c r="B36" s="100" t="s">
        <v>121</v>
      </c>
      <c r="C36" s="97">
        <v>7258401</v>
      </c>
      <c r="D36" s="97">
        <v>7396165</v>
      </c>
      <c r="E36" s="97">
        <f t="shared" si="2"/>
        <v>137764</v>
      </c>
      <c r="F36" s="98">
        <f t="shared" si="3"/>
        <v>1.8979937867858225E-2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206781547</v>
      </c>
      <c r="D38" s="103">
        <f>SUM(D27:D37)</f>
        <v>215529941</v>
      </c>
      <c r="E38" s="103">
        <f t="shared" si="2"/>
        <v>8748394</v>
      </c>
      <c r="F38" s="104">
        <f t="shared" si="3"/>
        <v>4.2307421174288824E-2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130620116</v>
      </c>
      <c r="D41" s="103">
        <f t="shared" si="4"/>
        <v>130371376</v>
      </c>
      <c r="E41" s="107">
        <f t="shared" ref="E41:E52" si="5">D41-C41</f>
        <v>-248740</v>
      </c>
      <c r="F41" s="108">
        <f t="shared" ref="F41:F52" si="6">IF(C41=0,0,E41/C41)</f>
        <v>-1.9043008658788819E-3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27346112</v>
      </c>
      <c r="D42" s="103">
        <f t="shared" si="4"/>
        <v>31112003</v>
      </c>
      <c r="E42" s="107">
        <f t="shared" si="5"/>
        <v>3765891</v>
      </c>
      <c r="F42" s="108">
        <f t="shared" si="6"/>
        <v>0.13771211790546312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13544916</v>
      </c>
      <c r="D43" s="103">
        <f t="shared" si="4"/>
        <v>19714263</v>
      </c>
      <c r="E43" s="107">
        <f t="shared" si="5"/>
        <v>6169347</v>
      </c>
      <c r="F43" s="108">
        <f t="shared" si="6"/>
        <v>0.45547325653403831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23523225</v>
      </c>
      <c r="D44" s="103">
        <f t="shared" si="4"/>
        <v>29245499</v>
      </c>
      <c r="E44" s="107">
        <f t="shared" si="5"/>
        <v>5722274</v>
      </c>
      <c r="F44" s="108">
        <f t="shared" si="6"/>
        <v>0.2432606073359414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626644</v>
      </c>
      <c r="D45" s="103">
        <f t="shared" si="4"/>
        <v>1258783</v>
      </c>
      <c r="E45" s="107">
        <f t="shared" si="5"/>
        <v>632139</v>
      </c>
      <c r="F45" s="108">
        <f t="shared" si="6"/>
        <v>1.0087689341954922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69947401</v>
      </c>
      <c r="D46" s="103">
        <f t="shared" si="4"/>
        <v>70068815</v>
      </c>
      <c r="E46" s="107">
        <f t="shared" si="5"/>
        <v>121414</v>
      </c>
      <c r="F46" s="108">
        <f t="shared" si="6"/>
        <v>1.7357900116975039E-3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66570969</v>
      </c>
      <c r="D47" s="103">
        <f t="shared" si="4"/>
        <v>55398916</v>
      </c>
      <c r="E47" s="107">
        <f t="shared" si="5"/>
        <v>-11172053</v>
      </c>
      <c r="F47" s="108">
        <f t="shared" si="6"/>
        <v>-0.16782169717253176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6951698</v>
      </c>
      <c r="D48" s="103">
        <f t="shared" si="4"/>
        <v>5762266</v>
      </c>
      <c r="E48" s="107">
        <f t="shared" si="5"/>
        <v>-1189432</v>
      </c>
      <c r="F48" s="108">
        <f t="shared" si="6"/>
        <v>-0.1710994925268618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6443301</v>
      </c>
      <c r="D49" s="103">
        <f t="shared" si="4"/>
        <v>6515439</v>
      </c>
      <c r="E49" s="107">
        <f t="shared" si="5"/>
        <v>72138</v>
      </c>
      <c r="F49" s="108">
        <f t="shared" si="6"/>
        <v>1.1195814071079405E-2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13517698</v>
      </c>
      <c r="D50" s="103">
        <f t="shared" si="4"/>
        <v>12313883</v>
      </c>
      <c r="E50" s="107">
        <f t="shared" si="5"/>
        <v>-1203815</v>
      </c>
      <c r="F50" s="108">
        <f t="shared" si="6"/>
        <v>-8.9054734023500157E-2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359092080</v>
      </c>
      <c r="D52" s="112">
        <f>SUM(D41:D51)</f>
        <v>361761243</v>
      </c>
      <c r="E52" s="111">
        <f t="shared" si="5"/>
        <v>2669163</v>
      </c>
      <c r="F52" s="113">
        <f t="shared" si="6"/>
        <v>7.43308791438675E-3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24601830</v>
      </c>
      <c r="D57" s="97">
        <v>25762383</v>
      </c>
      <c r="E57" s="97">
        <f t="shared" ref="E57:E68" si="7">D57-C57</f>
        <v>1160553</v>
      </c>
      <c r="F57" s="98">
        <f t="shared" ref="F57:F68" si="8">IF(C57=0,0,E57/C57)</f>
        <v>4.7173441975657905E-2</v>
      </c>
    </row>
    <row r="58" spans="1:6" ht="18" customHeight="1" x14ac:dyDescent="0.25">
      <c r="A58" s="99">
        <v>2</v>
      </c>
      <c r="B58" s="100" t="s">
        <v>113</v>
      </c>
      <c r="C58" s="97">
        <v>4630546</v>
      </c>
      <c r="D58" s="97">
        <v>4882292</v>
      </c>
      <c r="E58" s="97">
        <f t="shared" si="7"/>
        <v>251746</v>
      </c>
      <c r="F58" s="98">
        <f t="shared" si="8"/>
        <v>5.4366374937210429E-2</v>
      </c>
    </row>
    <row r="59" spans="1:6" ht="18" customHeight="1" x14ac:dyDescent="0.25">
      <c r="A59" s="99">
        <v>3</v>
      </c>
      <c r="B59" s="100" t="s">
        <v>114</v>
      </c>
      <c r="C59" s="97">
        <v>1929597</v>
      </c>
      <c r="D59" s="97">
        <v>3001187</v>
      </c>
      <c r="E59" s="97">
        <f t="shared" si="7"/>
        <v>1071590</v>
      </c>
      <c r="F59" s="98">
        <f t="shared" si="8"/>
        <v>0.55534393969310691</v>
      </c>
    </row>
    <row r="60" spans="1:6" ht="18" customHeight="1" x14ac:dyDescent="0.25">
      <c r="A60" s="99">
        <v>4</v>
      </c>
      <c r="B60" s="100" t="s">
        <v>115</v>
      </c>
      <c r="C60" s="97">
        <v>1669326</v>
      </c>
      <c r="D60" s="97">
        <v>1881370</v>
      </c>
      <c r="E60" s="97">
        <f t="shared" si="7"/>
        <v>212044</v>
      </c>
      <c r="F60" s="98">
        <f t="shared" si="8"/>
        <v>0.12702372095085082</v>
      </c>
    </row>
    <row r="61" spans="1:6" ht="18" customHeight="1" x14ac:dyDescent="0.25">
      <c r="A61" s="99">
        <v>5</v>
      </c>
      <c r="B61" s="100" t="s">
        <v>116</v>
      </c>
      <c r="C61" s="97">
        <v>74488</v>
      </c>
      <c r="D61" s="97">
        <v>162772</v>
      </c>
      <c r="E61" s="97">
        <f t="shared" si="7"/>
        <v>88284</v>
      </c>
      <c r="F61" s="98">
        <f t="shared" si="8"/>
        <v>1.1852110407045431</v>
      </c>
    </row>
    <row r="62" spans="1:6" ht="18" customHeight="1" x14ac:dyDescent="0.25">
      <c r="A62" s="99">
        <v>6</v>
      </c>
      <c r="B62" s="100" t="s">
        <v>117</v>
      </c>
      <c r="C62" s="97">
        <v>9885372</v>
      </c>
      <c r="D62" s="97">
        <v>9948674</v>
      </c>
      <c r="E62" s="97">
        <f t="shared" si="7"/>
        <v>63302</v>
      </c>
      <c r="F62" s="98">
        <f t="shared" si="8"/>
        <v>6.4036032230248901E-3</v>
      </c>
    </row>
    <row r="63" spans="1:6" ht="18" customHeight="1" x14ac:dyDescent="0.25">
      <c r="A63" s="99">
        <v>7</v>
      </c>
      <c r="B63" s="100" t="s">
        <v>118</v>
      </c>
      <c r="C63" s="97">
        <v>8851281</v>
      </c>
      <c r="D63" s="97">
        <v>7299709</v>
      </c>
      <c r="E63" s="97">
        <f t="shared" si="7"/>
        <v>-1551572</v>
      </c>
      <c r="F63" s="98">
        <f t="shared" si="8"/>
        <v>-0.17529349706556599</v>
      </c>
    </row>
    <row r="64" spans="1:6" ht="18" customHeight="1" x14ac:dyDescent="0.25">
      <c r="A64" s="99">
        <v>8</v>
      </c>
      <c r="B64" s="100" t="s">
        <v>119</v>
      </c>
      <c r="C64" s="97">
        <v>813915</v>
      </c>
      <c r="D64" s="97">
        <v>1445198</v>
      </c>
      <c r="E64" s="97">
        <f t="shared" si="7"/>
        <v>631283</v>
      </c>
      <c r="F64" s="98">
        <f t="shared" si="8"/>
        <v>0.77561293255438224</v>
      </c>
    </row>
    <row r="65" spans="1:6" ht="18" customHeight="1" x14ac:dyDescent="0.25">
      <c r="A65" s="99">
        <v>9</v>
      </c>
      <c r="B65" s="100" t="s">
        <v>120</v>
      </c>
      <c r="C65" s="97">
        <v>24036</v>
      </c>
      <c r="D65" s="97">
        <v>27969</v>
      </c>
      <c r="E65" s="97">
        <f t="shared" si="7"/>
        <v>3933</v>
      </c>
      <c r="F65" s="98">
        <f t="shared" si="8"/>
        <v>0.16362955566650025</v>
      </c>
    </row>
    <row r="66" spans="1:6" ht="18" customHeight="1" x14ac:dyDescent="0.25">
      <c r="A66" s="99">
        <v>10</v>
      </c>
      <c r="B66" s="100" t="s">
        <v>121</v>
      </c>
      <c r="C66" s="97">
        <v>955724</v>
      </c>
      <c r="D66" s="97">
        <v>977565</v>
      </c>
      <c r="E66" s="97">
        <f t="shared" si="7"/>
        <v>21841</v>
      </c>
      <c r="F66" s="98">
        <f t="shared" si="8"/>
        <v>2.2852831989151681E-2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53436115</v>
      </c>
      <c r="D68" s="103">
        <f>SUM(D57:D67)</f>
        <v>55389119</v>
      </c>
      <c r="E68" s="103">
        <f t="shared" si="7"/>
        <v>1953004</v>
      </c>
      <c r="F68" s="104">
        <f t="shared" si="8"/>
        <v>3.6548390540741965E-2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13932270</v>
      </c>
      <c r="D70" s="97">
        <v>14935136</v>
      </c>
      <c r="E70" s="97">
        <f t="shared" ref="E70:E81" si="9">D70-C70</f>
        <v>1002866</v>
      </c>
      <c r="F70" s="98">
        <f t="shared" ref="F70:F81" si="10">IF(C70=0,0,E70/C70)</f>
        <v>7.1981522034815573E-2</v>
      </c>
    </row>
    <row r="71" spans="1:6" ht="18" customHeight="1" x14ac:dyDescent="0.25">
      <c r="A71" s="99">
        <v>2</v>
      </c>
      <c r="B71" s="100" t="s">
        <v>113</v>
      </c>
      <c r="C71" s="97">
        <v>2756321</v>
      </c>
      <c r="D71" s="97">
        <v>3563811</v>
      </c>
      <c r="E71" s="97">
        <f t="shared" si="9"/>
        <v>807490</v>
      </c>
      <c r="F71" s="98">
        <f t="shared" si="10"/>
        <v>0.29295934689754932</v>
      </c>
    </row>
    <row r="72" spans="1:6" ht="18" customHeight="1" x14ac:dyDescent="0.25">
      <c r="A72" s="99">
        <v>3</v>
      </c>
      <c r="B72" s="100" t="s">
        <v>114</v>
      </c>
      <c r="C72" s="97">
        <v>2081667</v>
      </c>
      <c r="D72" s="97">
        <v>2290045</v>
      </c>
      <c r="E72" s="97">
        <f t="shared" si="9"/>
        <v>208378</v>
      </c>
      <c r="F72" s="98">
        <f t="shared" si="10"/>
        <v>0.1001015051879095</v>
      </c>
    </row>
    <row r="73" spans="1:6" ht="18" customHeight="1" x14ac:dyDescent="0.25">
      <c r="A73" s="99">
        <v>4</v>
      </c>
      <c r="B73" s="100" t="s">
        <v>115</v>
      </c>
      <c r="C73" s="97">
        <v>4186849</v>
      </c>
      <c r="D73" s="97">
        <v>5314656</v>
      </c>
      <c r="E73" s="97">
        <f t="shared" si="9"/>
        <v>1127807</v>
      </c>
      <c r="F73" s="98">
        <f t="shared" si="10"/>
        <v>0.26936892159234788</v>
      </c>
    </row>
    <row r="74" spans="1:6" ht="18" customHeight="1" x14ac:dyDescent="0.25">
      <c r="A74" s="99">
        <v>5</v>
      </c>
      <c r="B74" s="100" t="s">
        <v>116</v>
      </c>
      <c r="C74" s="97">
        <v>96511</v>
      </c>
      <c r="D74" s="97">
        <v>126904</v>
      </c>
      <c r="E74" s="97">
        <f t="shared" si="9"/>
        <v>30393</v>
      </c>
      <c r="F74" s="98">
        <f t="shared" si="10"/>
        <v>0.31491747054739871</v>
      </c>
    </row>
    <row r="75" spans="1:6" ht="18" customHeight="1" x14ac:dyDescent="0.25">
      <c r="A75" s="99">
        <v>6</v>
      </c>
      <c r="B75" s="100" t="s">
        <v>117</v>
      </c>
      <c r="C75" s="97">
        <v>18725643</v>
      </c>
      <c r="D75" s="97">
        <v>20574482</v>
      </c>
      <c r="E75" s="97">
        <f t="shared" si="9"/>
        <v>1848839</v>
      </c>
      <c r="F75" s="98">
        <f t="shared" si="10"/>
        <v>9.8733004789208045E-2</v>
      </c>
    </row>
    <row r="76" spans="1:6" ht="18" customHeight="1" x14ac:dyDescent="0.25">
      <c r="A76" s="99">
        <v>7</v>
      </c>
      <c r="B76" s="100" t="s">
        <v>118</v>
      </c>
      <c r="C76" s="97">
        <v>15954639</v>
      </c>
      <c r="D76" s="97">
        <v>11040079</v>
      </c>
      <c r="E76" s="97">
        <f t="shared" si="9"/>
        <v>-4914560</v>
      </c>
      <c r="F76" s="98">
        <f t="shared" si="10"/>
        <v>-0.30803329363954896</v>
      </c>
    </row>
    <row r="77" spans="1:6" ht="18" customHeight="1" x14ac:dyDescent="0.25">
      <c r="A77" s="99">
        <v>8</v>
      </c>
      <c r="B77" s="100" t="s">
        <v>119</v>
      </c>
      <c r="C77" s="97">
        <v>6137784</v>
      </c>
      <c r="D77" s="97">
        <v>4317070</v>
      </c>
      <c r="E77" s="97">
        <f t="shared" si="9"/>
        <v>-1820714</v>
      </c>
      <c r="F77" s="98">
        <f t="shared" si="10"/>
        <v>-0.29664028580999269</v>
      </c>
    </row>
    <row r="78" spans="1:6" ht="18" customHeight="1" x14ac:dyDescent="0.25">
      <c r="A78" s="99">
        <v>9</v>
      </c>
      <c r="B78" s="100" t="s">
        <v>120</v>
      </c>
      <c r="C78" s="97">
        <v>267683</v>
      </c>
      <c r="D78" s="97">
        <v>379481</v>
      </c>
      <c r="E78" s="97">
        <f t="shared" si="9"/>
        <v>111798</v>
      </c>
      <c r="F78" s="98">
        <f t="shared" si="10"/>
        <v>0.4176507286603931</v>
      </c>
    </row>
    <row r="79" spans="1:6" ht="18" customHeight="1" x14ac:dyDescent="0.25">
      <c r="A79" s="99">
        <v>10</v>
      </c>
      <c r="B79" s="100" t="s">
        <v>121</v>
      </c>
      <c r="C79" s="97">
        <v>870976</v>
      </c>
      <c r="D79" s="97">
        <v>1056115</v>
      </c>
      <c r="E79" s="97">
        <f t="shared" si="9"/>
        <v>185139</v>
      </c>
      <c r="F79" s="98">
        <f t="shared" si="10"/>
        <v>0.21256498456903519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65010343</v>
      </c>
      <c r="D81" s="103">
        <f>SUM(D70:D80)</f>
        <v>63597779</v>
      </c>
      <c r="E81" s="103">
        <f t="shared" si="9"/>
        <v>-1412564</v>
      </c>
      <c r="F81" s="104">
        <f t="shared" si="10"/>
        <v>-2.1728296372778712E-2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38534100</v>
      </c>
      <c r="D84" s="103">
        <f t="shared" si="11"/>
        <v>40697519</v>
      </c>
      <c r="E84" s="103">
        <f t="shared" ref="E84:E95" si="12">D84-C84</f>
        <v>2163419</v>
      </c>
      <c r="F84" s="104">
        <f t="shared" ref="F84:F95" si="13">IF(C84=0,0,E84/C84)</f>
        <v>5.6142974663998903E-2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7386867</v>
      </c>
      <c r="D85" s="103">
        <f t="shared" si="11"/>
        <v>8446103</v>
      </c>
      <c r="E85" s="103">
        <f t="shared" si="12"/>
        <v>1059236</v>
      </c>
      <c r="F85" s="104">
        <f t="shared" si="13"/>
        <v>0.14339448645819669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4011264</v>
      </c>
      <c r="D86" s="103">
        <f t="shared" si="11"/>
        <v>5291232</v>
      </c>
      <c r="E86" s="103">
        <f t="shared" si="12"/>
        <v>1279968</v>
      </c>
      <c r="F86" s="104">
        <f t="shared" si="13"/>
        <v>0.31909343289297337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5856175</v>
      </c>
      <c r="D87" s="103">
        <f t="shared" si="11"/>
        <v>7196026</v>
      </c>
      <c r="E87" s="103">
        <f t="shared" si="12"/>
        <v>1339851</v>
      </c>
      <c r="F87" s="104">
        <f t="shared" si="13"/>
        <v>0.22879285540476504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170999</v>
      </c>
      <c r="D88" s="103">
        <f t="shared" si="11"/>
        <v>289676</v>
      </c>
      <c r="E88" s="103">
        <f t="shared" si="12"/>
        <v>118677</v>
      </c>
      <c r="F88" s="104">
        <f t="shared" si="13"/>
        <v>0.69402160246551148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28611015</v>
      </c>
      <c r="D89" s="103">
        <f t="shared" si="11"/>
        <v>30523156</v>
      </c>
      <c r="E89" s="103">
        <f t="shared" si="12"/>
        <v>1912141</v>
      </c>
      <c r="F89" s="104">
        <f t="shared" si="13"/>
        <v>6.6832337126103356E-2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24805920</v>
      </c>
      <c r="D90" s="103">
        <f t="shared" si="11"/>
        <v>18339788</v>
      </c>
      <c r="E90" s="103">
        <f t="shared" si="12"/>
        <v>-6466132</v>
      </c>
      <c r="F90" s="104">
        <f t="shared" si="13"/>
        <v>-0.26066890484206995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6951699</v>
      </c>
      <c r="D91" s="103">
        <f t="shared" si="11"/>
        <v>5762268</v>
      </c>
      <c r="E91" s="103">
        <f t="shared" si="12"/>
        <v>-1189431</v>
      </c>
      <c r="F91" s="104">
        <f t="shared" si="13"/>
        <v>-0.17109932406452005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291719</v>
      </c>
      <c r="D92" s="103">
        <f t="shared" si="11"/>
        <v>407450</v>
      </c>
      <c r="E92" s="103">
        <f t="shared" si="12"/>
        <v>115731</v>
      </c>
      <c r="F92" s="104">
        <f t="shared" si="13"/>
        <v>0.39672081695055861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1826700</v>
      </c>
      <c r="D93" s="103">
        <f t="shared" si="11"/>
        <v>2033680</v>
      </c>
      <c r="E93" s="103">
        <f t="shared" si="12"/>
        <v>206980</v>
      </c>
      <c r="F93" s="104">
        <f t="shared" si="13"/>
        <v>0.11330815131110746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118446458</v>
      </c>
      <c r="D95" s="112">
        <f>SUM(D84:D94)</f>
        <v>118986898</v>
      </c>
      <c r="E95" s="112">
        <f t="shared" si="12"/>
        <v>540440</v>
      </c>
      <c r="F95" s="113">
        <f t="shared" si="13"/>
        <v>4.5627366923880492E-3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3030</v>
      </c>
      <c r="D100" s="117">
        <v>2852</v>
      </c>
      <c r="E100" s="117">
        <f t="shared" ref="E100:E111" si="14">D100-C100</f>
        <v>-178</v>
      </c>
      <c r="F100" s="98">
        <f t="shared" ref="F100:F111" si="15">IF(C100=0,0,E100/C100)</f>
        <v>-5.8745874587458745E-2</v>
      </c>
    </row>
    <row r="101" spans="1:6" ht="18" customHeight="1" x14ac:dyDescent="0.25">
      <c r="A101" s="99">
        <v>2</v>
      </c>
      <c r="B101" s="100" t="s">
        <v>113</v>
      </c>
      <c r="C101" s="117">
        <v>567</v>
      </c>
      <c r="D101" s="117">
        <v>574</v>
      </c>
      <c r="E101" s="117">
        <f t="shared" si="14"/>
        <v>7</v>
      </c>
      <c r="F101" s="98">
        <f t="shared" si="15"/>
        <v>1.2345679012345678E-2</v>
      </c>
    </row>
    <row r="102" spans="1:6" ht="18" customHeight="1" x14ac:dyDescent="0.25">
      <c r="A102" s="99">
        <v>3</v>
      </c>
      <c r="B102" s="100" t="s">
        <v>114</v>
      </c>
      <c r="C102" s="117">
        <v>397</v>
      </c>
      <c r="D102" s="117">
        <v>549</v>
      </c>
      <c r="E102" s="117">
        <f t="shared" si="14"/>
        <v>152</v>
      </c>
      <c r="F102" s="98">
        <f t="shared" si="15"/>
        <v>0.38287153652392947</v>
      </c>
    </row>
    <row r="103" spans="1:6" ht="18" customHeight="1" x14ac:dyDescent="0.25">
      <c r="A103" s="99">
        <v>4</v>
      </c>
      <c r="B103" s="100" t="s">
        <v>115</v>
      </c>
      <c r="C103" s="117">
        <v>687</v>
      </c>
      <c r="D103" s="117">
        <v>776</v>
      </c>
      <c r="E103" s="117">
        <f t="shared" si="14"/>
        <v>89</v>
      </c>
      <c r="F103" s="98">
        <f t="shared" si="15"/>
        <v>0.12954876273653565</v>
      </c>
    </row>
    <row r="104" spans="1:6" ht="18" customHeight="1" x14ac:dyDescent="0.25">
      <c r="A104" s="99">
        <v>5</v>
      </c>
      <c r="B104" s="100" t="s">
        <v>116</v>
      </c>
      <c r="C104" s="117">
        <v>11</v>
      </c>
      <c r="D104" s="117">
        <v>20</v>
      </c>
      <c r="E104" s="117">
        <f t="shared" si="14"/>
        <v>9</v>
      </c>
      <c r="F104" s="98">
        <f t="shared" si="15"/>
        <v>0.81818181818181823</v>
      </c>
    </row>
    <row r="105" spans="1:6" ht="18" customHeight="1" x14ac:dyDescent="0.25">
      <c r="A105" s="99">
        <v>6</v>
      </c>
      <c r="B105" s="100" t="s">
        <v>117</v>
      </c>
      <c r="C105" s="117">
        <v>1453</v>
      </c>
      <c r="D105" s="117">
        <v>1377</v>
      </c>
      <c r="E105" s="117">
        <f t="shared" si="14"/>
        <v>-76</v>
      </c>
      <c r="F105" s="98">
        <f t="shared" si="15"/>
        <v>-5.2305574673090161E-2</v>
      </c>
    </row>
    <row r="106" spans="1:6" ht="18" customHeight="1" x14ac:dyDescent="0.25">
      <c r="A106" s="99">
        <v>7</v>
      </c>
      <c r="B106" s="100" t="s">
        <v>118</v>
      </c>
      <c r="C106" s="117">
        <v>1213</v>
      </c>
      <c r="D106" s="117">
        <v>1018</v>
      </c>
      <c r="E106" s="117">
        <f t="shared" si="14"/>
        <v>-195</v>
      </c>
      <c r="F106" s="98">
        <f t="shared" si="15"/>
        <v>-0.16075845012366036</v>
      </c>
    </row>
    <row r="107" spans="1:6" ht="18" customHeight="1" x14ac:dyDescent="0.25">
      <c r="A107" s="99">
        <v>8</v>
      </c>
      <c r="B107" s="100" t="s">
        <v>119</v>
      </c>
      <c r="C107" s="117">
        <v>22</v>
      </c>
      <c r="D107" s="117">
        <v>27</v>
      </c>
      <c r="E107" s="117">
        <f t="shared" si="14"/>
        <v>5</v>
      </c>
      <c r="F107" s="98">
        <f t="shared" si="15"/>
        <v>0.22727272727272727</v>
      </c>
    </row>
    <row r="108" spans="1:6" ht="18" customHeight="1" x14ac:dyDescent="0.25">
      <c r="A108" s="99">
        <v>9</v>
      </c>
      <c r="B108" s="100" t="s">
        <v>120</v>
      </c>
      <c r="C108" s="117">
        <v>43</v>
      </c>
      <c r="D108" s="117">
        <v>64</v>
      </c>
      <c r="E108" s="117">
        <f t="shared" si="14"/>
        <v>21</v>
      </c>
      <c r="F108" s="98">
        <f t="shared" si="15"/>
        <v>0.48837209302325579</v>
      </c>
    </row>
    <row r="109" spans="1:6" ht="18" customHeight="1" x14ac:dyDescent="0.25">
      <c r="A109" s="99">
        <v>10</v>
      </c>
      <c r="B109" s="100" t="s">
        <v>121</v>
      </c>
      <c r="C109" s="117">
        <v>423</v>
      </c>
      <c r="D109" s="117">
        <v>360</v>
      </c>
      <c r="E109" s="117">
        <f t="shared" si="14"/>
        <v>-63</v>
      </c>
      <c r="F109" s="98">
        <f t="shared" si="15"/>
        <v>-0.14893617021276595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7846</v>
      </c>
      <c r="D111" s="118">
        <f>SUM(D100:D110)</f>
        <v>7617</v>
      </c>
      <c r="E111" s="118">
        <f t="shared" si="14"/>
        <v>-229</v>
      </c>
      <c r="F111" s="104">
        <f t="shared" si="15"/>
        <v>-2.9186846800917664E-2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16416</v>
      </c>
      <c r="D113" s="117">
        <v>14425</v>
      </c>
      <c r="E113" s="117">
        <f t="shared" ref="E113:E124" si="16">D113-C113</f>
        <v>-1991</v>
      </c>
      <c r="F113" s="98">
        <f t="shared" ref="F113:F124" si="17">IF(C113=0,0,E113/C113)</f>
        <v>-0.12128411306042886</v>
      </c>
    </row>
    <row r="114" spans="1:6" ht="18" customHeight="1" x14ac:dyDescent="0.25">
      <c r="A114" s="99">
        <v>2</v>
      </c>
      <c r="B114" s="100" t="s">
        <v>113</v>
      </c>
      <c r="C114" s="117">
        <v>2895</v>
      </c>
      <c r="D114" s="117">
        <v>2732</v>
      </c>
      <c r="E114" s="117">
        <f t="shared" si="16"/>
        <v>-163</v>
      </c>
      <c r="F114" s="98">
        <f t="shared" si="17"/>
        <v>-5.6303972366148529E-2</v>
      </c>
    </row>
    <row r="115" spans="1:6" ht="18" customHeight="1" x14ac:dyDescent="0.25">
      <c r="A115" s="99">
        <v>3</v>
      </c>
      <c r="B115" s="100" t="s">
        <v>114</v>
      </c>
      <c r="C115" s="117">
        <v>1756</v>
      </c>
      <c r="D115" s="117">
        <v>2106</v>
      </c>
      <c r="E115" s="117">
        <f t="shared" si="16"/>
        <v>350</v>
      </c>
      <c r="F115" s="98">
        <f t="shared" si="17"/>
        <v>0.19931662870159453</v>
      </c>
    </row>
    <row r="116" spans="1:6" ht="18" customHeight="1" x14ac:dyDescent="0.25">
      <c r="A116" s="99">
        <v>4</v>
      </c>
      <c r="B116" s="100" t="s">
        <v>115</v>
      </c>
      <c r="C116" s="117">
        <v>1906</v>
      </c>
      <c r="D116" s="117">
        <v>2112</v>
      </c>
      <c r="E116" s="117">
        <f t="shared" si="16"/>
        <v>206</v>
      </c>
      <c r="F116" s="98">
        <f t="shared" si="17"/>
        <v>0.1080797481636936</v>
      </c>
    </row>
    <row r="117" spans="1:6" ht="18" customHeight="1" x14ac:dyDescent="0.25">
      <c r="A117" s="99">
        <v>5</v>
      </c>
      <c r="B117" s="100" t="s">
        <v>116</v>
      </c>
      <c r="C117" s="117">
        <v>45</v>
      </c>
      <c r="D117" s="117">
        <v>145</v>
      </c>
      <c r="E117" s="117">
        <f t="shared" si="16"/>
        <v>100</v>
      </c>
      <c r="F117" s="98">
        <f t="shared" si="17"/>
        <v>2.2222222222222223</v>
      </c>
    </row>
    <row r="118" spans="1:6" ht="18" customHeight="1" x14ac:dyDescent="0.25">
      <c r="A118" s="99">
        <v>6</v>
      </c>
      <c r="B118" s="100" t="s">
        <v>117</v>
      </c>
      <c r="C118" s="117">
        <v>4662</v>
      </c>
      <c r="D118" s="117">
        <v>4297</v>
      </c>
      <c r="E118" s="117">
        <f t="shared" si="16"/>
        <v>-365</v>
      </c>
      <c r="F118" s="98">
        <f t="shared" si="17"/>
        <v>-7.8292578292578296E-2</v>
      </c>
    </row>
    <row r="119" spans="1:6" ht="18" customHeight="1" x14ac:dyDescent="0.25">
      <c r="A119" s="99">
        <v>7</v>
      </c>
      <c r="B119" s="100" t="s">
        <v>118</v>
      </c>
      <c r="C119" s="117">
        <v>4019</v>
      </c>
      <c r="D119" s="117">
        <v>3236</v>
      </c>
      <c r="E119" s="117">
        <f t="shared" si="16"/>
        <v>-783</v>
      </c>
      <c r="F119" s="98">
        <f t="shared" si="17"/>
        <v>-0.19482458322965912</v>
      </c>
    </row>
    <row r="120" spans="1:6" ht="18" customHeight="1" x14ac:dyDescent="0.25">
      <c r="A120" s="99">
        <v>8</v>
      </c>
      <c r="B120" s="100" t="s">
        <v>119</v>
      </c>
      <c r="C120" s="117">
        <v>46</v>
      </c>
      <c r="D120" s="117">
        <v>87</v>
      </c>
      <c r="E120" s="117">
        <f t="shared" si="16"/>
        <v>41</v>
      </c>
      <c r="F120" s="98">
        <f t="shared" si="17"/>
        <v>0.89130434782608692</v>
      </c>
    </row>
    <row r="121" spans="1:6" ht="18" customHeight="1" x14ac:dyDescent="0.25">
      <c r="A121" s="99">
        <v>9</v>
      </c>
      <c r="B121" s="100" t="s">
        <v>120</v>
      </c>
      <c r="C121" s="117">
        <v>205</v>
      </c>
      <c r="D121" s="117">
        <v>241</v>
      </c>
      <c r="E121" s="117">
        <f t="shared" si="16"/>
        <v>36</v>
      </c>
      <c r="F121" s="98">
        <f t="shared" si="17"/>
        <v>0.17560975609756097</v>
      </c>
    </row>
    <row r="122" spans="1:6" ht="18" customHeight="1" x14ac:dyDescent="0.25">
      <c r="A122" s="99">
        <v>10</v>
      </c>
      <c r="B122" s="100" t="s">
        <v>121</v>
      </c>
      <c r="C122" s="117">
        <v>1708</v>
      </c>
      <c r="D122" s="117">
        <v>1292</v>
      </c>
      <c r="E122" s="117">
        <f t="shared" si="16"/>
        <v>-416</v>
      </c>
      <c r="F122" s="98">
        <f t="shared" si="17"/>
        <v>-0.24355971896955503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33658</v>
      </c>
      <c r="D124" s="118">
        <f>SUM(D113:D123)</f>
        <v>30673</v>
      </c>
      <c r="E124" s="118">
        <f t="shared" si="16"/>
        <v>-2985</v>
      </c>
      <c r="F124" s="104">
        <f t="shared" si="17"/>
        <v>-8.8686196446610022E-2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41971</v>
      </c>
      <c r="D126" s="117">
        <v>38156</v>
      </c>
      <c r="E126" s="117">
        <f t="shared" ref="E126:E137" si="18">D126-C126</f>
        <v>-3815</v>
      </c>
      <c r="F126" s="98">
        <f t="shared" ref="F126:F137" si="19">IF(C126=0,0,E126/C126)</f>
        <v>-9.0896094922684717E-2</v>
      </c>
    </row>
    <row r="127" spans="1:6" ht="18" customHeight="1" x14ac:dyDescent="0.25">
      <c r="A127" s="99">
        <v>2</v>
      </c>
      <c r="B127" s="100" t="s">
        <v>113</v>
      </c>
      <c r="C127" s="117">
        <v>7345</v>
      </c>
      <c r="D127" s="117">
        <v>7908</v>
      </c>
      <c r="E127" s="117">
        <f t="shared" si="18"/>
        <v>563</v>
      </c>
      <c r="F127" s="98">
        <f t="shared" si="19"/>
        <v>7.6650782845473109E-2</v>
      </c>
    </row>
    <row r="128" spans="1:6" ht="18" customHeight="1" x14ac:dyDescent="0.25">
      <c r="A128" s="99">
        <v>3</v>
      </c>
      <c r="B128" s="100" t="s">
        <v>114</v>
      </c>
      <c r="C128" s="117">
        <v>5172</v>
      </c>
      <c r="D128" s="117">
        <v>6707</v>
      </c>
      <c r="E128" s="117">
        <f t="shared" si="18"/>
        <v>1535</v>
      </c>
      <c r="F128" s="98">
        <f t="shared" si="19"/>
        <v>0.2967904098994586</v>
      </c>
    </row>
    <row r="129" spans="1:6" ht="18" customHeight="1" x14ac:dyDescent="0.25">
      <c r="A129" s="99">
        <v>4</v>
      </c>
      <c r="B129" s="100" t="s">
        <v>115</v>
      </c>
      <c r="C129" s="117">
        <v>15511</v>
      </c>
      <c r="D129" s="117">
        <v>23163</v>
      </c>
      <c r="E129" s="117">
        <f t="shared" si="18"/>
        <v>7652</v>
      </c>
      <c r="F129" s="98">
        <f t="shared" si="19"/>
        <v>0.49332731609825287</v>
      </c>
    </row>
    <row r="130" spans="1:6" ht="18" customHeight="1" x14ac:dyDescent="0.25">
      <c r="A130" s="99">
        <v>5</v>
      </c>
      <c r="B130" s="100" t="s">
        <v>116</v>
      </c>
      <c r="C130" s="117">
        <v>312</v>
      </c>
      <c r="D130" s="117">
        <v>399</v>
      </c>
      <c r="E130" s="117">
        <f t="shared" si="18"/>
        <v>87</v>
      </c>
      <c r="F130" s="98">
        <f t="shared" si="19"/>
        <v>0.27884615384615385</v>
      </c>
    </row>
    <row r="131" spans="1:6" ht="18" customHeight="1" x14ac:dyDescent="0.25">
      <c r="A131" s="99">
        <v>6</v>
      </c>
      <c r="B131" s="100" t="s">
        <v>117</v>
      </c>
      <c r="C131" s="117">
        <v>34217</v>
      </c>
      <c r="D131" s="117">
        <v>30306</v>
      </c>
      <c r="E131" s="117">
        <f t="shared" si="18"/>
        <v>-3911</v>
      </c>
      <c r="F131" s="98">
        <f t="shared" si="19"/>
        <v>-0.11429990940175935</v>
      </c>
    </row>
    <row r="132" spans="1:6" ht="18" customHeight="1" x14ac:dyDescent="0.25">
      <c r="A132" s="99">
        <v>7</v>
      </c>
      <c r="B132" s="100" t="s">
        <v>118</v>
      </c>
      <c r="C132" s="117">
        <v>33601</v>
      </c>
      <c r="D132" s="117">
        <v>24539</v>
      </c>
      <c r="E132" s="117">
        <f t="shared" si="18"/>
        <v>-9062</v>
      </c>
      <c r="F132" s="98">
        <f t="shared" si="19"/>
        <v>-0.26969435433469241</v>
      </c>
    </row>
    <row r="133" spans="1:6" ht="18" customHeight="1" x14ac:dyDescent="0.25">
      <c r="A133" s="99">
        <v>8</v>
      </c>
      <c r="B133" s="100" t="s">
        <v>119</v>
      </c>
      <c r="C133" s="117">
        <v>4501</v>
      </c>
      <c r="D133" s="117">
        <v>2707</v>
      </c>
      <c r="E133" s="117">
        <f t="shared" si="18"/>
        <v>-1794</v>
      </c>
      <c r="F133" s="98">
        <f t="shared" si="19"/>
        <v>-0.39857809375694292</v>
      </c>
    </row>
    <row r="134" spans="1:6" ht="18" customHeight="1" x14ac:dyDescent="0.25">
      <c r="A134" s="99">
        <v>9</v>
      </c>
      <c r="B134" s="100" t="s">
        <v>120</v>
      </c>
      <c r="C134" s="117">
        <v>4061</v>
      </c>
      <c r="D134" s="117">
        <v>3598</v>
      </c>
      <c r="E134" s="117">
        <f t="shared" si="18"/>
        <v>-463</v>
      </c>
      <c r="F134" s="98">
        <f t="shared" si="19"/>
        <v>-0.11401132725929573</v>
      </c>
    </row>
    <row r="135" spans="1:6" ht="18" customHeight="1" x14ac:dyDescent="0.25">
      <c r="A135" s="99">
        <v>10</v>
      </c>
      <c r="B135" s="100" t="s">
        <v>121</v>
      </c>
      <c r="C135" s="117">
        <v>5324</v>
      </c>
      <c r="D135" s="117">
        <v>4639</v>
      </c>
      <c r="E135" s="117">
        <f t="shared" si="18"/>
        <v>-685</v>
      </c>
      <c r="F135" s="98">
        <f t="shared" si="19"/>
        <v>-0.12866265965439519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152015</v>
      </c>
      <c r="D137" s="118">
        <f>SUM(D126:D136)</f>
        <v>142122</v>
      </c>
      <c r="E137" s="118">
        <f t="shared" si="18"/>
        <v>-9893</v>
      </c>
      <c r="F137" s="104">
        <f t="shared" si="19"/>
        <v>-6.5079104035785942E-2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7047968</v>
      </c>
      <c r="D142" s="97">
        <v>7043523</v>
      </c>
      <c r="E142" s="97">
        <f t="shared" ref="E142:E153" si="20">D142-C142</f>
        <v>-4445</v>
      </c>
      <c r="F142" s="98">
        <f t="shared" ref="F142:F153" si="21">IF(C142=0,0,E142/C142)</f>
        <v>-6.3067823236427861E-4</v>
      </c>
    </row>
    <row r="143" spans="1:6" ht="18" customHeight="1" x14ac:dyDescent="0.25">
      <c r="A143" s="99">
        <v>2</v>
      </c>
      <c r="B143" s="100" t="s">
        <v>113</v>
      </c>
      <c r="C143" s="97">
        <v>1124714</v>
      </c>
      <c r="D143" s="97">
        <v>1433912</v>
      </c>
      <c r="E143" s="97">
        <f t="shared" si="20"/>
        <v>309198</v>
      </c>
      <c r="F143" s="98">
        <f t="shared" si="21"/>
        <v>0.27491255554745475</v>
      </c>
    </row>
    <row r="144" spans="1:6" ht="18" customHeight="1" x14ac:dyDescent="0.25">
      <c r="A144" s="99">
        <v>3</v>
      </c>
      <c r="B144" s="100" t="s">
        <v>114</v>
      </c>
      <c r="C144" s="97">
        <v>1858080</v>
      </c>
      <c r="D144" s="97">
        <v>2667057</v>
      </c>
      <c r="E144" s="97">
        <f t="shared" si="20"/>
        <v>808977</v>
      </c>
      <c r="F144" s="98">
        <f t="shared" si="21"/>
        <v>0.43538329888917593</v>
      </c>
    </row>
    <row r="145" spans="1:6" ht="18" customHeight="1" x14ac:dyDescent="0.25">
      <c r="A145" s="99">
        <v>4</v>
      </c>
      <c r="B145" s="100" t="s">
        <v>115</v>
      </c>
      <c r="C145" s="97">
        <v>6164483</v>
      </c>
      <c r="D145" s="97">
        <v>7299607</v>
      </c>
      <c r="E145" s="97">
        <f t="shared" si="20"/>
        <v>1135124</v>
      </c>
      <c r="F145" s="98">
        <f t="shared" si="21"/>
        <v>0.18413936740518225</v>
      </c>
    </row>
    <row r="146" spans="1:6" ht="18" customHeight="1" x14ac:dyDescent="0.25">
      <c r="A146" s="99">
        <v>5</v>
      </c>
      <c r="B146" s="100" t="s">
        <v>116</v>
      </c>
      <c r="C146" s="97">
        <v>153427</v>
      </c>
      <c r="D146" s="97">
        <v>208494</v>
      </c>
      <c r="E146" s="97">
        <f t="shared" si="20"/>
        <v>55067</v>
      </c>
      <c r="F146" s="98">
        <f t="shared" si="21"/>
        <v>0.35891335944781555</v>
      </c>
    </row>
    <row r="147" spans="1:6" ht="18" customHeight="1" x14ac:dyDescent="0.25">
      <c r="A147" s="99">
        <v>6</v>
      </c>
      <c r="B147" s="100" t="s">
        <v>117</v>
      </c>
      <c r="C147" s="97">
        <v>6275921</v>
      </c>
      <c r="D147" s="97">
        <v>6420804</v>
      </c>
      <c r="E147" s="97">
        <f t="shared" si="20"/>
        <v>144883</v>
      </c>
      <c r="F147" s="98">
        <f t="shared" si="21"/>
        <v>2.3085535971533101E-2</v>
      </c>
    </row>
    <row r="148" spans="1:6" ht="18" customHeight="1" x14ac:dyDescent="0.25">
      <c r="A148" s="99">
        <v>7</v>
      </c>
      <c r="B148" s="100" t="s">
        <v>118</v>
      </c>
      <c r="C148" s="97">
        <v>5511938</v>
      </c>
      <c r="D148" s="97">
        <v>5015146</v>
      </c>
      <c r="E148" s="97">
        <f t="shared" si="20"/>
        <v>-496792</v>
      </c>
      <c r="F148" s="98">
        <f t="shared" si="21"/>
        <v>-9.013018651516036E-2</v>
      </c>
    </row>
    <row r="149" spans="1:6" ht="18" customHeight="1" x14ac:dyDescent="0.25">
      <c r="A149" s="99">
        <v>8</v>
      </c>
      <c r="B149" s="100" t="s">
        <v>119</v>
      </c>
      <c r="C149" s="97">
        <v>478963</v>
      </c>
      <c r="D149" s="97">
        <v>447007</v>
      </c>
      <c r="E149" s="97">
        <f t="shared" si="20"/>
        <v>-31956</v>
      </c>
      <c r="F149" s="98">
        <f t="shared" si="21"/>
        <v>-6.6719141144514299E-2</v>
      </c>
    </row>
    <row r="150" spans="1:6" ht="18" customHeight="1" x14ac:dyDescent="0.25">
      <c r="A150" s="99">
        <v>9</v>
      </c>
      <c r="B150" s="100" t="s">
        <v>120</v>
      </c>
      <c r="C150" s="97">
        <v>2668724</v>
      </c>
      <c r="D150" s="97">
        <v>2988376</v>
      </c>
      <c r="E150" s="97">
        <f t="shared" si="20"/>
        <v>319652</v>
      </c>
      <c r="F150" s="98">
        <f t="shared" si="21"/>
        <v>0.11977709197354242</v>
      </c>
    </row>
    <row r="151" spans="1:6" ht="18" customHeight="1" x14ac:dyDescent="0.25">
      <c r="A151" s="99">
        <v>10</v>
      </c>
      <c r="B151" s="100" t="s">
        <v>121</v>
      </c>
      <c r="C151" s="97">
        <v>2376412</v>
      </c>
      <c r="D151" s="97">
        <v>2110610</v>
      </c>
      <c r="E151" s="97">
        <f t="shared" si="20"/>
        <v>-265802</v>
      </c>
      <c r="F151" s="98">
        <f t="shared" si="21"/>
        <v>-0.11185013373101971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33660630</v>
      </c>
      <c r="D153" s="103">
        <f>SUM(D142:D152)</f>
        <v>35634536</v>
      </c>
      <c r="E153" s="103">
        <f t="shared" si="20"/>
        <v>1973906</v>
      </c>
      <c r="F153" s="104">
        <f t="shared" si="21"/>
        <v>5.864138609408083E-2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1715475</v>
      </c>
      <c r="D155" s="97">
        <v>1729099</v>
      </c>
      <c r="E155" s="97">
        <f t="shared" ref="E155:E166" si="22">D155-C155</f>
        <v>13624</v>
      </c>
      <c r="F155" s="98">
        <f t="shared" ref="F155:F166" si="23">IF(C155=0,0,E155/C155)</f>
        <v>7.9418236931462129E-3</v>
      </c>
    </row>
    <row r="156" spans="1:6" ht="18" customHeight="1" x14ac:dyDescent="0.25">
      <c r="A156" s="99">
        <v>2</v>
      </c>
      <c r="B156" s="100" t="s">
        <v>113</v>
      </c>
      <c r="C156" s="97">
        <v>220781</v>
      </c>
      <c r="D156" s="97">
        <v>288216</v>
      </c>
      <c r="E156" s="97">
        <f t="shared" si="22"/>
        <v>67435</v>
      </c>
      <c r="F156" s="98">
        <f t="shared" si="23"/>
        <v>0.30543842087860823</v>
      </c>
    </row>
    <row r="157" spans="1:6" ht="18" customHeight="1" x14ac:dyDescent="0.25">
      <c r="A157" s="99">
        <v>3</v>
      </c>
      <c r="B157" s="100" t="s">
        <v>114</v>
      </c>
      <c r="C157" s="97">
        <v>548505</v>
      </c>
      <c r="D157" s="97">
        <v>571110</v>
      </c>
      <c r="E157" s="97">
        <f t="shared" si="22"/>
        <v>22605</v>
      </c>
      <c r="F157" s="98">
        <f t="shared" si="23"/>
        <v>4.1212021768260998E-2</v>
      </c>
    </row>
    <row r="158" spans="1:6" ht="18" customHeight="1" x14ac:dyDescent="0.25">
      <c r="A158" s="99">
        <v>4</v>
      </c>
      <c r="B158" s="100" t="s">
        <v>115</v>
      </c>
      <c r="C158" s="97">
        <v>1552833</v>
      </c>
      <c r="D158" s="97">
        <v>1871439</v>
      </c>
      <c r="E158" s="97">
        <f t="shared" si="22"/>
        <v>318606</v>
      </c>
      <c r="F158" s="98">
        <f t="shared" si="23"/>
        <v>0.20517724700595621</v>
      </c>
    </row>
    <row r="159" spans="1:6" ht="18" customHeight="1" x14ac:dyDescent="0.25">
      <c r="A159" s="99">
        <v>5</v>
      </c>
      <c r="B159" s="100" t="s">
        <v>116</v>
      </c>
      <c r="C159" s="97">
        <v>34751</v>
      </c>
      <c r="D159" s="97">
        <v>41579</v>
      </c>
      <c r="E159" s="97">
        <f t="shared" si="22"/>
        <v>6828</v>
      </c>
      <c r="F159" s="98">
        <f t="shared" si="23"/>
        <v>0.19648355443008833</v>
      </c>
    </row>
    <row r="160" spans="1:6" ht="18" customHeight="1" x14ac:dyDescent="0.25">
      <c r="A160" s="99">
        <v>6</v>
      </c>
      <c r="B160" s="100" t="s">
        <v>117</v>
      </c>
      <c r="C160" s="97">
        <v>2519155</v>
      </c>
      <c r="D160" s="97">
        <v>2733789</v>
      </c>
      <c r="E160" s="97">
        <f t="shared" si="22"/>
        <v>214634</v>
      </c>
      <c r="F160" s="98">
        <f t="shared" si="23"/>
        <v>8.5200791535256865E-2</v>
      </c>
    </row>
    <row r="161" spans="1:6" ht="18" customHeight="1" x14ac:dyDescent="0.25">
      <c r="A161" s="99">
        <v>7</v>
      </c>
      <c r="B161" s="100" t="s">
        <v>118</v>
      </c>
      <c r="C161" s="97">
        <v>1919257</v>
      </c>
      <c r="D161" s="97">
        <v>1415056</v>
      </c>
      <c r="E161" s="97">
        <f t="shared" si="22"/>
        <v>-504201</v>
      </c>
      <c r="F161" s="98">
        <f t="shared" si="23"/>
        <v>-0.26270634938416271</v>
      </c>
    </row>
    <row r="162" spans="1:6" ht="18" customHeight="1" x14ac:dyDescent="0.25">
      <c r="A162" s="99">
        <v>8</v>
      </c>
      <c r="B162" s="100" t="s">
        <v>119</v>
      </c>
      <c r="C162" s="97">
        <v>478963</v>
      </c>
      <c r="D162" s="97">
        <v>447007</v>
      </c>
      <c r="E162" s="97">
        <f t="shared" si="22"/>
        <v>-31956</v>
      </c>
      <c r="F162" s="98">
        <f t="shared" si="23"/>
        <v>-6.6719141144514299E-2</v>
      </c>
    </row>
    <row r="163" spans="1:6" ht="18" customHeight="1" x14ac:dyDescent="0.25">
      <c r="A163" s="99">
        <v>9</v>
      </c>
      <c r="B163" s="100" t="s">
        <v>120</v>
      </c>
      <c r="C163" s="97">
        <v>128899</v>
      </c>
      <c r="D163" s="97">
        <v>197687</v>
      </c>
      <c r="E163" s="97">
        <f t="shared" si="22"/>
        <v>68788</v>
      </c>
      <c r="F163" s="98">
        <f t="shared" si="23"/>
        <v>0.53365813543937501</v>
      </c>
    </row>
    <row r="164" spans="1:6" ht="18" customHeight="1" x14ac:dyDescent="0.25">
      <c r="A164" s="99">
        <v>10</v>
      </c>
      <c r="B164" s="100" t="s">
        <v>121</v>
      </c>
      <c r="C164" s="97">
        <v>285169</v>
      </c>
      <c r="D164" s="97">
        <v>301379</v>
      </c>
      <c r="E164" s="97">
        <f t="shared" si="22"/>
        <v>16210</v>
      </c>
      <c r="F164" s="98">
        <f t="shared" si="23"/>
        <v>5.6843485792635241E-2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9403788</v>
      </c>
      <c r="D166" s="103">
        <f>SUM(D155:D165)</f>
        <v>9596361</v>
      </c>
      <c r="E166" s="103">
        <f t="shared" si="22"/>
        <v>192573</v>
      </c>
      <c r="F166" s="104">
        <f t="shared" si="23"/>
        <v>2.0478237067870948E-2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5182</v>
      </c>
      <c r="D168" s="117">
        <v>5054</v>
      </c>
      <c r="E168" s="117">
        <f t="shared" ref="E168:E179" si="24">D168-C168</f>
        <v>-128</v>
      </c>
      <c r="F168" s="98">
        <f t="shared" ref="F168:F179" si="25">IF(C168=0,0,E168/C168)</f>
        <v>-2.4700887688151294E-2</v>
      </c>
    </row>
    <row r="169" spans="1:6" ht="18" customHeight="1" x14ac:dyDescent="0.25">
      <c r="A169" s="99">
        <v>2</v>
      </c>
      <c r="B169" s="100" t="s">
        <v>113</v>
      </c>
      <c r="C169" s="117">
        <v>915</v>
      </c>
      <c r="D169" s="117">
        <v>1098</v>
      </c>
      <c r="E169" s="117">
        <f t="shared" si="24"/>
        <v>183</v>
      </c>
      <c r="F169" s="98">
        <f t="shared" si="25"/>
        <v>0.2</v>
      </c>
    </row>
    <row r="170" spans="1:6" ht="18" customHeight="1" x14ac:dyDescent="0.25">
      <c r="A170" s="99">
        <v>3</v>
      </c>
      <c r="B170" s="100" t="s">
        <v>114</v>
      </c>
      <c r="C170" s="117">
        <v>1542</v>
      </c>
      <c r="D170" s="117">
        <v>2341</v>
      </c>
      <c r="E170" s="117">
        <f t="shared" si="24"/>
        <v>799</v>
      </c>
      <c r="F170" s="98">
        <f t="shared" si="25"/>
        <v>0.51815823605706879</v>
      </c>
    </row>
    <row r="171" spans="1:6" ht="18" customHeight="1" x14ac:dyDescent="0.25">
      <c r="A171" s="99">
        <v>4</v>
      </c>
      <c r="B171" s="100" t="s">
        <v>115</v>
      </c>
      <c r="C171" s="117">
        <v>7609</v>
      </c>
      <c r="D171" s="117">
        <v>8032</v>
      </c>
      <c r="E171" s="117">
        <f t="shared" si="24"/>
        <v>423</v>
      </c>
      <c r="F171" s="98">
        <f t="shared" si="25"/>
        <v>5.5592062031804439E-2</v>
      </c>
    </row>
    <row r="172" spans="1:6" ht="18" customHeight="1" x14ac:dyDescent="0.25">
      <c r="A172" s="99">
        <v>5</v>
      </c>
      <c r="B172" s="100" t="s">
        <v>116</v>
      </c>
      <c r="C172" s="117">
        <v>141</v>
      </c>
      <c r="D172" s="117">
        <v>173</v>
      </c>
      <c r="E172" s="117">
        <f t="shared" si="24"/>
        <v>32</v>
      </c>
      <c r="F172" s="98">
        <f t="shared" si="25"/>
        <v>0.22695035460992907</v>
      </c>
    </row>
    <row r="173" spans="1:6" ht="18" customHeight="1" x14ac:dyDescent="0.25">
      <c r="A173" s="99">
        <v>6</v>
      </c>
      <c r="B173" s="100" t="s">
        <v>117</v>
      </c>
      <c r="C173" s="117">
        <v>6409</v>
      </c>
      <c r="D173" s="117">
        <v>5984</v>
      </c>
      <c r="E173" s="117">
        <f t="shared" si="24"/>
        <v>-425</v>
      </c>
      <c r="F173" s="98">
        <f t="shared" si="25"/>
        <v>-6.6312997347480113E-2</v>
      </c>
    </row>
    <row r="174" spans="1:6" ht="18" customHeight="1" x14ac:dyDescent="0.25">
      <c r="A174" s="99">
        <v>7</v>
      </c>
      <c r="B174" s="100" t="s">
        <v>118</v>
      </c>
      <c r="C174" s="117">
        <v>5134</v>
      </c>
      <c r="D174" s="117">
        <v>4279</v>
      </c>
      <c r="E174" s="117">
        <f t="shared" si="24"/>
        <v>-855</v>
      </c>
      <c r="F174" s="98">
        <f t="shared" si="25"/>
        <v>-0.16653681340085702</v>
      </c>
    </row>
    <row r="175" spans="1:6" ht="18" customHeight="1" x14ac:dyDescent="0.25">
      <c r="A175" s="99">
        <v>8</v>
      </c>
      <c r="B175" s="100" t="s">
        <v>119</v>
      </c>
      <c r="C175" s="117">
        <v>589</v>
      </c>
      <c r="D175" s="117">
        <v>490</v>
      </c>
      <c r="E175" s="117">
        <f t="shared" si="24"/>
        <v>-99</v>
      </c>
      <c r="F175" s="98">
        <f t="shared" si="25"/>
        <v>-0.16808149405772496</v>
      </c>
    </row>
    <row r="176" spans="1:6" ht="18" customHeight="1" x14ac:dyDescent="0.25">
      <c r="A176" s="99">
        <v>9</v>
      </c>
      <c r="B176" s="100" t="s">
        <v>120</v>
      </c>
      <c r="C176" s="117">
        <v>3564</v>
      </c>
      <c r="D176" s="117">
        <v>3781</v>
      </c>
      <c r="E176" s="117">
        <f t="shared" si="24"/>
        <v>217</v>
      </c>
      <c r="F176" s="98">
        <f t="shared" si="25"/>
        <v>6.0886644219977554E-2</v>
      </c>
    </row>
    <row r="177" spans="1:6" ht="18" customHeight="1" x14ac:dyDescent="0.25">
      <c r="A177" s="99">
        <v>10</v>
      </c>
      <c r="B177" s="100" t="s">
        <v>121</v>
      </c>
      <c r="C177" s="117">
        <v>2466</v>
      </c>
      <c r="D177" s="117">
        <v>2061</v>
      </c>
      <c r="E177" s="117">
        <f t="shared" si="24"/>
        <v>-405</v>
      </c>
      <c r="F177" s="98">
        <f t="shared" si="25"/>
        <v>-0.16423357664233576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33551</v>
      </c>
      <c r="D179" s="118">
        <f>SUM(D168:D178)</f>
        <v>33293</v>
      </c>
      <c r="E179" s="118">
        <f t="shared" si="24"/>
        <v>-258</v>
      </c>
      <c r="F179" s="104">
        <f t="shared" si="25"/>
        <v>-7.6897856993830291E-3</v>
      </c>
    </row>
  </sheetData>
  <mergeCells count="23">
    <mergeCell ref="A10:A11"/>
    <mergeCell ref="B10:B11"/>
    <mergeCell ref="C10:F11"/>
    <mergeCell ref="A2:F2"/>
    <mergeCell ref="A3:F3"/>
    <mergeCell ref="A4:F4"/>
    <mergeCell ref="A5:F5"/>
    <mergeCell ref="C9:F9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FILING&amp;RBRISTOL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>
      <selection activeCell="B35" sqref="B35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8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21080745</v>
      </c>
      <c r="D15" s="146">
        <v>20662698</v>
      </c>
      <c r="E15" s="146">
        <f>+D15-C15</f>
        <v>-418047</v>
      </c>
      <c r="F15" s="150">
        <f>IF(C15=0,0,E15/C15)</f>
        <v>-1.9830750763315055E-2</v>
      </c>
    </row>
    <row r="16" spans="1:7" ht="15" customHeight="1" x14ac:dyDescent="0.2">
      <c r="A16" s="141">
        <v>2</v>
      </c>
      <c r="B16" s="149" t="s">
        <v>158</v>
      </c>
      <c r="C16" s="146">
        <v>539198</v>
      </c>
      <c r="D16" s="146">
        <v>365058</v>
      </c>
      <c r="E16" s="146">
        <f>+D16-C16</f>
        <v>-174140</v>
      </c>
      <c r="F16" s="150">
        <f>IF(C16=0,0,E16/C16)</f>
        <v>-0.32296113857989089</v>
      </c>
    </row>
    <row r="17" spans="1:7" ht="15" customHeight="1" x14ac:dyDescent="0.2">
      <c r="A17" s="141">
        <v>3</v>
      </c>
      <c r="B17" s="149" t="s">
        <v>159</v>
      </c>
      <c r="C17" s="146">
        <v>32074903</v>
      </c>
      <c r="D17" s="146">
        <v>30445437</v>
      </c>
      <c r="E17" s="146">
        <f>+D17-C17</f>
        <v>-1629466</v>
      </c>
      <c r="F17" s="150">
        <f>IF(C17=0,0,E17/C17)</f>
        <v>-5.0801899541208277E-2</v>
      </c>
    </row>
    <row r="18" spans="1:7" ht="15.75" customHeight="1" x14ac:dyDescent="0.25">
      <c r="A18" s="141"/>
      <c r="B18" s="151" t="s">
        <v>160</v>
      </c>
      <c r="C18" s="147">
        <f>SUM(C15:C17)</f>
        <v>53694846</v>
      </c>
      <c r="D18" s="147">
        <f>SUM(D15:D17)</f>
        <v>51473193</v>
      </c>
      <c r="E18" s="147">
        <f>+D18-C18</f>
        <v>-2221653</v>
      </c>
      <c r="F18" s="148">
        <f>IF(C18=0,0,E18/C18)</f>
        <v>-4.1375535372612855E-2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5421117</v>
      </c>
      <c r="D21" s="146">
        <v>6166989</v>
      </c>
      <c r="E21" s="146">
        <f>+D21-C21</f>
        <v>745872</v>
      </c>
      <c r="F21" s="150">
        <f>IF(C21=0,0,E21/C21)</f>
        <v>0.13758640516336393</v>
      </c>
    </row>
    <row r="22" spans="1:7" ht="15" customHeight="1" x14ac:dyDescent="0.2">
      <c r="A22" s="141">
        <v>2</v>
      </c>
      <c r="B22" s="149" t="s">
        <v>163</v>
      </c>
      <c r="C22" s="146">
        <v>138660</v>
      </c>
      <c r="D22" s="146">
        <v>108955</v>
      </c>
      <c r="E22" s="146">
        <f>+D22-C22</f>
        <v>-29705</v>
      </c>
      <c r="F22" s="150">
        <f>IF(C22=0,0,E22/C22)</f>
        <v>-0.21422904947353238</v>
      </c>
    </row>
    <row r="23" spans="1:7" ht="15" customHeight="1" x14ac:dyDescent="0.2">
      <c r="A23" s="141">
        <v>3</v>
      </c>
      <c r="B23" s="149" t="s">
        <v>164</v>
      </c>
      <c r="C23" s="146">
        <v>8248371</v>
      </c>
      <c r="D23" s="146">
        <v>9086746</v>
      </c>
      <c r="E23" s="146">
        <f>+D23-C23</f>
        <v>838375</v>
      </c>
      <c r="F23" s="150">
        <f>IF(C23=0,0,E23/C23)</f>
        <v>0.10164128165428059</v>
      </c>
    </row>
    <row r="24" spans="1:7" ht="15.75" customHeight="1" x14ac:dyDescent="0.25">
      <c r="A24" s="141"/>
      <c r="B24" s="151" t="s">
        <v>165</v>
      </c>
      <c r="C24" s="147">
        <f>SUM(C21:C23)</f>
        <v>13808148</v>
      </c>
      <c r="D24" s="147">
        <f>SUM(D21:D23)</f>
        <v>15362690</v>
      </c>
      <c r="E24" s="147">
        <f>+D24-C24</f>
        <v>1554542</v>
      </c>
      <c r="F24" s="148">
        <f>IF(C24=0,0,E24/C24)</f>
        <v>0.11258149898161578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459503</v>
      </c>
      <c r="D27" s="146">
        <v>131140</v>
      </c>
      <c r="E27" s="146">
        <f>+D27-C27</f>
        <v>-328363</v>
      </c>
      <c r="F27" s="150">
        <f>IF(C27=0,0,E27/C27)</f>
        <v>-0.71460469246120262</v>
      </c>
    </row>
    <row r="28" spans="1:7" ht="15" customHeight="1" x14ac:dyDescent="0.2">
      <c r="A28" s="141">
        <v>2</v>
      </c>
      <c r="B28" s="149" t="s">
        <v>168</v>
      </c>
      <c r="C28" s="146">
        <v>4436306</v>
      </c>
      <c r="D28" s="146">
        <v>5204873</v>
      </c>
      <c r="E28" s="146">
        <f>+D28-C28</f>
        <v>768567</v>
      </c>
      <c r="F28" s="150">
        <f>IF(C28=0,0,E28/C28)</f>
        <v>0.17324481223792948</v>
      </c>
    </row>
    <row r="29" spans="1:7" ht="15" customHeight="1" x14ac:dyDescent="0.2">
      <c r="A29" s="141">
        <v>3</v>
      </c>
      <c r="B29" s="149" t="s">
        <v>169</v>
      </c>
      <c r="C29" s="146">
        <v>757788</v>
      </c>
      <c r="D29" s="146">
        <v>597845</v>
      </c>
      <c r="E29" s="146">
        <f>+D29-C29</f>
        <v>-159943</v>
      </c>
      <c r="F29" s="150">
        <f>IF(C29=0,0,E29/C29)</f>
        <v>-0.2110656278537005</v>
      </c>
    </row>
    <row r="30" spans="1:7" ht="15.75" customHeight="1" x14ac:dyDescent="0.25">
      <c r="A30" s="141"/>
      <c r="B30" s="151" t="s">
        <v>170</v>
      </c>
      <c r="C30" s="147">
        <f>SUM(C27:C29)</f>
        <v>5653597</v>
      </c>
      <c r="D30" s="147">
        <f>SUM(D27:D29)</f>
        <v>5933858</v>
      </c>
      <c r="E30" s="147">
        <f>+D30-C30</f>
        <v>280261</v>
      </c>
      <c r="F30" s="148">
        <f>IF(C30=0,0,E30/C30)</f>
        <v>4.9572157336294047E-2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9611576</v>
      </c>
      <c r="D33" s="146">
        <v>9186155</v>
      </c>
      <c r="E33" s="146">
        <f>+D33-C33</f>
        <v>-425421</v>
      </c>
      <c r="F33" s="150">
        <f>IF(C33=0,0,E33/C33)</f>
        <v>-4.4261315730115436E-2</v>
      </c>
    </row>
    <row r="34" spans="1:7" ht="15" customHeight="1" x14ac:dyDescent="0.2">
      <c r="A34" s="141">
        <v>2</v>
      </c>
      <c r="B34" s="149" t="s">
        <v>174</v>
      </c>
      <c r="C34" s="146">
        <v>6447953</v>
      </c>
      <c r="D34" s="146">
        <v>6882506</v>
      </c>
      <c r="E34" s="146">
        <f>+D34-C34</f>
        <v>434553</v>
      </c>
      <c r="F34" s="150">
        <f>IF(C34=0,0,E34/C34)</f>
        <v>6.7393946574982794E-2</v>
      </c>
    </row>
    <row r="35" spans="1:7" ht="15.75" customHeight="1" x14ac:dyDescent="0.25">
      <c r="A35" s="141"/>
      <c r="B35" s="151" t="s">
        <v>175</v>
      </c>
      <c r="C35" s="147">
        <f>SUM(C33:C34)</f>
        <v>16059529</v>
      </c>
      <c r="D35" s="147">
        <f>SUM(D33:D34)</f>
        <v>16068661</v>
      </c>
      <c r="E35" s="147">
        <f>+D35-C35</f>
        <v>9132</v>
      </c>
      <c r="F35" s="148">
        <f>IF(C35=0,0,E35/C35)</f>
        <v>5.6863436032277156E-4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2442111</v>
      </c>
      <c r="D38" s="146">
        <v>2337950</v>
      </c>
      <c r="E38" s="146">
        <f>+D38-C38</f>
        <v>-104161</v>
      </c>
      <c r="F38" s="150">
        <f>IF(C38=0,0,E38/C38)</f>
        <v>-4.2652033425180098E-2</v>
      </c>
    </row>
    <row r="39" spans="1:7" ht="15" customHeight="1" x14ac:dyDescent="0.2">
      <c r="A39" s="141">
        <v>2</v>
      </c>
      <c r="B39" s="149" t="s">
        <v>179</v>
      </c>
      <c r="C39" s="146">
        <v>2938850</v>
      </c>
      <c r="D39" s="146">
        <v>2847219</v>
      </c>
      <c r="E39" s="146">
        <f>+D39-C39</f>
        <v>-91631</v>
      </c>
      <c r="F39" s="150">
        <f>IF(C39=0,0,E39/C39)</f>
        <v>-3.1179202749374756E-2</v>
      </c>
    </row>
    <row r="40" spans="1:7" ht="15" customHeight="1" x14ac:dyDescent="0.2">
      <c r="A40" s="141">
        <v>3</v>
      </c>
      <c r="B40" s="149" t="s">
        <v>180</v>
      </c>
      <c r="C40" s="146">
        <v>57752</v>
      </c>
      <c r="D40" s="146">
        <v>56091</v>
      </c>
      <c r="E40" s="146">
        <f>+D40-C40</f>
        <v>-1661</v>
      </c>
      <c r="F40" s="150">
        <f>IF(C40=0,0,E40/C40)</f>
        <v>-2.876090871311816E-2</v>
      </c>
    </row>
    <row r="41" spans="1:7" ht="15.75" customHeight="1" x14ac:dyDescent="0.25">
      <c r="A41" s="141"/>
      <c r="B41" s="151" t="s">
        <v>181</v>
      </c>
      <c r="C41" s="147">
        <f>SUM(C38:C40)</f>
        <v>5438713</v>
      </c>
      <c r="D41" s="147">
        <f>SUM(D38:D40)</f>
        <v>5241260</v>
      </c>
      <c r="E41" s="147">
        <f>+D41-C41</f>
        <v>-197453</v>
      </c>
      <c r="F41" s="148">
        <f>IF(C41=0,0,E41/C41)</f>
        <v>-3.6305096444691973E-2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9166346</v>
      </c>
      <c r="D44" s="146">
        <v>10944348</v>
      </c>
      <c r="E44" s="146">
        <f>+D44-C44</f>
        <v>1778002</v>
      </c>
      <c r="F44" s="150">
        <f>IF(C44=0,0,E44/C44)</f>
        <v>0.19397063999111533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1891953</v>
      </c>
      <c r="D47" s="146">
        <v>1693322</v>
      </c>
      <c r="E47" s="146">
        <f>+D47-C47</f>
        <v>-198631</v>
      </c>
      <c r="F47" s="150">
        <f>IF(C47=0,0,E47/C47)</f>
        <v>-0.10498728033941647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1255062</v>
      </c>
      <c r="D50" s="146">
        <v>1810541</v>
      </c>
      <c r="E50" s="146">
        <f>+D50-C50</f>
        <v>555479</v>
      </c>
      <c r="F50" s="150">
        <f>IF(C50=0,0,E50/C50)</f>
        <v>0.44259088395633045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57139</v>
      </c>
      <c r="D53" s="146">
        <v>51234</v>
      </c>
      <c r="E53" s="146">
        <f t="shared" ref="E53:E59" si="0">+D53-C53</f>
        <v>-5905</v>
      </c>
      <c r="F53" s="150">
        <f t="shared" ref="F53:F59" si="1">IF(C53=0,0,E53/C53)</f>
        <v>-0.10334447575211327</v>
      </c>
    </row>
    <row r="54" spans="1:7" ht="15" customHeight="1" x14ac:dyDescent="0.2">
      <c r="A54" s="141">
        <v>2</v>
      </c>
      <c r="B54" s="149" t="s">
        <v>193</v>
      </c>
      <c r="C54" s="146">
        <v>1031026</v>
      </c>
      <c r="D54" s="146">
        <v>997940</v>
      </c>
      <c r="E54" s="146">
        <f t="shared" si="0"/>
        <v>-33086</v>
      </c>
      <c r="F54" s="150">
        <f t="shared" si="1"/>
        <v>-3.2090364355506065E-2</v>
      </c>
    </row>
    <row r="55" spans="1:7" ht="15" customHeight="1" x14ac:dyDescent="0.2">
      <c r="A55" s="141">
        <v>3</v>
      </c>
      <c r="B55" s="149" t="s">
        <v>194</v>
      </c>
      <c r="C55" s="146">
        <v>5091</v>
      </c>
      <c r="D55" s="146">
        <v>5422</v>
      </c>
      <c r="E55" s="146">
        <f t="shared" si="0"/>
        <v>331</v>
      </c>
      <c r="F55" s="150">
        <f t="shared" si="1"/>
        <v>6.5016696130426238E-2</v>
      </c>
    </row>
    <row r="56" spans="1:7" ht="15" customHeight="1" x14ac:dyDescent="0.2">
      <c r="A56" s="141">
        <v>4</v>
      </c>
      <c r="B56" s="149" t="s">
        <v>195</v>
      </c>
      <c r="C56" s="146">
        <v>1424828</v>
      </c>
      <c r="D56" s="146">
        <v>1442943</v>
      </c>
      <c r="E56" s="146">
        <f t="shared" si="0"/>
        <v>18115</v>
      </c>
      <c r="F56" s="150">
        <f t="shared" si="1"/>
        <v>1.271381528156381E-2</v>
      </c>
    </row>
    <row r="57" spans="1:7" ht="15" customHeight="1" x14ac:dyDescent="0.2">
      <c r="A57" s="141">
        <v>5</v>
      </c>
      <c r="B57" s="149" t="s">
        <v>196</v>
      </c>
      <c r="C57" s="146">
        <v>276016</v>
      </c>
      <c r="D57" s="146">
        <v>297193</v>
      </c>
      <c r="E57" s="146">
        <f t="shared" si="0"/>
        <v>21177</v>
      </c>
      <c r="F57" s="150">
        <f t="shared" si="1"/>
        <v>7.6723813112283351E-2</v>
      </c>
    </row>
    <row r="58" spans="1:7" ht="15" customHeight="1" x14ac:dyDescent="0.2">
      <c r="A58" s="141">
        <v>6</v>
      </c>
      <c r="B58" s="149" t="s">
        <v>197</v>
      </c>
      <c r="C58" s="146">
        <v>794</v>
      </c>
      <c r="D58" s="146">
        <v>1659</v>
      </c>
      <c r="E58" s="146">
        <f t="shared" si="0"/>
        <v>865</v>
      </c>
      <c r="F58" s="150">
        <f t="shared" si="1"/>
        <v>1.0894206549118388</v>
      </c>
    </row>
    <row r="59" spans="1:7" ht="15.75" customHeight="1" x14ac:dyDescent="0.25">
      <c r="A59" s="141"/>
      <c r="B59" s="151" t="s">
        <v>198</v>
      </c>
      <c r="C59" s="147">
        <f>SUM(C53:C58)</f>
        <v>2794894</v>
      </c>
      <c r="D59" s="147">
        <f>SUM(D53:D58)</f>
        <v>2796391</v>
      </c>
      <c r="E59" s="147">
        <f t="shared" si="0"/>
        <v>1497</v>
      </c>
      <c r="F59" s="148">
        <f t="shared" si="1"/>
        <v>5.356195977378748E-4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136529</v>
      </c>
      <c r="D62" s="146">
        <v>84996</v>
      </c>
      <c r="E62" s="146">
        <f t="shared" ref="E62:E78" si="2">+D62-C62</f>
        <v>-51533</v>
      </c>
      <c r="F62" s="150">
        <f t="shared" ref="F62:F78" si="3">IF(C62=0,0,E62/C62)</f>
        <v>-0.37745094448798422</v>
      </c>
    </row>
    <row r="63" spans="1:7" ht="15" customHeight="1" x14ac:dyDescent="0.2">
      <c r="A63" s="141">
        <v>2</v>
      </c>
      <c r="B63" s="149" t="s">
        <v>202</v>
      </c>
      <c r="C63" s="146">
        <v>380379</v>
      </c>
      <c r="D63" s="146">
        <v>492342</v>
      </c>
      <c r="E63" s="146">
        <f t="shared" si="2"/>
        <v>111963</v>
      </c>
      <c r="F63" s="150">
        <f t="shared" si="3"/>
        <v>0.29434590237631414</v>
      </c>
    </row>
    <row r="64" spans="1:7" ht="15" customHeight="1" x14ac:dyDescent="0.2">
      <c r="A64" s="141">
        <v>3</v>
      </c>
      <c r="B64" s="149" t="s">
        <v>203</v>
      </c>
      <c r="C64" s="146">
        <v>1044767</v>
      </c>
      <c r="D64" s="146">
        <v>828830</v>
      </c>
      <c r="E64" s="146">
        <f t="shared" si="2"/>
        <v>-215937</v>
      </c>
      <c r="F64" s="150">
        <f t="shared" si="3"/>
        <v>-0.20668436120206707</v>
      </c>
    </row>
    <row r="65" spans="1:7" ht="15" customHeight="1" x14ac:dyDescent="0.2">
      <c r="A65" s="141">
        <v>4</v>
      </c>
      <c r="B65" s="149" t="s">
        <v>204</v>
      </c>
      <c r="C65" s="146">
        <v>246904</v>
      </c>
      <c r="D65" s="146">
        <v>269755</v>
      </c>
      <c r="E65" s="146">
        <f t="shared" si="2"/>
        <v>22851</v>
      </c>
      <c r="F65" s="150">
        <f t="shared" si="3"/>
        <v>9.2550140945468679E-2</v>
      </c>
    </row>
    <row r="66" spans="1:7" ht="15" customHeight="1" x14ac:dyDescent="0.2">
      <c r="A66" s="141">
        <v>5</v>
      </c>
      <c r="B66" s="149" t="s">
        <v>205</v>
      </c>
      <c r="C66" s="146">
        <v>584303</v>
      </c>
      <c r="D66" s="146">
        <v>558016</v>
      </c>
      <c r="E66" s="146">
        <f t="shared" si="2"/>
        <v>-26287</v>
      </c>
      <c r="F66" s="150">
        <f t="shared" si="3"/>
        <v>-4.4988644590221172E-2</v>
      </c>
    </row>
    <row r="67" spans="1:7" ht="15" customHeight="1" x14ac:dyDescent="0.2">
      <c r="A67" s="141">
        <v>6</v>
      </c>
      <c r="B67" s="149" t="s">
        <v>206</v>
      </c>
      <c r="C67" s="146">
        <v>784641</v>
      </c>
      <c r="D67" s="146">
        <v>866285</v>
      </c>
      <c r="E67" s="146">
        <f t="shared" si="2"/>
        <v>81644</v>
      </c>
      <c r="F67" s="150">
        <f t="shared" si="3"/>
        <v>0.10405268141736157</v>
      </c>
    </row>
    <row r="68" spans="1:7" ht="15" customHeight="1" x14ac:dyDescent="0.2">
      <c r="A68" s="141">
        <v>7</v>
      </c>
      <c r="B68" s="149" t="s">
        <v>207</v>
      </c>
      <c r="C68" s="146">
        <v>813156</v>
      </c>
      <c r="D68" s="146">
        <v>643342</v>
      </c>
      <c r="E68" s="146">
        <f t="shared" si="2"/>
        <v>-169814</v>
      </c>
      <c r="F68" s="150">
        <f t="shared" si="3"/>
        <v>-0.20883323741077972</v>
      </c>
    </row>
    <row r="69" spans="1:7" ht="15" customHeight="1" x14ac:dyDescent="0.2">
      <c r="A69" s="141">
        <v>8</v>
      </c>
      <c r="B69" s="149" t="s">
        <v>208</v>
      </c>
      <c r="C69" s="146">
        <v>300276</v>
      </c>
      <c r="D69" s="146">
        <v>317184</v>
      </c>
      <c r="E69" s="146">
        <f t="shared" si="2"/>
        <v>16908</v>
      </c>
      <c r="F69" s="150">
        <f t="shared" si="3"/>
        <v>5.6308196459257484E-2</v>
      </c>
    </row>
    <row r="70" spans="1:7" ht="15" customHeight="1" x14ac:dyDescent="0.2">
      <c r="A70" s="141">
        <v>9</v>
      </c>
      <c r="B70" s="149" t="s">
        <v>209</v>
      </c>
      <c r="C70" s="146">
        <v>205515</v>
      </c>
      <c r="D70" s="146">
        <v>234830</v>
      </c>
      <c r="E70" s="146">
        <f t="shared" si="2"/>
        <v>29315</v>
      </c>
      <c r="F70" s="150">
        <f t="shared" si="3"/>
        <v>0.1426416563267888</v>
      </c>
    </row>
    <row r="71" spans="1:7" ht="15" customHeight="1" x14ac:dyDescent="0.2">
      <c r="A71" s="141">
        <v>10</v>
      </c>
      <c r="B71" s="149" t="s">
        <v>210</v>
      </c>
      <c r="C71" s="146">
        <v>6834</v>
      </c>
      <c r="D71" s="146">
        <v>2372</v>
      </c>
      <c r="E71" s="146">
        <f t="shared" si="2"/>
        <v>-4462</v>
      </c>
      <c r="F71" s="150">
        <f t="shared" si="3"/>
        <v>-0.65291191103306989</v>
      </c>
    </row>
    <row r="72" spans="1:7" ht="15" customHeight="1" x14ac:dyDescent="0.2">
      <c r="A72" s="141">
        <v>11</v>
      </c>
      <c r="B72" s="149" t="s">
        <v>211</v>
      </c>
      <c r="C72" s="146">
        <v>31054</v>
      </c>
      <c r="D72" s="146">
        <v>20892</v>
      </c>
      <c r="E72" s="146">
        <f t="shared" si="2"/>
        <v>-10162</v>
      </c>
      <c r="F72" s="150">
        <f t="shared" si="3"/>
        <v>-0.32723642686932441</v>
      </c>
    </row>
    <row r="73" spans="1:7" ht="15" customHeight="1" x14ac:dyDescent="0.2">
      <c r="A73" s="141">
        <v>12</v>
      </c>
      <c r="B73" s="149" t="s">
        <v>212</v>
      </c>
      <c r="C73" s="146">
        <v>703193</v>
      </c>
      <c r="D73" s="146">
        <v>722842</v>
      </c>
      <c r="E73" s="146">
        <f t="shared" si="2"/>
        <v>19649</v>
      </c>
      <c r="F73" s="150">
        <f t="shared" si="3"/>
        <v>2.7942542090151637E-2</v>
      </c>
    </row>
    <row r="74" spans="1:7" ht="15" customHeight="1" x14ac:dyDescent="0.2">
      <c r="A74" s="141">
        <v>13</v>
      </c>
      <c r="B74" s="149" t="s">
        <v>213</v>
      </c>
      <c r="C74" s="146">
        <v>71376</v>
      </c>
      <c r="D74" s="146">
        <v>73895</v>
      </c>
      <c r="E74" s="146">
        <f t="shared" si="2"/>
        <v>2519</v>
      </c>
      <c r="F74" s="150">
        <f t="shared" si="3"/>
        <v>3.5291974893521628E-2</v>
      </c>
    </row>
    <row r="75" spans="1:7" ht="15" customHeight="1" x14ac:dyDescent="0.2">
      <c r="A75" s="141">
        <v>14</v>
      </c>
      <c r="B75" s="149" t="s">
        <v>214</v>
      </c>
      <c r="C75" s="146">
        <v>183302</v>
      </c>
      <c r="D75" s="146">
        <v>153453</v>
      </c>
      <c r="E75" s="146">
        <f t="shared" si="2"/>
        <v>-29849</v>
      </c>
      <c r="F75" s="150">
        <f t="shared" si="3"/>
        <v>-0.16284055820449314</v>
      </c>
    </row>
    <row r="76" spans="1:7" ht="15" customHeight="1" x14ac:dyDescent="0.2">
      <c r="A76" s="141">
        <v>15</v>
      </c>
      <c r="B76" s="149" t="s">
        <v>215</v>
      </c>
      <c r="C76" s="146">
        <v>777609</v>
      </c>
      <c r="D76" s="146">
        <v>727916</v>
      </c>
      <c r="E76" s="146">
        <f t="shared" si="2"/>
        <v>-49693</v>
      </c>
      <c r="F76" s="150">
        <f t="shared" si="3"/>
        <v>-6.3904867356216297E-2</v>
      </c>
    </row>
    <row r="77" spans="1:7" ht="15" customHeight="1" x14ac:dyDescent="0.2">
      <c r="A77" s="141">
        <v>16</v>
      </c>
      <c r="B77" s="149" t="s">
        <v>216</v>
      </c>
      <c r="C77" s="146">
        <v>13624473</v>
      </c>
      <c r="D77" s="146">
        <v>13666419</v>
      </c>
      <c r="E77" s="146">
        <f t="shared" si="2"/>
        <v>41946</v>
      </c>
      <c r="F77" s="150">
        <f t="shared" si="3"/>
        <v>3.0787245862647313E-3</v>
      </c>
    </row>
    <row r="78" spans="1:7" ht="15.75" customHeight="1" x14ac:dyDescent="0.25">
      <c r="A78" s="141"/>
      <c r="B78" s="151" t="s">
        <v>217</v>
      </c>
      <c r="C78" s="147">
        <f>SUM(C62:C77)</f>
        <v>19894311</v>
      </c>
      <c r="D78" s="147">
        <f>SUM(D62:D77)</f>
        <v>19663369</v>
      </c>
      <c r="E78" s="147">
        <f t="shared" si="2"/>
        <v>-230942</v>
      </c>
      <c r="F78" s="148">
        <f t="shared" si="3"/>
        <v>-1.1608444243180877E-2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129657399</v>
      </c>
      <c r="D83" s="147">
        <f>+D81+D78+D59+D50+D47+D44+D41+D35+D30+D24+D18</f>
        <v>130987633</v>
      </c>
      <c r="E83" s="147">
        <f>+D83-C83</f>
        <v>1330234</v>
      </c>
      <c r="F83" s="148">
        <f>IF(C83=0,0,E83/C83)</f>
        <v>1.0259607320982893E-2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977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4769915</v>
      </c>
      <c r="D91" s="146">
        <v>2916623</v>
      </c>
      <c r="E91" s="146">
        <f t="shared" ref="E91:E109" si="4">D91-C91</f>
        <v>-1853292</v>
      </c>
      <c r="F91" s="150">
        <f t="shared" ref="F91:F109" si="5">IF(C91=0,0,E91/C91)</f>
        <v>-0.38853774123857554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1561141</v>
      </c>
      <c r="D92" s="146">
        <v>1225446</v>
      </c>
      <c r="E92" s="146">
        <f t="shared" si="4"/>
        <v>-335695</v>
      </c>
      <c r="F92" s="150">
        <f t="shared" si="5"/>
        <v>-0.21503182608105226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2265434</v>
      </c>
      <c r="D93" s="146">
        <v>2407023</v>
      </c>
      <c r="E93" s="146">
        <f t="shared" si="4"/>
        <v>141589</v>
      </c>
      <c r="F93" s="150">
        <f t="shared" si="5"/>
        <v>6.2499724114672951E-2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688697</v>
      </c>
      <c r="D94" s="146">
        <v>738694</v>
      </c>
      <c r="E94" s="146">
        <f t="shared" si="4"/>
        <v>49997</v>
      </c>
      <c r="F94" s="150">
        <f t="shared" si="5"/>
        <v>7.2596511963897034E-2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2967179</v>
      </c>
      <c r="D95" s="146">
        <v>3317051</v>
      </c>
      <c r="E95" s="146">
        <f t="shared" si="4"/>
        <v>349872</v>
      </c>
      <c r="F95" s="150">
        <f t="shared" si="5"/>
        <v>0.11791401866891077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315397</v>
      </c>
      <c r="D96" s="146">
        <v>263762</v>
      </c>
      <c r="E96" s="146">
        <f t="shared" si="4"/>
        <v>-51635</v>
      </c>
      <c r="F96" s="150">
        <f t="shared" si="5"/>
        <v>-0.16371430292615338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1107940</v>
      </c>
      <c r="D97" s="146">
        <v>931623</v>
      </c>
      <c r="E97" s="146">
        <f t="shared" si="4"/>
        <v>-176317</v>
      </c>
      <c r="F97" s="150">
        <f t="shared" si="5"/>
        <v>-0.15913948408758596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919758</v>
      </c>
      <c r="D98" s="146">
        <v>939875</v>
      </c>
      <c r="E98" s="146">
        <f t="shared" si="4"/>
        <v>20117</v>
      </c>
      <c r="F98" s="150">
        <f t="shared" si="5"/>
        <v>2.1872057649947051E-2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687419</v>
      </c>
      <c r="D99" s="146">
        <v>729882</v>
      </c>
      <c r="E99" s="146">
        <f t="shared" si="4"/>
        <v>42463</v>
      </c>
      <c r="F99" s="150">
        <f t="shared" si="5"/>
        <v>6.1771641458848239E-2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1676704</v>
      </c>
      <c r="D100" s="146">
        <v>1625660</v>
      </c>
      <c r="E100" s="146">
        <f t="shared" si="4"/>
        <v>-51044</v>
      </c>
      <c r="F100" s="150">
        <f t="shared" si="5"/>
        <v>-3.0443059717159379E-2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1782878</v>
      </c>
      <c r="D101" s="146">
        <v>1653345</v>
      </c>
      <c r="E101" s="146">
        <f t="shared" si="4"/>
        <v>-129533</v>
      </c>
      <c r="F101" s="150">
        <f t="shared" si="5"/>
        <v>-7.2653877606880565E-2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507235</v>
      </c>
      <c r="D102" s="146">
        <v>423006</v>
      </c>
      <c r="E102" s="146">
        <f t="shared" si="4"/>
        <v>-84229</v>
      </c>
      <c r="F102" s="150">
        <f t="shared" si="5"/>
        <v>-0.16605518152335702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2582257</v>
      </c>
      <c r="D103" s="146">
        <v>2599676</v>
      </c>
      <c r="E103" s="146">
        <f t="shared" si="4"/>
        <v>17419</v>
      </c>
      <c r="F103" s="150">
        <f t="shared" si="5"/>
        <v>6.745649251797943E-3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423323</v>
      </c>
      <c r="D104" s="146">
        <v>398416</v>
      </c>
      <c r="E104" s="146">
        <f t="shared" si="4"/>
        <v>-24907</v>
      </c>
      <c r="F104" s="150">
        <f t="shared" si="5"/>
        <v>-5.8836869246414673E-2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2512915</v>
      </c>
      <c r="D105" s="146">
        <v>2223395</v>
      </c>
      <c r="E105" s="146">
        <f t="shared" si="4"/>
        <v>-289520</v>
      </c>
      <c r="F105" s="150">
        <f t="shared" si="5"/>
        <v>-0.11521281062033535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438356</v>
      </c>
      <c r="D106" s="146">
        <v>446587</v>
      </c>
      <c r="E106" s="146">
        <f t="shared" si="4"/>
        <v>8231</v>
      </c>
      <c r="F106" s="150">
        <f t="shared" si="5"/>
        <v>1.8776975791365922E-2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7847289</v>
      </c>
      <c r="D107" s="146">
        <v>8301152</v>
      </c>
      <c r="E107" s="146">
        <f t="shared" si="4"/>
        <v>453863</v>
      </c>
      <c r="F107" s="150">
        <f t="shared" si="5"/>
        <v>5.7836916672751572E-2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1183474</v>
      </c>
      <c r="D108" s="146">
        <v>1225846</v>
      </c>
      <c r="E108" s="146">
        <f t="shared" si="4"/>
        <v>42372</v>
      </c>
      <c r="F108" s="150">
        <f t="shared" si="5"/>
        <v>3.580306791699691E-2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34237311</v>
      </c>
      <c r="D109" s="147">
        <f>SUM(D91:D108)</f>
        <v>32367062</v>
      </c>
      <c r="E109" s="147">
        <f t="shared" si="4"/>
        <v>-1870249</v>
      </c>
      <c r="F109" s="148">
        <f t="shared" si="5"/>
        <v>-5.4626048173000499E-2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1216034</v>
      </c>
      <c r="D112" s="146">
        <v>1273468</v>
      </c>
      <c r="E112" s="146">
        <f t="shared" ref="E112:E118" si="6">D112-C112</f>
        <v>57434</v>
      </c>
      <c r="F112" s="150">
        <f t="shared" ref="F112:F118" si="7">IF(C112=0,0,E112/C112)</f>
        <v>4.7230587302657653E-2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1353852</v>
      </c>
      <c r="D114" s="146">
        <v>1516629</v>
      </c>
      <c r="E114" s="146">
        <f t="shared" si="6"/>
        <v>162777</v>
      </c>
      <c r="F114" s="150">
        <f t="shared" si="7"/>
        <v>0.12023249217787468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1795630</v>
      </c>
      <c r="D115" s="146">
        <v>2091637</v>
      </c>
      <c r="E115" s="146">
        <f t="shared" si="6"/>
        <v>296007</v>
      </c>
      <c r="F115" s="150">
        <f t="shared" si="7"/>
        <v>0.16484854897723919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769820</v>
      </c>
      <c r="D116" s="146">
        <v>799888</v>
      </c>
      <c r="E116" s="146">
        <f t="shared" si="6"/>
        <v>30068</v>
      </c>
      <c r="F116" s="150">
        <f t="shared" si="7"/>
        <v>3.90584812033982E-2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3002190</v>
      </c>
      <c r="D117" s="146">
        <v>2112011</v>
      </c>
      <c r="E117" s="146">
        <f t="shared" si="6"/>
        <v>-890179</v>
      </c>
      <c r="F117" s="150">
        <f t="shared" si="7"/>
        <v>-0.29650988112011567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8137526</v>
      </c>
      <c r="D118" s="147">
        <f>SUM(D112:D117)</f>
        <v>7793633</v>
      </c>
      <c r="E118" s="147">
        <f t="shared" si="6"/>
        <v>-343893</v>
      </c>
      <c r="F118" s="148">
        <f t="shared" si="7"/>
        <v>-4.2260141472973481E-2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8912839</v>
      </c>
      <c r="D121" s="146">
        <v>8049433</v>
      </c>
      <c r="E121" s="146">
        <f t="shared" ref="E121:E155" si="8">D121-C121</f>
        <v>-863406</v>
      </c>
      <c r="F121" s="150">
        <f t="shared" ref="F121:F155" si="9">IF(C121=0,0,E121/C121)</f>
        <v>-9.6872163852617557E-2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814922</v>
      </c>
      <c r="D122" s="146">
        <v>794646</v>
      </c>
      <c r="E122" s="146">
        <f t="shared" si="8"/>
        <v>-20276</v>
      </c>
      <c r="F122" s="150">
        <f t="shared" si="9"/>
        <v>-2.4880908847717941E-2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157148</v>
      </c>
      <c r="D123" s="146">
        <v>143028</v>
      </c>
      <c r="E123" s="146">
        <f t="shared" si="8"/>
        <v>-14120</v>
      </c>
      <c r="F123" s="150">
        <f t="shared" si="9"/>
        <v>-8.9851604856568332E-2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407077</v>
      </c>
      <c r="D124" s="146">
        <v>0</v>
      </c>
      <c r="E124" s="146">
        <f t="shared" si="8"/>
        <v>-407077</v>
      </c>
      <c r="F124" s="150">
        <f t="shared" si="9"/>
        <v>-1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2730257</v>
      </c>
      <c r="D125" s="146">
        <v>2731104</v>
      </c>
      <c r="E125" s="146">
        <f t="shared" si="8"/>
        <v>847</v>
      </c>
      <c r="F125" s="150">
        <f t="shared" si="9"/>
        <v>3.1022720571726397E-4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397088</v>
      </c>
      <c r="D126" s="146">
        <v>431873</v>
      </c>
      <c r="E126" s="146">
        <f t="shared" si="8"/>
        <v>34785</v>
      </c>
      <c r="F126" s="150">
        <f t="shared" si="9"/>
        <v>8.7600229672012253E-2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36148</v>
      </c>
      <c r="D127" s="146">
        <v>4589</v>
      </c>
      <c r="E127" s="146">
        <f t="shared" si="8"/>
        <v>-31559</v>
      </c>
      <c r="F127" s="150">
        <f t="shared" si="9"/>
        <v>-0.87304968462985499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498772</v>
      </c>
      <c r="D128" s="146">
        <v>516774</v>
      </c>
      <c r="E128" s="146">
        <f t="shared" si="8"/>
        <v>18002</v>
      </c>
      <c r="F128" s="150">
        <f t="shared" si="9"/>
        <v>3.6092643532515858E-2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861637</v>
      </c>
      <c r="D129" s="146">
        <v>782990</v>
      </c>
      <c r="E129" s="146">
        <f t="shared" si="8"/>
        <v>-78647</v>
      </c>
      <c r="F129" s="150">
        <f t="shared" si="9"/>
        <v>-9.1276256706710593E-2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4817798</v>
      </c>
      <c r="D130" s="146">
        <v>4501359</v>
      </c>
      <c r="E130" s="146">
        <f t="shared" si="8"/>
        <v>-316439</v>
      </c>
      <c r="F130" s="150">
        <f t="shared" si="9"/>
        <v>-6.5681251061169441E-2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727243</v>
      </c>
      <c r="D132" s="146">
        <v>740078</v>
      </c>
      <c r="E132" s="146">
        <f t="shared" si="8"/>
        <v>12835</v>
      </c>
      <c r="F132" s="150">
        <f t="shared" si="9"/>
        <v>1.764884639659646E-2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20195</v>
      </c>
      <c r="D134" s="146">
        <v>18756</v>
      </c>
      <c r="E134" s="146">
        <f t="shared" si="8"/>
        <v>-1439</v>
      </c>
      <c r="F134" s="150">
        <f t="shared" si="9"/>
        <v>-7.1255261203268139E-2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166130</v>
      </c>
      <c r="D135" s="146">
        <v>151173</v>
      </c>
      <c r="E135" s="146">
        <f t="shared" si="8"/>
        <v>-14957</v>
      </c>
      <c r="F135" s="150">
        <f t="shared" si="9"/>
        <v>-9.003190272678023E-2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888587</v>
      </c>
      <c r="D138" s="146">
        <v>961718</v>
      </c>
      <c r="E138" s="146">
        <f t="shared" si="8"/>
        <v>73131</v>
      </c>
      <c r="F138" s="150">
        <f t="shared" si="9"/>
        <v>8.230032624830208E-2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221307</v>
      </c>
      <c r="D140" s="146">
        <v>219882</v>
      </c>
      <c r="E140" s="146">
        <f t="shared" si="8"/>
        <v>-1425</v>
      </c>
      <c r="F140" s="150">
        <f t="shared" si="9"/>
        <v>-6.4390191001640253E-3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259797</v>
      </c>
      <c r="D142" s="146">
        <v>0</v>
      </c>
      <c r="E142" s="146">
        <f t="shared" si="8"/>
        <v>-259797</v>
      </c>
      <c r="F142" s="150">
        <f t="shared" si="9"/>
        <v>-1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3672244</v>
      </c>
      <c r="D144" s="146">
        <v>3862360</v>
      </c>
      <c r="E144" s="146">
        <f t="shared" si="8"/>
        <v>190116</v>
      </c>
      <c r="F144" s="150">
        <f t="shared" si="9"/>
        <v>5.177106967837649E-2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1137315</v>
      </c>
      <c r="D145" s="146">
        <v>725142</v>
      </c>
      <c r="E145" s="146">
        <f t="shared" si="8"/>
        <v>-412173</v>
      </c>
      <c r="F145" s="150">
        <f t="shared" si="9"/>
        <v>-0.36240883132641355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483112</v>
      </c>
      <c r="D146" s="146">
        <v>355607</v>
      </c>
      <c r="E146" s="146">
        <f t="shared" si="8"/>
        <v>-127505</v>
      </c>
      <c r="F146" s="150">
        <f t="shared" si="9"/>
        <v>-0.26392430740697809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1179805</v>
      </c>
      <c r="D148" s="146">
        <v>1167175</v>
      </c>
      <c r="E148" s="146">
        <f t="shared" si="8"/>
        <v>-12630</v>
      </c>
      <c r="F148" s="150">
        <f t="shared" si="9"/>
        <v>-1.0705158903378101E-2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1484964</v>
      </c>
      <c r="D152" s="146">
        <v>1480143</v>
      </c>
      <c r="E152" s="146">
        <f t="shared" si="8"/>
        <v>-4821</v>
      </c>
      <c r="F152" s="150">
        <f t="shared" si="9"/>
        <v>-3.246543350545872E-3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3338938</v>
      </c>
      <c r="D154" s="146">
        <v>2423617</v>
      </c>
      <c r="E154" s="146">
        <f t="shared" si="8"/>
        <v>-915321</v>
      </c>
      <c r="F154" s="150">
        <f t="shared" si="9"/>
        <v>-0.27413536879091494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33213323</v>
      </c>
      <c r="D155" s="147">
        <f>SUM(D121:D154)</f>
        <v>30061447</v>
      </c>
      <c r="E155" s="147">
        <f t="shared" si="8"/>
        <v>-3151876</v>
      </c>
      <c r="F155" s="148">
        <f t="shared" si="9"/>
        <v>-9.4897942009596573E-2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8205620</v>
      </c>
      <c r="D158" s="146">
        <v>7539260</v>
      </c>
      <c r="E158" s="146">
        <f t="shared" ref="E158:E171" si="10">D158-C158</f>
        <v>-666360</v>
      </c>
      <c r="F158" s="150">
        <f t="shared" ref="F158:F171" si="11">IF(C158=0,0,E158/C158)</f>
        <v>-8.1207757610028256E-2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3170209</v>
      </c>
      <c r="D159" s="146">
        <v>2707125</v>
      </c>
      <c r="E159" s="146">
        <f t="shared" si="10"/>
        <v>-463084</v>
      </c>
      <c r="F159" s="150">
        <f t="shared" si="11"/>
        <v>-0.14607365003379905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2062084</v>
      </c>
      <c r="D161" s="146">
        <v>2087439</v>
      </c>
      <c r="E161" s="146">
        <f t="shared" si="10"/>
        <v>25355</v>
      </c>
      <c r="F161" s="150">
        <f t="shared" si="11"/>
        <v>1.2295813361628334E-2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237930</v>
      </c>
      <c r="D162" s="146">
        <v>167515</v>
      </c>
      <c r="E162" s="146">
        <f t="shared" si="10"/>
        <v>-70415</v>
      </c>
      <c r="F162" s="150">
        <f t="shared" si="11"/>
        <v>-0.2959483881813979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1775021</v>
      </c>
      <c r="D163" s="146">
        <v>2474305</v>
      </c>
      <c r="E163" s="146">
        <f t="shared" si="10"/>
        <v>699284</v>
      </c>
      <c r="F163" s="150">
        <f t="shared" si="11"/>
        <v>0.39395815598801365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373362</v>
      </c>
      <c r="D164" s="146">
        <v>0</v>
      </c>
      <c r="E164" s="146">
        <f t="shared" si="10"/>
        <v>-373362</v>
      </c>
      <c r="F164" s="150">
        <f t="shared" si="11"/>
        <v>-1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903309</v>
      </c>
      <c r="D167" s="146">
        <v>862262</v>
      </c>
      <c r="E167" s="146">
        <f t="shared" si="10"/>
        <v>-41047</v>
      </c>
      <c r="F167" s="150">
        <f t="shared" si="11"/>
        <v>-4.544070744341084E-2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2491206</v>
      </c>
      <c r="D168" s="146">
        <v>2691484</v>
      </c>
      <c r="E168" s="146">
        <f t="shared" si="10"/>
        <v>200278</v>
      </c>
      <c r="F168" s="150">
        <f t="shared" si="11"/>
        <v>8.0393993912988335E-2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3800294</v>
      </c>
      <c r="D169" s="146">
        <v>2672923</v>
      </c>
      <c r="E169" s="146">
        <f t="shared" si="10"/>
        <v>-1127371</v>
      </c>
      <c r="F169" s="150">
        <f t="shared" si="11"/>
        <v>-0.2966536273246228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690666</v>
      </c>
      <c r="D170" s="146">
        <v>674989</v>
      </c>
      <c r="E170" s="146">
        <f t="shared" si="10"/>
        <v>-15677</v>
      </c>
      <c r="F170" s="150">
        <f t="shared" si="11"/>
        <v>-2.2698380982993226E-2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23709701</v>
      </c>
      <c r="D171" s="147">
        <f>SUM(D158:D170)</f>
        <v>21877302</v>
      </c>
      <c r="E171" s="147">
        <f t="shared" si="10"/>
        <v>-1832399</v>
      </c>
      <c r="F171" s="148">
        <f t="shared" si="11"/>
        <v>-7.7284778918131444E-2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30359538</v>
      </c>
      <c r="D174" s="146">
        <v>38888189</v>
      </c>
      <c r="E174" s="146">
        <f>D174-C174</f>
        <v>8528651</v>
      </c>
      <c r="F174" s="150">
        <f>IF(C174=0,0,E174/C174)</f>
        <v>0.28092163326069058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129657399</v>
      </c>
      <c r="D176" s="147">
        <f>+D174+D171+D155+D118+D109</f>
        <v>130987633</v>
      </c>
      <c r="E176" s="147">
        <f>D176-C176</f>
        <v>1330234</v>
      </c>
      <c r="F176" s="148">
        <f>IF(C176=0,0,E176/C176)</f>
        <v>1.0259607320982893E-2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976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3" fitToHeight="0" orientation="portrait" r:id="rId1"/>
  <headerFooter>
    <oddHeader>&amp;LOFFICE OF HEALTH CARE ACCESS&amp;CTWELVE MONTHS ACTUAL FILING&amp;RBRISTOL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B35" sqref="B35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5" width="21.85546875" style="2" customWidth="1"/>
    <col min="6" max="6" width="18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119290195</v>
      </c>
      <c r="D11" s="164">
        <v>124989832</v>
      </c>
      <c r="E11" s="51">
        <v>127394892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6592514</v>
      </c>
      <c r="D12" s="49">
        <v>4717358</v>
      </c>
      <c r="E12" s="49">
        <v>4807086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125882709</v>
      </c>
      <c r="D13" s="51">
        <f>+D11+D12</f>
        <v>129707190</v>
      </c>
      <c r="E13" s="51">
        <f>+E11+E12</f>
        <v>132201978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125713012</v>
      </c>
      <c r="D14" s="49">
        <v>129657399</v>
      </c>
      <c r="E14" s="49">
        <v>130987633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169697</v>
      </c>
      <c r="D15" s="51">
        <f>+D13-D14</f>
        <v>49791</v>
      </c>
      <c r="E15" s="51">
        <f>+E13-E14</f>
        <v>1214345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-1155433</v>
      </c>
      <c r="D16" s="49">
        <v>323607</v>
      </c>
      <c r="E16" s="49">
        <v>571472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-985736</v>
      </c>
      <c r="D17" s="51">
        <f>D15+D16</f>
        <v>373398</v>
      </c>
      <c r="E17" s="51">
        <f>E15+E16</f>
        <v>1785817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1.3605444249419831E-3</v>
      </c>
      <c r="D20" s="169">
        <f>IF(+D27=0,0,+D24/+D27)</f>
        <v>3.8291697927530198E-4</v>
      </c>
      <c r="E20" s="169">
        <f>IF(+E27=0,0,+E24/+E27)</f>
        <v>9.14599266645553E-3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-9.2636754129064754E-3</v>
      </c>
      <c r="D21" s="169">
        <f>IF(D27=0,0,+D26/D27)</f>
        <v>2.4886950435288034E-3</v>
      </c>
      <c r="E21" s="169">
        <f>IF(E27=0,0,+E26/E27)</f>
        <v>4.3041135106453889E-3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-7.9031309879644927E-3</v>
      </c>
      <c r="D22" s="169">
        <f>IF(D27=0,0,+D28/D27)</f>
        <v>2.8716120228041053E-3</v>
      </c>
      <c r="E22" s="169">
        <f>IF(E27=0,0,+E28/E27)</f>
        <v>1.3450106177100919E-2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169697</v>
      </c>
      <c r="D24" s="51">
        <f>+D15</f>
        <v>49791</v>
      </c>
      <c r="E24" s="51">
        <f>+E15</f>
        <v>1214345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125882709</v>
      </c>
      <c r="D25" s="51">
        <f>+D13</f>
        <v>129707190</v>
      </c>
      <c r="E25" s="51">
        <f>+E13</f>
        <v>132201978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-1155433</v>
      </c>
      <c r="D26" s="51">
        <f>+D16</f>
        <v>323607</v>
      </c>
      <c r="E26" s="51">
        <f>+E16</f>
        <v>571472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124727276</v>
      </c>
      <c r="D27" s="51">
        <f>+D25+D26</f>
        <v>130030797</v>
      </c>
      <c r="E27" s="51">
        <f>+E25+E26</f>
        <v>132773450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-985736</v>
      </c>
      <c r="D28" s="51">
        <f>+D17</f>
        <v>373398</v>
      </c>
      <c r="E28" s="51">
        <f>+E17</f>
        <v>1785817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18132104</v>
      </c>
      <c r="D31" s="51">
        <v>-255398</v>
      </c>
      <c r="E31" s="51">
        <v>755592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26424439</v>
      </c>
      <c r="D32" s="51">
        <v>7239260</v>
      </c>
      <c r="E32" s="51">
        <v>8220533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-14659634</v>
      </c>
      <c r="D33" s="51">
        <f>+D32-C32</f>
        <v>-19185179</v>
      </c>
      <c r="E33" s="51">
        <f>+E32-D32</f>
        <v>981273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0.6431</v>
      </c>
      <c r="D34" s="171">
        <f>IF(C32=0,0,+D33/C32)</f>
        <v>-0.72603921695366924</v>
      </c>
      <c r="E34" s="171">
        <f>IF(D32=0,0,+E33/D32)</f>
        <v>0.13554879918665719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0.32749632239582588</v>
      </c>
      <c r="D38" s="172">
        <f>IF((D40+D41)=0,0,+D39/(D40+D41))</f>
        <v>0.35700088820827358</v>
      </c>
      <c r="E38" s="172">
        <f>IF((E40+E41)=0,0,+E39/(E40+E41))</f>
        <v>0.35794415721571854</v>
      </c>
      <c r="F38" s="5"/>
    </row>
    <row r="39" spans="1:6" ht="24" customHeight="1" x14ac:dyDescent="0.2">
      <c r="A39" s="21">
        <v>2</v>
      </c>
      <c r="B39" s="48" t="s">
        <v>322</v>
      </c>
      <c r="C39" s="51">
        <v>114761390</v>
      </c>
      <c r="D39" s="51">
        <v>129657399</v>
      </c>
      <c r="E39" s="23">
        <v>130987633</v>
      </c>
      <c r="F39" s="5"/>
    </row>
    <row r="40" spans="1:6" ht="24" customHeight="1" x14ac:dyDescent="0.2">
      <c r="A40" s="21">
        <v>3</v>
      </c>
      <c r="B40" s="48" t="s">
        <v>323</v>
      </c>
      <c r="C40" s="51">
        <v>344471295</v>
      </c>
      <c r="D40" s="51">
        <v>359092081</v>
      </c>
      <c r="E40" s="23">
        <v>361761243</v>
      </c>
      <c r="F40" s="5"/>
    </row>
    <row r="41" spans="1:6" ht="24" customHeight="1" x14ac:dyDescent="0.2">
      <c r="A41" s="21">
        <v>4</v>
      </c>
      <c r="B41" s="48" t="s">
        <v>324</v>
      </c>
      <c r="C41" s="51">
        <v>5949098</v>
      </c>
      <c r="D41" s="51">
        <v>4093007</v>
      </c>
      <c r="E41" s="23">
        <v>4183082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1.1801888955239224</v>
      </c>
      <c r="D43" s="173">
        <f>IF(D38=0,0,IF((D46-D47)=0,0,((+D44-D45)/(D46-D47)/D38)))</f>
        <v>1.1786388392205744</v>
      </c>
      <c r="E43" s="173">
        <f>IF(E38=0,0,IF((E46-E47)=0,0,((+E44-E45)/(E46-E47)/E38)))</f>
        <v>1.162906341578507</v>
      </c>
      <c r="F43" s="5"/>
    </row>
    <row r="44" spans="1:6" ht="24" customHeight="1" x14ac:dyDescent="0.2">
      <c r="A44" s="21">
        <v>6</v>
      </c>
      <c r="B44" s="48" t="s">
        <v>326</v>
      </c>
      <c r="C44" s="51">
        <v>55968949</v>
      </c>
      <c r="D44" s="51">
        <v>60660353</v>
      </c>
      <c r="E44" s="23">
        <v>55032662</v>
      </c>
      <c r="F44" s="5"/>
    </row>
    <row r="45" spans="1:6" ht="24" customHeight="1" x14ac:dyDescent="0.2">
      <c r="A45" s="21">
        <v>7</v>
      </c>
      <c r="B45" s="48" t="s">
        <v>327</v>
      </c>
      <c r="C45" s="51">
        <v>361489</v>
      </c>
      <c r="D45" s="51">
        <v>291719</v>
      </c>
      <c r="E45" s="23">
        <v>407450</v>
      </c>
      <c r="F45" s="5"/>
    </row>
    <row r="46" spans="1:6" ht="24" customHeight="1" x14ac:dyDescent="0.2">
      <c r="A46" s="21">
        <v>8</v>
      </c>
      <c r="B46" s="48" t="s">
        <v>328</v>
      </c>
      <c r="C46" s="51">
        <v>151566995</v>
      </c>
      <c r="D46" s="51">
        <v>149913369</v>
      </c>
      <c r="E46" s="23">
        <v>137745436</v>
      </c>
      <c r="F46" s="5"/>
    </row>
    <row r="47" spans="1:6" ht="24" customHeight="1" x14ac:dyDescent="0.2">
      <c r="A47" s="21">
        <v>9</v>
      </c>
      <c r="B47" s="48" t="s">
        <v>329</v>
      </c>
      <c r="C47" s="51">
        <v>7695384</v>
      </c>
      <c r="D47" s="51">
        <v>6443301</v>
      </c>
      <c r="E47" s="174">
        <v>6515439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0.90730838804379532</v>
      </c>
      <c r="D49" s="175">
        <f>IF(D38=0,0,IF(D51=0,0,(D50/D51)/D38))</f>
        <v>0.81428696034704595</v>
      </c>
      <c r="E49" s="175">
        <f>IF(E38=0,0,IF(E51=0,0,(E50/E51)/E38))</f>
        <v>0.85020578514564438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43528082</v>
      </c>
      <c r="D50" s="176">
        <v>45920967</v>
      </c>
      <c r="E50" s="176">
        <v>49143622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146490067</v>
      </c>
      <c r="D51" s="176">
        <v>157966228</v>
      </c>
      <c r="E51" s="176">
        <v>161483379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0.83976011254812477</v>
      </c>
      <c r="D53" s="175">
        <f>IF(D38=0,0,IF(D55=0,0,(D54/D55)/D38))</f>
        <v>0.74564884132702125</v>
      </c>
      <c r="E53" s="175">
        <f>IF(E38=0,0,IF(E55=0,0,(E54/E55)/E38))</f>
        <v>0.71254534803892755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9420308</v>
      </c>
      <c r="D54" s="176">
        <v>9867439</v>
      </c>
      <c r="E54" s="176">
        <v>12487258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34253380</v>
      </c>
      <c r="D55" s="176">
        <v>37068141</v>
      </c>
      <c r="E55" s="176">
        <v>48959762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3891013.281053823</v>
      </c>
      <c r="D57" s="53">
        <f>+D60*D38</f>
        <v>3471915.3910288601</v>
      </c>
      <c r="E57" s="53">
        <f>+E60*E38</f>
        <v>4010209.826102599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929468</v>
      </c>
      <c r="D58" s="51">
        <v>558883</v>
      </c>
      <c r="E58" s="52">
        <v>259103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10951622</v>
      </c>
      <c r="D59" s="51">
        <v>9166346</v>
      </c>
      <c r="E59" s="52">
        <v>10944348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11881090</v>
      </c>
      <c r="D60" s="51">
        <v>9725229</v>
      </c>
      <c r="E60" s="52">
        <v>11203451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3.3905247061348967E-2</v>
      </c>
      <c r="D62" s="178">
        <f>IF(D63=0,0,+D57/D63)</f>
        <v>2.6777610979446382E-2</v>
      </c>
      <c r="E62" s="178">
        <f>IF(E63=0,0,+E57/E63)</f>
        <v>3.0615178961991008E-2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114761390</v>
      </c>
      <c r="D63" s="176">
        <v>129657399</v>
      </c>
      <c r="E63" s="176">
        <v>130987633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1.1374479680230827</v>
      </c>
      <c r="D67" s="179">
        <f>IF(D69=0,0,D68/D69)</f>
        <v>1.2528575910467785</v>
      </c>
      <c r="E67" s="179">
        <f>IF(E69=0,0,E68/E69)</f>
        <v>1.3736187548958319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26125551</v>
      </c>
      <c r="D68" s="180">
        <v>29039941</v>
      </c>
      <c r="E68" s="180">
        <v>29386098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22968568</v>
      </c>
      <c r="D69" s="180">
        <v>23178964</v>
      </c>
      <c r="E69" s="180">
        <v>21393198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10.199224381550252</v>
      </c>
      <c r="D71" s="181">
        <f>IF((D77/365)=0,0,+D74/(D77/365))</f>
        <v>20.105063218910558</v>
      </c>
      <c r="E71" s="181">
        <f>IF((E77/365)=0,0,+E74/(E77/365))</f>
        <v>24.332681587563567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3254877</v>
      </c>
      <c r="D72" s="182">
        <v>6746197</v>
      </c>
      <c r="E72" s="182">
        <v>8286702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95129</v>
      </c>
      <c r="D73" s="184">
        <v>96062</v>
      </c>
      <c r="E73" s="184">
        <v>96165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3350006</v>
      </c>
      <c r="D74" s="180">
        <f>+D72+D73</f>
        <v>6842259</v>
      </c>
      <c r="E74" s="180">
        <f>+E72+E73</f>
        <v>8382867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125713012</v>
      </c>
      <c r="D75" s="180">
        <f>+D14</f>
        <v>129657399</v>
      </c>
      <c r="E75" s="180">
        <f>+E14</f>
        <v>130987633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5826230</v>
      </c>
      <c r="D76" s="180">
        <v>5438713</v>
      </c>
      <c r="E76" s="180">
        <v>5241260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119886782</v>
      </c>
      <c r="D77" s="180">
        <f>+D75-D76</f>
        <v>124218686</v>
      </c>
      <c r="E77" s="180">
        <f>+E75-E76</f>
        <v>125746373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49.211212078243314</v>
      </c>
      <c r="D79" s="179">
        <f>IF((D84/365)=0,0,+D83/(D84/365))</f>
        <v>45.194548225330848</v>
      </c>
      <c r="E79" s="179">
        <f>IF((E84/365)=0,0,+E83/(E84/365))</f>
        <v>43.422427486339089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16477565</v>
      </c>
      <c r="D80" s="189">
        <v>16448223</v>
      </c>
      <c r="E80" s="189">
        <v>15483112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394236</v>
      </c>
      <c r="D82" s="190">
        <v>971897</v>
      </c>
      <c r="E82" s="190">
        <v>327508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16083329</v>
      </c>
      <c r="D83" s="191">
        <f>+D80+D81-D82</f>
        <v>15476326</v>
      </c>
      <c r="E83" s="191">
        <f>+E80+E81-E82</f>
        <v>15155604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119290195</v>
      </c>
      <c r="D84" s="191">
        <f>+D11</f>
        <v>124989832</v>
      </c>
      <c r="E84" s="191">
        <f>+E11</f>
        <v>127394892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69.928704233632686</v>
      </c>
      <c r="D86" s="179">
        <f>IF((D90/365)=0,0,+D87/(D90/365))</f>
        <v>68.10828654233228</v>
      </c>
      <c r="E86" s="179">
        <f>IF((E90/365)=0,0,+E87/(E90/365))</f>
        <v>62.09735584182615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22968568</v>
      </c>
      <c r="D87" s="51">
        <f>+D69</f>
        <v>23178964</v>
      </c>
      <c r="E87" s="51">
        <f>+E69</f>
        <v>21393198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125713012</v>
      </c>
      <c r="D88" s="51">
        <f t="shared" si="0"/>
        <v>129657399</v>
      </c>
      <c r="E88" s="51">
        <f t="shared" si="0"/>
        <v>130987633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5826230</v>
      </c>
      <c r="D89" s="52">
        <f t="shared" si="0"/>
        <v>5438713</v>
      </c>
      <c r="E89" s="52">
        <f t="shared" si="0"/>
        <v>5241260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119886782</v>
      </c>
      <c r="D90" s="51">
        <f>+D88-D89</f>
        <v>124218686</v>
      </c>
      <c r="E90" s="51">
        <f>+E88-E89</f>
        <v>125746373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28.973997508281997</v>
      </c>
      <c r="D94" s="192">
        <f>IF(D96=0,0,(D95/D96)*100)</f>
        <v>7.6663709270054792</v>
      </c>
      <c r="E94" s="192">
        <f>IF(E96=0,0,(E95/E96)*100)</f>
        <v>8.4187276977067356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26424439</v>
      </c>
      <c r="D95" s="51">
        <f>+D32</f>
        <v>7239260</v>
      </c>
      <c r="E95" s="51">
        <f>+E32</f>
        <v>8220533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91200529</v>
      </c>
      <c r="D96" s="51">
        <v>94428773</v>
      </c>
      <c r="E96" s="51">
        <v>97645788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9.4469647657930498</v>
      </c>
      <c r="D98" s="192">
        <f>IF(D104=0,0,(D101/D104)*100)</f>
        <v>11.499772155717158</v>
      </c>
      <c r="E98" s="192">
        <f>IF(E104=0,0,(E101/E104)*100)</f>
        <v>14.415680231508324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-985736</v>
      </c>
      <c r="D99" s="51">
        <f>+D28</f>
        <v>373398</v>
      </c>
      <c r="E99" s="51">
        <f>+E28</f>
        <v>1785817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5826230</v>
      </c>
      <c r="D100" s="52">
        <f>+D76</f>
        <v>5438713</v>
      </c>
      <c r="E100" s="52">
        <f>+E76</f>
        <v>5241260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4840494</v>
      </c>
      <c r="D101" s="51">
        <f>+D99+D100</f>
        <v>5812111</v>
      </c>
      <c r="E101" s="51">
        <f>+E99+E100</f>
        <v>7027077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22968568</v>
      </c>
      <c r="D102" s="180">
        <f>+D69</f>
        <v>23178964</v>
      </c>
      <c r="E102" s="180">
        <f>+E69</f>
        <v>21393198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28270048</v>
      </c>
      <c r="D103" s="194">
        <v>27362133</v>
      </c>
      <c r="E103" s="194">
        <v>27352868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51238616</v>
      </c>
      <c r="D104" s="180">
        <f>+D102+D103</f>
        <v>50541097</v>
      </c>
      <c r="E104" s="180">
        <f>+E102+E103</f>
        <v>48746066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51.687198382535335</v>
      </c>
      <c r="D106" s="197">
        <f>IF(D109=0,0,(D107/D109)*100)</f>
        <v>79.078125554078127</v>
      </c>
      <c r="E106" s="197">
        <f>IF(E109=0,0,(E107/E109)*100)</f>
        <v>76.891349241530207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28270048</v>
      </c>
      <c r="D107" s="180">
        <f>+D103</f>
        <v>27362133</v>
      </c>
      <c r="E107" s="180">
        <f>+E103</f>
        <v>27352868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26424439</v>
      </c>
      <c r="D108" s="180">
        <f>+D32</f>
        <v>7239260</v>
      </c>
      <c r="E108" s="180">
        <f>+E32</f>
        <v>8220533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54694487</v>
      </c>
      <c r="D109" s="180">
        <f>+D107+D108</f>
        <v>34601393</v>
      </c>
      <c r="E109" s="180">
        <f>+E107+E108</f>
        <v>35573401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3.3779585737045257</v>
      </c>
      <c r="D111" s="197">
        <f>IF((+D113+D115)=0,0,((+D112+D113+D114)/(+D113+D115)))</f>
        <v>2.386571126136857</v>
      </c>
      <c r="E111" s="197">
        <f>IF((+E113+E115)=0,0,((+E112+E113+E114)/(+E113+E115)))</f>
        <v>4.6727003542945083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-985736</v>
      </c>
      <c r="D112" s="180">
        <f>+D17</f>
        <v>373398</v>
      </c>
      <c r="E112" s="180">
        <f>+E17</f>
        <v>1785817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2035567</v>
      </c>
      <c r="D113" s="180">
        <v>1891953</v>
      </c>
      <c r="E113" s="180">
        <v>1693322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5826230</v>
      </c>
      <c r="D114" s="180">
        <v>5438713</v>
      </c>
      <c r="E114" s="180">
        <v>5241260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1336136</v>
      </c>
      <c r="E115" s="180">
        <v>172922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14.257257780760458</v>
      </c>
      <c r="D119" s="197">
        <f>IF(+D121=0,0,(+D120)/(+D121))</f>
        <v>16.241675190435679</v>
      </c>
      <c r="E119" s="197">
        <f>IF(+E121=0,0,(+E120)/(+E121))</f>
        <v>17.842842751552109</v>
      </c>
    </row>
    <row r="120" spans="1:8" ht="24" customHeight="1" x14ac:dyDescent="0.25">
      <c r="A120" s="17">
        <v>21</v>
      </c>
      <c r="B120" s="48" t="s">
        <v>367</v>
      </c>
      <c r="C120" s="180">
        <v>83066063</v>
      </c>
      <c r="D120" s="180">
        <v>88333810</v>
      </c>
      <c r="E120" s="180">
        <v>93518978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5826230</v>
      </c>
      <c r="D121" s="180">
        <v>5438713</v>
      </c>
      <c r="E121" s="180">
        <v>5241260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33258</v>
      </c>
      <c r="D124" s="198">
        <v>33658</v>
      </c>
      <c r="E124" s="198">
        <v>30673</v>
      </c>
    </row>
    <row r="125" spans="1:8" ht="24" customHeight="1" x14ac:dyDescent="0.2">
      <c r="A125" s="44">
        <v>2</v>
      </c>
      <c r="B125" s="48" t="s">
        <v>371</v>
      </c>
      <c r="C125" s="198">
        <v>8016</v>
      </c>
      <c r="D125" s="198">
        <v>7846</v>
      </c>
      <c r="E125" s="198">
        <v>7617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4.148952095808383</v>
      </c>
      <c r="D126" s="199">
        <f>IF(D125=0,0,D124/D125)</f>
        <v>4.289829212337497</v>
      </c>
      <c r="E126" s="199">
        <f>IF(E125=0,0,E124/E125)</f>
        <v>4.0269134829985562</v>
      </c>
    </row>
    <row r="127" spans="1:8" ht="24" customHeight="1" x14ac:dyDescent="0.2">
      <c r="A127" s="44">
        <v>4</v>
      </c>
      <c r="B127" s="48" t="s">
        <v>373</v>
      </c>
      <c r="C127" s="198">
        <v>115</v>
      </c>
      <c r="D127" s="198">
        <v>132</v>
      </c>
      <c r="E127" s="198">
        <v>132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154</v>
      </c>
      <c r="E128" s="198">
        <v>154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154</v>
      </c>
      <c r="D129" s="198">
        <v>154</v>
      </c>
      <c r="E129" s="198">
        <v>154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0.7923</v>
      </c>
      <c r="D130" s="171">
        <v>0.69850000000000001</v>
      </c>
      <c r="E130" s="171">
        <v>0.63660000000000005</v>
      </c>
    </row>
    <row r="131" spans="1:8" ht="24" customHeight="1" x14ac:dyDescent="0.2">
      <c r="A131" s="44">
        <v>7</v>
      </c>
      <c r="B131" s="48" t="s">
        <v>377</v>
      </c>
      <c r="C131" s="171">
        <v>0.59160000000000001</v>
      </c>
      <c r="D131" s="171">
        <v>0.59870000000000001</v>
      </c>
      <c r="E131" s="171">
        <v>0.54559999999999997</v>
      </c>
    </row>
    <row r="132" spans="1:8" ht="24" customHeight="1" x14ac:dyDescent="0.2">
      <c r="A132" s="44">
        <v>8</v>
      </c>
      <c r="B132" s="48" t="s">
        <v>378</v>
      </c>
      <c r="C132" s="199">
        <v>905.1</v>
      </c>
      <c r="D132" s="199">
        <v>899.4</v>
      </c>
      <c r="E132" s="199">
        <v>873.3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0.41765921598779371</v>
      </c>
      <c r="D135" s="203">
        <f>IF(D149=0,0,D143/D149)</f>
        <v>0.3995355943257351</v>
      </c>
      <c r="E135" s="203">
        <f>IF(E149=0,0,E143/E149)</f>
        <v>0.36275305754629994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0.42526059246823456</v>
      </c>
      <c r="D136" s="203">
        <f>IF(D149=0,0,D144/D149)</f>
        <v>0.43990451574452849</v>
      </c>
      <c r="E136" s="203">
        <f>IF(E149=0,0,E144/E149)</f>
        <v>0.44638109284691946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9.9437545296771387E-2</v>
      </c>
      <c r="D137" s="203">
        <f>IF(D149=0,0,D145/D149)</f>
        <v>0.1032273975431945</v>
      </c>
      <c r="E137" s="203">
        <f>IF(E149=0,0,E145/E149)</f>
        <v>0.13533722295398018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3.2265129667771009E-2</v>
      </c>
      <c r="D138" s="203">
        <f>IF(D149=0,0,D146/D149)</f>
        <v>3.7644102210095801E-2</v>
      </c>
      <c r="E138" s="203">
        <f>IF(E149=0,0,E146/E149)</f>
        <v>3.4038701597451114E-2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2.2339695967990597E-2</v>
      </c>
      <c r="D139" s="203">
        <f>IF(D149=0,0,D147/D149)</f>
        <v>1.794331131462629E-2</v>
      </c>
      <c r="E139" s="203">
        <f>IF(E149=0,0,E147/E149)</f>
        <v>1.8010328983749095E-2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3.0378206114387556E-3</v>
      </c>
      <c r="D140" s="203">
        <f>IF(D149=0,0,D148/D149)</f>
        <v>1.7450788618198461E-3</v>
      </c>
      <c r="E140" s="203">
        <f>IF(E149=0,0,E148/E149)</f>
        <v>3.4795960716001851E-3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143871611</v>
      </c>
      <c r="D143" s="205">
        <f>+D46-D147</f>
        <v>143470068</v>
      </c>
      <c r="E143" s="205">
        <f>+E46-E147</f>
        <v>131229997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146490067</v>
      </c>
      <c r="D144" s="205">
        <f>+D51</f>
        <v>157966228</v>
      </c>
      <c r="E144" s="205">
        <f>+E51</f>
        <v>161483379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34253380</v>
      </c>
      <c r="D145" s="205">
        <f>+D55</f>
        <v>37068141</v>
      </c>
      <c r="E145" s="205">
        <f>+E55</f>
        <v>48959762</v>
      </c>
    </row>
    <row r="146" spans="1:7" ht="20.100000000000001" customHeight="1" x14ac:dyDescent="0.2">
      <c r="A146" s="202">
        <v>11</v>
      </c>
      <c r="B146" s="201" t="s">
        <v>390</v>
      </c>
      <c r="C146" s="204">
        <v>11114411</v>
      </c>
      <c r="D146" s="205">
        <v>13517699</v>
      </c>
      <c r="E146" s="205">
        <v>12313883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7695384</v>
      </c>
      <c r="D147" s="205">
        <f>+D47</f>
        <v>6443301</v>
      </c>
      <c r="E147" s="205">
        <f>+E47</f>
        <v>6515439</v>
      </c>
    </row>
    <row r="148" spans="1:7" ht="20.100000000000001" customHeight="1" x14ac:dyDescent="0.2">
      <c r="A148" s="202">
        <v>13</v>
      </c>
      <c r="B148" s="201" t="s">
        <v>392</v>
      </c>
      <c r="C148" s="206">
        <v>1046442</v>
      </c>
      <c r="D148" s="205">
        <v>626644</v>
      </c>
      <c r="E148" s="205">
        <v>1258783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344471295</v>
      </c>
      <c r="D149" s="205">
        <f>SUM(D143:D148)</f>
        <v>359092081</v>
      </c>
      <c r="E149" s="205">
        <f>SUM(E143:E148)</f>
        <v>361761243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0.49896308115601884</v>
      </c>
      <c r="D152" s="203">
        <f>IF(D166=0,0,D160/D166)</f>
        <v>0.5096702342926962</v>
      </c>
      <c r="E152" s="203">
        <f>IF(E166=0,0,E160/E166)</f>
        <v>0.45908594070584141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0.39057539962321319</v>
      </c>
      <c r="D153" s="203">
        <f>IF(D166=0,0,D161/D166)</f>
        <v>0.38769388106143282</v>
      </c>
      <c r="E153" s="203">
        <f>IF(E166=0,0,E161/E166)</f>
        <v>0.41301708697372713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8.4527973497057651E-2</v>
      </c>
      <c r="D154" s="203">
        <f>IF(D166=0,0,D162/D166)</f>
        <v>8.3307168205907861E-2</v>
      </c>
      <c r="E154" s="203">
        <f>IF(E166=0,0,E162/E166)</f>
        <v>0.10494649587385663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2.037778084911962E-2</v>
      </c>
      <c r="D155" s="203">
        <f>IF(D166=0,0,D163/D166)</f>
        <v>1.5422158085976703E-2</v>
      </c>
      <c r="E155" s="203">
        <f>IF(E166=0,0,E163/E166)</f>
        <v>1.7091629701952563E-2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3.2436235218081906E-3</v>
      </c>
      <c r="D156" s="203">
        <f>IF(D166=0,0,D164/D166)</f>
        <v>2.4628765175907581E-3</v>
      </c>
      <c r="E156" s="203">
        <f>IF(E166=0,0,E164/E166)</f>
        <v>3.4243266010682959E-3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2.3121413527825542E-3</v>
      </c>
      <c r="D157" s="203">
        <f>IF(D166=0,0,D165/D166)</f>
        <v>1.4436818363956481E-3</v>
      </c>
      <c r="E157" s="203">
        <f>IF(E166=0,0,E165/E166)</f>
        <v>2.4345201435539568E-3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55607460</v>
      </c>
      <c r="D160" s="208">
        <f>+D44-D164</f>
        <v>60368634</v>
      </c>
      <c r="E160" s="208">
        <f>+E44-E164</f>
        <v>54625212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43528082</v>
      </c>
      <c r="D161" s="208">
        <f>+D50</f>
        <v>45920967</v>
      </c>
      <c r="E161" s="208">
        <f>+E50</f>
        <v>49143622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9420308</v>
      </c>
      <c r="D162" s="208">
        <f>+D54</f>
        <v>9867439</v>
      </c>
      <c r="E162" s="208">
        <f>+E54</f>
        <v>12487258</v>
      </c>
    </row>
    <row r="163" spans="1:6" ht="20.100000000000001" customHeight="1" x14ac:dyDescent="0.2">
      <c r="A163" s="202">
        <v>11</v>
      </c>
      <c r="B163" s="201" t="s">
        <v>406</v>
      </c>
      <c r="C163" s="207">
        <v>2271023</v>
      </c>
      <c r="D163" s="208">
        <v>1826700</v>
      </c>
      <c r="E163" s="208">
        <v>2033680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361489</v>
      </c>
      <c r="D164" s="208">
        <f>+D45</f>
        <v>291719</v>
      </c>
      <c r="E164" s="208">
        <f>+E45</f>
        <v>407450</v>
      </c>
    </row>
    <row r="165" spans="1:6" ht="20.100000000000001" customHeight="1" x14ac:dyDescent="0.2">
      <c r="A165" s="202">
        <v>13</v>
      </c>
      <c r="B165" s="201" t="s">
        <v>408</v>
      </c>
      <c r="C165" s="209">
        <v>257679</v>
      </c>
      <c r="D165" s="208">
        <v>170999</v>
      </c>
      <c r="E165" s="208">
        <v>289676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111446041</v>
      </c>
      <c r="D166" s="208">
        <f>SUM(D160:D165)</f>
        <v>118446458</v>
      </c>
      <c r="E166" s="208">
        <f>SUM(E160:E165)</f>
        <v>118986898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2879</v>
      </c>
      <c r="D169" s="198">
        <v>2731</v>
      </c>
      <c r="E169" s="198">
        <v>2486</v>
      </c>
    </row>
    <row r="170" spans="1:6" ht="20.100000000000001" customHeight="1" x14ac:dyDescent="0.2">
      <c r="A170" s="202">
        <v>2</v>
      </c>
      <c r="B170" s="201" t="s">
        <v>412</v>
      </c>
      <c r="C170" s="198">
        <v>3640</v>
      </c>
      <c r="D170" s="198">
        <v>3597</v>
      </c>
      <c r="E170" s="198">
        <v>3426</v>
      </c>
    </row>
    <row r="171" spans="1:6" ht="20.100000000000001" customHeight="1" x14ac:dyDescent="0.2">
      <c r="A171" s="202">
        <v>3</v>
      </c>
      <c r="B171" s="201" t="s">
        <v>413</v>
      </c>
      <c r="C171" s="198">
        <v>1486</v>
      </c>
      <c r="D171" s="198">
        <v>1507</v>
      </c>
      <c r="E171" s="198">
        <v>1685</v>
      </c>
    </row>
    <row r="172" spans="1:6" ht="20.100000000000001" customHeight="1" x14ac:dyDescent="0.2">
      <c r="A172" s="202">
        <v>4</v>
      </c>
      <c r="B172" s="201" t="s">
        <v>414</v>
      </c>
      <c r="C172" s="198">
        <v>1106</v>
      </c>
      <c r="D172" s="198">
        <v>1084</v>
      </c>
      <c r="E172" s="198">
        <v>1325</v>
      </c>
    </row>
    <row r="173" spans="1:6" ht="20.100000000000001" customHeight="1" x14ac:dyDescent="0.2">
      <c r="A173" s="202">
        <v>5</v>
      </c>
      <c r="B173" s="201" t="s">
        <v>415</v>
      </c>
      <c r="C173" s="198">
        <v>380</v>
      </c>
      <c r="D173" s="198">
        <v>423</v>
      </c>
      <c r="E173" s="198">
        <v>360</v>
      </c>
    </row>
    <row r="174" spans="1:6" ht="20.100000000000001" customHeight="1" x14ac:dyDescent="0.2">
      <c r="A174" s="202">
        <v>6</v>
      </c>
      <c r="B174" s="201" t="s">
        <v>416</v>
      </c>
      <c r="C174" s="198">
        <v>11</v>
      </c>
      <c r="D174" s="198">
        <v>11</v>
      </c>
      <c r="E174" s="198">
        <v>20</v>
      </c>
    </row>
    <row r="175" spans="1:6" ht="20.100000000000001" customHeight="1" x14ac:dyDescent="0.2">
      <c r="A175" s="202">
        <v>7</v>
      </c>
      <c r="B175" s="201" t="s">
        <v>417</v>
      </c>
      <c r="C175" s="198">
        <v>80</v>
      </c>
      <c r="D175" s="198">
        <v>43</v>
      </c>
      <c r="E175" s="198">
        <v>64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8016</v>
      </c>
      <c r="D176" s="198">
        <f>+D169+D170+D171+D174</f>
        <v>7846</v>
      </c>
      <c r="E176" s="198">
        <f>+E169+E170+E171+E174</f>
        <v>7617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0.96930000000000005</v>
      </c>
      <c r="D179" s="210">
        <v>0.95589999999999997</v>
      </c>
      <c r="E179" s="210">
        <v>0.94640000000000002</v>
      </c>
    </row>
    <row r="180" spans="1:6" ht="20.100000000000001" customHeight="1" x14ac:dyDescent="0.2">
      <c r="A180" s="202">
        <v>2</v>
      </c>
      <c r="B180" s="201" t="s">
        <v>412</v>
      </c>
      <c r="C180" s="210">
        <v>1.2802</v>
      </c>
      <c r="D180" s="210">
        <v>1.3004</v>
      </c>
      <c r="E180" s="210">
        <v>1.2873000000000001</v>
      </c>
    </row>
    <row r="181" spans="1:6" ht="20.100000000000001" customHeight="1" x14ac:dyDescent="0.2">
      <c r="A181" s="202">
        <v>3</v>
      </c>
      <c r="B181" s="201" t="s">
        <v>413</v>
      </c>
      <c r="C181" s="210">
        <v>0.80891500000000005</v>
      </c>
      <c r="D181" s="210">
        <v>0.82920000000000005</v>
      </c>
      <c r="E181" s="210">
        <v>0.85442499999999999</v>
      </c>
    </row>
    <row r="182" spans="1:6" ht="20.100000000000001" customHeight="1" x14ac:dyDescent="0.2">
      <c r="A182" s="202">
        <v>4</v>
      </c>
      <c r="B182" s="201" t="s">
        <v>414</v>
      </c>
      <c r="C182" s="210">
        <v>0.77470000000000006</v>
      </c>
      <c r="D182" s="210">
        <v>0.80289999999999995</v>
      </c>
      <c r="E182" s="210">
        <v>0.83899999999999997</v>
      </c>
    </row>
    <row r="183" spans="1:6" ht="20.100000000000001" customHeight="1" x14ac:dyDescent="0.2">
      <c r="A183" s="202">
        <v>5</v>
      </c>
      <c r="B183" s="201" t="s">
        <v>415</v>
      </c>
      <c r="C183" s="210">
        <v>0.90849999999999997</v>
      </c>
      <c r="D183" s="210">
        <v>0.89659999999999995</v>
      </c>
      <c r="E183" s="210">
        <v>0.91120000000000001</v>
      </c>
    </row>
    <row r="184" spans="1:6" ht="20.100000000000001" customHeight="1" x14ac:dyDescent="0.2">
      <c r="A184" s="202">
        <v>6</v>
      </c>
      <c r="B184" s="201" t="s">
        <v>416</v>
      </c>
      <c r="C184" s="210">
        <v>1.6674</v>
      </c>
      <c r="D184" s="210">
        <v>1.054</v>
      </c>
      <c r="E184" s="210">
        <v>1.5094000000000001</v>
      </c>
    </row>
    <row r="185" spans="1:6" ht="20.100000000000001" customHeight="1" x14ac:dyDescent="0.2">
      <c r="A185" s="202">
        <v>7</v>
      </c>
      <c r="B185" s="201" t="s">
        <v>417</v>
      </c>
      <c r="C185" s="210">
        <v>0.92949999999999999</v>
      </c>
      <c r="D185" s="210">
        <v>0.96460000000000001</v>
      </c>
      <c r="E185" s="210">
        <v>0.89229999999999998</v>
      </c>
    </row>
    <row r="186" spans="1:6" ht="20.100000000000001" customHeight="1" x14ac:dyDescent="0.2">
      <c r="A186" s="202">
        <v>8</v>
      </c>
      <c r="B186" s="201" t="s">
        <v>421</v>
      </c>
      <c r="C186" s="210">
        <v>1.0817030000000001</v>
      </c>
      <c r="D186" s="210">
        <v>1.0896380000000001</v>
      </c>
      <c r="E186" s="210">
        <v>1.0808629999999999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5723</v>
      </c>
      <c r="D189" s="198">
        <v>5501</v>
      </c>
      <c r="E189" s="198">
        <v>5467</v>
      </c>
    </row>
    <row r="190" spans="1:6" ht="20.100000000000001" customHeight="1" x14ac:dyDescent="0.2">
      <c r="A190" s="202">
        <v>2</v>
      </c>
      <c r="B190" s="201" t="s">
        <v>425</v>
      </c>
      <c r="C190" s="198">
        <v>34410</v>
      </c>
      <c r="D190" s="198">
        <v>33551</v>
      </c>
      <c r="E190" s="198">
        <v>33293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40133</v>
      </c>
      <c r="D191" s="198">
        <f>+D190+D189</f>
        <v>39052</v>
      </c>
      <c r="E191" s="198">
        <f>+E190+E189</f>
        <v>38760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FILING&amp;RBRISTOL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B35" sqref="B35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18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427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279518</v>
      </c>
      <c r="D14" s="237">
        <v>105291</v>
      </c>
      <c r="E14" s="237">
        <f t="shared" ref="E14:E24" si="0">D14-C14</f>
        <v>-174227</v>
      </c>
      <c r="F14" s="238">
        <f t="shared" ref="F14:F24" si="1">IF(C14=0,0,E14/C14)</f>
        <v>-0.6233122732704155</v>
      </c>
    </row>
    <row r="15" spans="1:7" ht="20.25" customHeight="1" x14ac:dyDescent="0.3">
      <c r="A15" s="235">
        <v>2</v>
      </c>
      <c r="B15" s="236" t="s">
        <v>433</v>
      </c>
      <c r="C15" s="237">
        <v>96469</v>
      </c>
      <c r="D15" s="237">
        <v>49702</v>
      </c>
      <c r="E15" s="237">
        <f t="shared" si="0"/>
        <v>-46767</v>
      </c>
      <c r="F15" s="238">
        <f t="shared" si="1"/>
        <v>-0.48478785931231794</v>
      </c>
    </row>
    <row r="16" spans="1:7" ht="20.25" customHeight="1" x14ac:dyDescent="0.3">
      <c r="A16" s="235">
        <v>3</v>
      </c>
      <c r="B16" s="236" t="s">
        <v>434</v>
      </c>
      <c r="C16" s="237">
        <v>374380</v>
      </c>
      <c r="D16" s="237">
        <v>552121</v>
      </c>
      <c r="E16" s="237">
        <f t="shared" si="0"/>
        <v>177741</v>
      </c>
      <c r="F16" s="238">
        <f t="shared" si="1"/>
        <v>0.47476093808429937</v>
      </c>
    </row>
    <row r="17" spans="1:6" ht="20.25" customHeight="1" x14ac:dyDescent="0.3">
      <c r="A17" s="235">
        <v>4</v>
      </c>
      <c r="B17" s="236" t="s">
        <v>435</v>
      </c>
      <c r="C17" s="237">
        <v>94011</v>
      </c>
      <c r="D17" s="237">
        <v>169047</v>
      </c>
      <c r="E17" s="237">
        <f t="shared" si="0"/>
        <v>75036</v>
      </c>
      <c r="F17" s="238">
        <f t="shared" si="1"/>
        <v>0.79816191722245267</v>
      </c>
    </row>
    <row r="18" spans="1:6" ht="20.25" customHeight="1" x14ac:dyDescent="0.3">
      <c r="A18" s="235">
        <v>5</v>
      </c>
      <c r="B18" s="236" t="s">
        <v>371</v>
      </c>
      <c r="C18" s="239">
        <v>17</v>
      </c>
      <c r="D18" s="239">
        <v>9</v>
      </c>
      <c r="E18" s="239">
        <f t="shared" si="0"/>
        <v>-8</v>
      </c>
      <c r="F18" s="238">
        <f t="shared" si="1"/>
        <v>-0.47058823529411764</v>
      </c>
    </row>
    <row r="19" spans="1:6" ht="20.25" customHeight="1" x14ac:dyDescent="0.3">
      <c r="A19" s="235">
        <v>6</v>
      </c>
      <c r="B19" s="236" t="s">
        <v>370</v>
      </c>
      <c r="C19" s="239">
        <v>59</v>
      </c>
      <c r="D19" s="239">
        <v>19</v>
      </c>
      <c r="E19" s="239">
        <f t="shared" si="0"/>
        <v>-40</v>
      </c>
      <c r="F19" s="238">
        <f t="shared" si="1"/>
        <v>-0.67796610169491522</v>
      </c>
    </row>
    <row r="20" spans="1:6" ht="20.25" customHeight="1" x14ac:dyDescent="0.3">
      <c r="A20" s="235">
        <v>7</v>
      </c>
      <c r="B20" s="236" t="s">
        <v>436</v>
      </c>
      <c r="C20" s="239">
        <v>122</v>
      </c>
      <c r="D20" s="239">
        <v>128</v>
      </c>
      <c r="E20" s="239">
        <f t="shared" si="0"/>
        <v>6</v>
      </c>
      <c r="F20" s="238">
        <f t="shared" si="1"/>
        <v>4.9180327868852458E-2</v>
      </c>
    </row>
    <row r="21" spans="1:6" ht="20.25" customHeight="1" x14ac:dyDescent="0.3">
      <c r="A21" s="235">
        <v>8</v>
      </c>
      <c r="B21" s="236" t="s">
        <v>437</v>
      </c>
      <c r="C21" s="239">
        <v>21</v>
      </c>
      <c r="D21" s="239">
        <v>13</v>
      </c>
      <c r="E21" s="239">
        <f t="shared" si="0"/>
        <v>-8</v>
      </c>
      <c r="F21" s="238">
        <f t="shared" si="1"/>
        <v>-0.38095238095238093</v>
      </c>
    </row>
    <row r="22" spans="1:6" ht="20.25" customHeight="1" x14ac:dyDescent="0.3">
      <c r="A22" s="235">
        <v>9</v>
      </c>
      <c r="B22" s="236" t="s">
        <v>438</v>
      </c>
      <c r="C22" s="239">
        <v>15</v>
      </c>
      <c r="D22" s="239">
        <v>9</v>
      </c>
      <c r="E22" s="239">
        <f t="shared" si="0"/>
        <v>-6</v>
      </c>
      <c r="F22" s="238">
        <f t="shared" si="1"/>
        <v>-0.4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653898</v>
      </c>
      <c r="D23" s="243">
        <f>+D14+D16</f>
        <v>657412</v>
      </c>
      <c r="E23" s="243">
        <f t="shared" si="0"/>
        <v>3514</v>
      </c>
      <c r="F23" s="244">
        <f t="shared" si="1"/>
        <v>5.3739268203909481E-3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190480</v>
      </c>
      <c r="D24" s="243">
        <f>+D15+D17</f>
        <v>218749</v>
      </c>
      <c r="E24" s="243">
        <f t="shared" si="0"/>
        <v>28269</v>
      </c>
      <c r="F24" s="244">
        <f t="shared" si="1"/>
        <v>0.14840928181436372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433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434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435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371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370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436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437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438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2589209</v>
      </c>
      <c r="D40" s="237">
        <v>2137639</v>
      </c>
      <c r="E40" s="237">
        <f t="shared" ref="E40:E50" si="4">D40-C40</f>
        <v>-451570</v>
      </c>
      <c r="F40" s="238">
        <f t="shared" ref="F40:F50" si="5">IF(C40=0,0,E40/C40)</f>
        <v>-0.17440461546364161</v>
      </c>
    </row>
    <row r="41" spans="1:6" ht="20.25" customHeight="1" x14ac:dyDescent="0.3">
      <c r="A41" s="235">
        <v>2</v>
      </c>
      <c r="B41" s="236" t="s">
        <v>433</v>
      </c>
      <c r="C41" s="237">
        <v>914837</v>
      </c>
      <c r="D41" s="237">
        <v>760827</v>
      </c>
      <c r="E41" s="237">
        <f t="shared" si="4"/>
        <v>-154010</v>
      </c>
      <c r="F41" s="238">
        <f t="shared" si="5"/>
        <v>-0.16834692956231548</v>
      </c>
    </row>
    <row r="42" spans="1:6" ht="20.25" customHeight="1" x14ac:dyDescent="0.3">
      <c r="A42" s="235">
        <v>3</v>
      </c>
      <c r="B42" s="236" t="s">
        <v>434</v>
      </c>
      <c r="C42" s="237">
        <v>3370447</v>
      </c>
      <c r="D42" s="237">
        <v>2923209</v>
      </c>
      <c r="E42" s="237">
        <f t="shared" si="4"/>
        <v>-447238</v>
      </c>
      <c r="F42" s="238">
        <f t="shared" si="5"/>
        <v>-0.13269397204584438</v>
      </c>
    </row>
    <row r="43" spans="1:6" ht="20.25" customHeight="1" x14ac:dyDescent="0.3">
      <c r="A43" s="235">
        <v>4</v>
      </c>
      <c r="B43" s="236" t="s">
        <v>435</v>
      </c>
      <c r="C43" s="237">
        <v>610093</v>
      </c>
      <c r="D43" s="237">
        <v>594992</v>
      </c>
      <c r="E43" s="237">
        <f t="shared" si="4"/>
        <v>-15101</v>
      </c>
      <c r="F43" s="238">
        <f t="shared" si="5"/>
        <v>-2.4751964044825953E-2</v>
      </c>
    </row>
    <row r="44" spans="1:6" ht="20.25" customHeight="1" x14ac:dyDescent="0.3">
      <c r="A44" s="235">
        <v>5</v>
      </c>
      <c r="B44" s="236" t="s">
        <v>371</v>
      </c>
      <c r="C44" s="239">
        <v>105</v>
      </c>
      <c r="D44" s="239">
        <v>88</v>
      </c>
      <c r="E44" s="239">
        <f t="shared" si="4"/>
        <v>-17</v>
      </c>
      <c r="F44" s="238">
        <f t="shared" si="5"/>
        <v>-0.16190476190476191</v>
      </c>
    </row>
    <row r="45" spans="1:6" ht="20.25" customHeight="1" x14ac:dyDescent="0.3">
      <c r="A45" s="235">
        <v>6</v>
      </c>
      <c r="B45" s="236" t="s">
        <v>370</v>
      </c>
      <c r="C45" s="239">
        <v>537</v>
      </c>
      <c r="D45" s="239">
        <v>401</v>
      </c>
      <c r="E45" s="239">
        <f t="shared" si="4"/>
        <v>-136</v>
      </c>
      <c r="F45" s="238">
        <f t="shared" si="5"/>
        <v>-0.2532588454376164</v>
      </c>
    </row>
    <row r="46" spans="1:6" ht="20.25" customHeight="1" x14ac:dyDescent="0.3">
      <c r="A46" s="235">
        <v>7</v>
      </c>
      <c r="B46" s="236" t="s">
        <v>436</v>
      </c>
      <c r="C46" s="239">
        <v>1432</v>
      </c>
      <c r="D46" s="239">
        <v>1311</v>
      </c>
      <c r="E46" s="239">
        <f t="shared" si="4"/>
        <v>-121</v>
      </c>
      <c r="F46" s="238">
        <f t="shared" si="5"/>
        <v>-8.4497206703910616E-2</v>
      </c>
    </row>
    <row r="47" spans="1:6" ht="20.25" customHeight="1" x14ac:dyDescent="0.3">
      <c r="A47" s="235">
        <v>8</v>
      </c>
      <c r="B47" s="236" t="s">
        <v>437</v>
      </c>
      <c r="C47" s="239">
        <v>138</v>
      </c>
      <c r="D47" s="239">
        <v>186</v>
      </c>
      <c r="E47" s="239">
        <f t="shared" si="4"/>
        <v>48</v>
      </c>
      <c r="F47" s="238">
        <f t="shared" si="5"/>
        <v>0.34782608695652173</v>
      </c>
    </row>
    <row r="48" spans="1:6" ht="20.25" customHeight="1" x14ac:dyDescent="0.3">
      <c r="A48" s="235">
        <v>9</v>
      </c>
      <c r="B48" s="236" t="s">
        <v>438</v>
      </c>
      <c r="C48" s="239">
        <v>91</v>
      </c>
      <c r="D48" s="239">
        <v>74</v>
      </c>
      <c r="E48" s="239">
        <f t="shared" si="4"/>
        <v>-17</v>
      </c>
      <c r="F48" s="238">
        <f t="shared" si="5"/>
        <v>-0.18681318681318682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5959656</v>
      </c>
      <c r="D49" s="243">
        <f>+D40+D42</f>
        <v>5060848</v>
      </c>
      <c r="E49" s="243">
        <f t="shared" si="4"/>
        <v>-898808</v>
      </c>
      <c r="F49" s="244">
        <f t="shared" si="5"/>
        <v>-0.15081541619180705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1524930</v>
      </c>
      <c r="D50" s="243">
        <f>+D41+D43</f>
        <v>1355819</v>
      </c>
      <c r="E50" s="243">
        <f t="shared" si="4"/>
        <v>-169111</v>
      </c>
      <c r="F50" s="244">
        <f t="shared" si="5"/>
        <v>-0.11089754939570996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7857376</v>
      </c>
      <c r="D53" s="237">
        <v>7751443</v>
      </c>
      <c r="E53" s="237">
        <f t="shared" ref="E53:E63" si="6">D53-C53</f>
        <v>-105933</v>
      </c>
      <c r="F53" s="238">
        <f t="shared" ref="F53:F63" si="7">IF(C53=0,0,E53/C53)</f>
        <v>-1.348198177101363E-2</v>
      </c>
    </row>
    <row r="54" spans="1:6" ht="20.25" customHeight="1" x14ac:dyDescent="0.3">
      <c r="A54" s="235">
        <v>2</v>
      </c>
      <c r="B54" s="236" t="s">
        <v>433</v>
      </c>
      <c r="C54" s="237">
        <v>2766924</v>
      </c>
      <c r="D54" s="237">
        <v>2727746</v>
      </c>
      <c r="E54" s="237">
        <f t="shared" si="6"/>
        <v>-39178</v>
      </c>
      <c r="F54" s="238">
        <f t="shared" si="7"/>
        <v>-1.4159405896222665E-2</v>
      </c>
    </row>
    <row r="55" spans="1:6" ht="20.25" customHeight="1" x14ac:dyDescent="0.3">
      <c r="A55" s="235">
        <v>3</v>
      </c>
      <c r="B55" s="236" t="s">
        <v>434</v>
      </c>
      <c r="C55" s="237">
        <v>8116968</v>
      </c>
      <c r="D55" s="237">
        <v>11408873</v>
      </c>
      <c r="E55" s="237">
        <f t="shared" si="6"/>
        <v>3291905</v>
      </c>
      <c r="F55" s="238">
        <f t="shared" si="7"/>
        <v>0.40555845483190273</v>
      </c>
    </row>
    <row r="56" spans="1:6" ht="20.25" customHeight="1" x14ac:dyDescent="0.3">
      <c r="A56" s="235">
        <v>4</v>
      </c>
      <c r="B56" s="236" t="s">
        <v>435</v>
      </c>
      <c r="C56" s="237">
        <v>1612303</v>
      </c>
      <c r="D56" s="237">
        <v>2061617</v>
      </c>
      <c r="E56" s="237">
        <f t="shared" si="6"/>
        <v>449314</v>
      </c>
      <c r="F56" s="238">
        <f t="shared" si="7"/>
        <v>0.27867838737507777</v>
      </c>
    </row>
    <row r="57" spans="1:6" ht="20.25" customHeight="1" x14ac:dyDescent="0.3">
      <c r="A57" s="235">
        <v>5</v>
      </c>
      <c r="B57" s="236" t="s">
        <v>371</v>
      </c>
      <c r="C57" s="239">
        <v>335</v>
      </c>
      <c r="D57" s="239">
        <v>328</v>
      </c>
      <c r="E57" s="239">
        <f t="shared" si="6"/>
        <v>-7</v>
      </c>
      <c r="F57" s="238">
        <f t="shared" si="7"/>
        <v>-2.0895522388059702E-2</v>
      </c>
    </row>
    <row r="58" spans="1:6" ht="20.25" customHeight="1" x14ac:dyDescent="0.3">
      <c r="A58" s="235">
        <v>6</v>
      </c>
      <c r="B58" s="236" t="s">
        <v>370</v>
      </c>
      <c r="C58" s="239">
        <v>1707</v>
      </c>
      <c r="D58" s="239">
        <v>1607</v>
      </c>
      <c r="E58" s="239">
        <f t="shared" si="6"/>
        <v>-100</v>
      </c>
      <c r="F58" s="238">
        <f t="shared" si="7"/>
        <v>-5.8582308142940832E-2</v>
      </c>
    </row>
    <row r="59" spans="1:6" ht="20.25" customHeight="1" x14ac:dyDescent="0.3">
      <c r="A59" s="235">
        <v>7</v>
      </c>
      <c r="B59" s="236" t="s">
        <v>436</v>
      </c>
      <c r="C59" s="239">
        <v>3736</v>
      </c>
      <c r="D59" s="239">
        <v>3889</v>
      </c>
      <c r="E59" s="239">
        <f t="shared" si="6"/>
        <v>153</v>
      </c>
      <c r="F59" s="238">
        <f t="shared" si="7"/>
        <v>4.0952890792291217E-2</v>
      </c>
    </row>
    <row r="60" spans="1:6" ht="20.25" customHeight="1" x14ac:dyDescent="0.3">
      <c r="A60" s="235">
        <v>8</v>
      </c>
      <c r="B60" s="236" t="s">
        <v>437</v>
      </c>
      <c r="C60" s="239">
        <v>454</v>
      </c>
      <c r="D60" s="239">
        <v>576</v>
      </c>
      <c r="E60" s="239">
        <f t="shared" si="6"/>
        <v>122</v>
      </c>
      <c r="F60" s="238">
        <f t="shared" si="7"/>
        <v>0.2687224669603524</v>
      </c>
    </row>
    <row r="61" spans="1:6" ht="20.25" customHeight="1" x14ac:dyDescent="0.3">
      <c r="A61" s="235">
        <v>9</v>
      </c>
      <c r="B61" s="236" t="s">
        <v>438</v>
      </c>
      <c r="C61" s="239">
        <v>276</v>
      </c>
      <c r="D61" s="239">
        <v>298</v>
      </c>
      <c r="E61" s="239">
        <f t="shared" si="6"/>
        <v>22</v>
      </c>
      <c r="F61" s="238">
        <f t="shared" si="7"/>
        <v>7.9710144927536225E-2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15974344</v>
      </c>
      <c r="D62" s="243">
        <f>+D53+D55</f>
        <v>19160316</v>
      </c>
      <c r="E62" s="243">
        <f t="shared" si="6"/>
        <v>3185972</v>
      </c>
      <c r="F62" s="244">
        <f t="shared" si="7"/>
        <v>0.1994430569418062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4379227</v>
      </c>
      <c r="D63" s="243">
        <f>+D54+D56</f>
        <v>4789363</v>
      </c>
      <c r="E63" s="243">
        <f t="shared" si="6"/>
        <v>410136</v>
      </c>
      <c r="F63" s="244">
        <f t="shared" si="7"/>
        <v>9.3654884754775208E-2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628831</v>
      </c>
      <c r="D66" s="237">
        <v>287300</v>
      </c>
      <c r="E66" s="237">
        <f t="shared" ref="E66:E76" si="8">D66-C66</f>
        <v>-341531</v>
      </c>
      <c r="F66" s="238">
        <f t="shared" ref="F66:F76" si="9">IF(C66=0,0,E66/C66)</f>
        <v>-0.54312048865275409</v>
      </c>
    </row>
    <row r="67" spans="1:6" ht="20.25" customHeight="1" x14ac:dyDescent="0.3">
      <c r="A67" s="235">
        <v>2</v>
      </c>
      <c r="B67" s="236" t="s">
        <v>433</v>
      </c>
      <c r="C67" s="237">
        <v>173268</v>
      </c>
      <c r="D67" s="237">
        <v>95905</v>
      </c>
      <c r="E67" s="237">
        <f t="shared" si="8"/>
        <v>-77363</v>
      </c>
      <c r="F67" s="238">
        <f t="shared" si="9"/>
        <v>-0.44649329362605905</v>
      </c>
    </row>
    <row r="68" spans="1:6" ht="20.25" customHeight="1" x14ac:dyDescent="0.3">
      <c r="A68" s="235">
        <v>3</v>
      </c>
      <c r="B68" s="236" t="s">
        <v>434</v>
      </c>
      <c r="C68" s="237">
        <v>525460</v>
      </c>
      <c r="D68" s="237">
        <v>330214</v>
      </c>
      <c r="E68" s="237">
        <f t="shared" si="8"/>
        <v>-195246</v>
      </c>
      <c r="F68" s="238">
        <f t="shared" si="9"/>
        <v>-0.37157157538157043</v>
      </c>
    </row>
    <row r="69" spans="1:6" ht="20.25" customHeight="1" x14ac:dyDescent="0.3">
      <c r="A69" s="235">
        <v>4</v>
      </c>
      <c r="B69" s="236" t="s">
        <v>435</v>
      </c>
      <c r="C69" s="237">
        <v>96627</v>
      </c>
      <c r="D69" s="237">
        <v>61299</v>
      </c>
      <c r="E69" s="237">
        <f t="shared" si="8"/>
        <v>-35328</v>
      </c>
      <c r="F69" s="238">
        <f t="shared" si="9"/>
        <v>-0.36561209599801298</v>
      </c>
    </row>
    <row r="70" spans="1:6" ht="20.25" customHeight="1" x14ac:dyDescent="0.3">
      <c r="A70" s="235">
        <v>5</v>
      </c>
      <c r="B70" s="236" t="s">
        <v>371</v>
      </c>
      <c r="C70" s="239">
        <v>22</v>
      </c>
      <c r="D70" s="239">
        <v>11</v>
      </c>
      <c r="E70" s="239">
        <f t="shared" si="8"/>
        <v>-11</v>
      </c>
      <c r="F70" s="238">
        <f t="shared" si="9"/>
        <v>-0.5</v>
      </c>
    </row>
    <row r="71" spans="1:6" ht="20.25" customHeight="1" x14ac:dyDescent="0.3">
      <c r="A71" s="235">
        <v>6</v>
      </c>
      <c r="B71" s="236" t="s">
        <v>370</v>
      </c>
      <c r="C71" s="239">
        <v>144</v>
      </c>
      <c r="D71" s="239">
        <v>42</v>
      </c>
      <c r="E71" s="239">
        <f t="shared" si="8"/>
        <v>-102</v>
      </c>
      <c r="F71" s="238">
        <f t="shared" si="9"/>
        <v>-0.70833333333333337</v>
      </c>
    </row>
    <row r="72" spans="1:6" ht="20.25" customHeight="1" x14ac:dyDescent="0.3">
      <c r="A72" s="235">
        <v>7</v>
      </c>
      <c r="B72" s="236" t="s">
        <v>436</v>
      </c>
      <c r="C72" s="239">
        <v>166</v>
      </c>
      <c r="D72" s="239">
        <v>123</v>
      </c>
      <c r="E72" s="239">
        <f t="shared" si="8"/>
        <v>-43</v>
      </c>
      <c r="F72" s="238">
        <f t="shared" si="9"/>
        <v>-0.25903614457831325</v>
      </c>
    </row>
    <row r="73" spans="1:6" ht="20.25" customHeight="1" x14ac:dyDescent="0.3">
      <c r="A73" s="235">
        <v>8</v>
      </c>
      <c r="B73" s="236" t="s">
        <v>437</v>
      </c>
      <c r="C73" s="239">
        <v>47</v>
      </c>
      <c r="D73" s="239">
        <v>39</v>
      </c>
      <c r="E73" s="239">
        <f t="shared" si="8"/>
        <v>-8</v>
      </c>
      <c r="F73" s="238">
        <f t="shared" si="9"/>
        <v>-0.1702127659574468</v>
      </c>
    </row>
    <row r="74" spans="1:6" ht="20.25" customHeight="1" x14ac:dyDescent="0.3">
      <c r="A74" s="235">
        <v>9</v>
      </c>
      <c r="B74" s="236" t="s">
        <v>438</v>
      </c>
      <c r="C74" s="239">
        <v>18</v>
      </c>
      <c r="D74" s="239">
        <v>9</v>
      </c>
      <c r="E74" s="239">
        <f t="shared" si="8"/>
        <v>-9</v>
      </c>
      <c r="F74" s="238">
        <f t="shared" si="9"/>
        <v>-0.5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1154291</v>
      </c>
      <c r="D75" s="243">
        <f>+D66+D68</f>
        <v>617514</v>
      </c>
      <c r="E75" s="243">
        <f t="shared" si="8"/>
        <v>-536777</v>
      </c>
      <c r="F75" s="244">
        <f t="shared" si="9"/>
        <v>-0.4650274497505395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269895</v>
      </c>
      <c r="D76" s="243">
        <f>+D67+D69</f>
        <v>157204</v>
      </c>
      <c r="E76" s="243">
        <f t="shared" si="8"/>
        <v>-112691</v>
      </c>
      <c r="F76" s="244">
        <f t="shared" si="9"/>
        <v>-0.41753644935993628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435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78735</v>
      </c>
      <c r="D92" s="237">
        <v>798872</v>
      </c>
      <c r="E92" s="237">
        <f t="shared" ref="E92:E102" si="12">D92-C92</f>
        <v>720137</v>
      </c>
      <c r="F92" s="238">
        <f t="shared" ref="F92:F102" si="13">IF(C92=0,0,E92/C92)</f>
        <v>9.1463389852035313</v>
      </c>
    </row>
    <row r="93" spans="1:6" ht="20.25" customHeight="1" x14ac:dyDescent="0.3">
      <c r="A93" s="235">
        <v>2</v>
      </c>
      <c r="B93" s="236" t="s">
        <v>433</v>
      </c>
      <c r="C93" s="237">
        <v>23592</v>
      </c>
      <c r="D93" s="237">
        <v>268280</v>
      </c>
      <c r="E93" s="237">
        <f t="shared" si="12"/>
        <v>244688</v>
      </c>
      <c r="F93" s="238">
        <f t="shared" si="13"/>
        <v>10.371651407256698</v>
      </c>
    </row>
    <row r="94" spans="1:6" ht="20.25" customHeight="1" x14ac:dyDescent="0.3">
      <c r="A94" s="235">
        <v>3</v>
      </c>
      <c r="B94" s="236" t="s">
        <v>434</v>
      </c>
      <c r="C94" s="237">
        <v>21513</v>
      </c>
      <c r="D94" s="237">
        <v>634419</v>
      </c>
      <c r="E94" s="237">
        <f t="shared" si="12"/>
        <v>612906</v>
      </c>
      <c r="F94" s="238">
        <f t="shared" si="13"/>
        <v>28.490029284618604</v>
      </c>
    </row>
    <row r="95" spans="1:6" ht="20.25" customHeight="1" x14ac:dyDescent="0.3">
      <c r="A95" s="235">
        <v>4</v>
      </c>
      <c r="B95" s="236" t="s">
        <v>435</v>
      </c>
      <c r="C95" s="237">
        <v>3972</v>
      </c>
      <c r="D95" s="237">
        <v>138636</v>
      </c>
      <c r="E95" s="237">
        <f t="shared" si="12"/>
        <v>134664</v>
      </c>
      <c r="F95" s="238">
        <f t="shared" si="13"/>
        <v>33.903323262839876</v>
      </c>
    </row>
    <row r="96" spans="1:6" ht="20.25" customHeight="1" x14ac:dyDescent="0.3">
      <c r="A96" s="235">
        <v>5</v>
      </c>
      <c r="B96" s="236" t="s">
        <v>371</v>
      </c>
      <c r="C96" s="239">
        <v>3</v>
      </c>
      <c r="D96" s="239">
        <v>30</v>
      </c>
      <c r="E96" s="239">
        <f t="shared" si="12"/>
        <v>27</v>
      </c>
      <c r="F96" s="238">
        <f t="shared" si="13"/>
        <v>9</v>
      </c>
    </row>
    <row r="97" spans="1:6" ht="20.25" customHeight="1" x14ac:dyDescent="0.3">
      <c r="A97" s="235">
        <v>6</v>
      </c>
      <c r="B97" s="236" t="s">
        <v>370</v>
      </c>
      <c r="C97" s="239">
        <v>11</v>
      </c>
      <c r="D97" s="239">
        <v>155</v>
      </c>
      <c r="E97" s="239">
        <f t="shared" si="12"/>
        <v>144</v>
      </c>
      <c r="F97" s="238">
        <f t="shared" si="13"/>
        <v>13.090909090909092</v>
      </c>
    </row>
    <row r="98" spans="1:6" ht="20.25" customHeight="1" x14ac:dyDescent="0.3">
      <c r="A98" s="235">
        <v>7</v>
      </c>
      <c r="B98" s="236" t="s">
        <v>436</v>
      </c>
      <c r="C98" s="239">
        <v>17</v>
      </c>
      <c r="D98" s="239">
        <v>299</v>
      </c>
      <c r="E98" s="239">
        <f t="shared" si="12"/>
        <v>282</v>
      </c>
      <c r="F98" s="238">
        <f t="shared" si="13"/>
        <v>16.588235294117649</v>
      </c>
    </row>
    <row r="99" spans="1:6" ht="20.25" customHeight="1" x14ac:dyDescent="0.3">
      <c r="A99" s="235">
        <v>8</v>
      </c>
      <c r="B99" s="236" t="s">
        <v>437</v>
      </c>
      <c r="C99" s="239">
        <v>6</v>
      </c>
      <c r="D99" s="239">
        <v>67</v>
      </c>
      <c r="E99" s="239">
        <f t="shared" si="12"/>
        <v>61</v>
      </c>
      <c r="F99" s="238">
        <f t="shared" si="13"/>
        <v>10.166666666666666</v>
      </c>
    </row>
    <row r="100" spans="1:6" ht="20.25" customHeight="1" x14ac:dyDescent="0.3">
      <c r="A100" s="235">
        <v>9</v>
      </c>
      <c r="B100" s="236" t="s">
        <v>438</v>
      </c>
      <c r="C100" s="239">
        <v>2</v>
      </c>
      <c r="D100" s="239">
        <v>27</v>
      </c>
      <c r="E100" s="239">
        <f t="shared" si="12"/>
        <v>25</v>
      </c>
      <c r="F100" s="238">
        <f t="shared" si="13"/>
        <v>12.5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100248</v>
      </c>
      <c r="D101" s="243">
        <f>+D92+D94</f>
        <v>1433291</v>
      </c>
      <c r="E101" s="243">
        <f t="shared" si="12"/>
        <v>1333043</v>
      </c>
      <c r="F101" s="244">
        <f t="shared" si="13"/>
        <v>13.297452318250738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27564</v>
      </c>
      <c r="D102" s="243">
        <f>+D93+D95</f>
        <v>406916</v>
      </c>
      <c r="E102" s="243">
        <f t="shared" si="12"/>
        <v>379352</v>
      </c>
      <c r="F102" s="244">
        <f t="shared" si="13"/>
        <v>13.762588884051661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493474</v>
      </c>
      <c r="D105" s="237">
        <v>418304</v>
      </c>
      <c r="E105" s="237">
        <f t="shared" ref="E105:E115" si="14">D105-C105</f>
        <v>-75170</v>
      </c>
      <c r="F105" s="238">
        <f t="shared" ref="F105:F115" si="15">IF(C105=0,0,E105/C105)</f>
        <v>-0.15232818750329297</v>
      </c>
    </row>
    <row r="106" spans="1:6" ht="20.25" customHeight="1" x14ac:dyDescent="0.3">
      <c r="A106" s="235">
        <v>2</v>
      </c>
      <c r="B106" s="236" t="s">
        <v>433</v>
      </c>
      <c r="C106" s="237">
        <v>125527</v>
      </c>
      <c r="D106" s="237">
        <v>132804</v>
      </c>
      <c r="E106" s="237">
        <f t="shared" si="14"/>
        <v>7277</v>
      </c>
      <c r="F106" s="238">
        <f t="shared" si="15"/>
        <v>5.7971591769101466E-2</v>
      </c>
    </row>
    <row r="107" spans="1:6" ht="20.25" customHeight="1" x14ac:dyDescent="0.3">
      <c r="A107" s="235">
        <v>3</v>
      </c>
      <c r="B107" s="236" t="s">
        <v>434</v>
      </c>
      <c r="C107" s="237">
        <v>426670</v>
      </c>
      <c r="D107" s="237">
        <v>268878</v>
      </c>
      <c r="E107" s="237">
        <f t="shared" si="14"/>
        <v>-157792</v>
      </c>
      <c r="F107" s="238">
        <f t="shared" si="15"/>
        <v>-0.36982211076475963</v>
      </c>
    </row>
    <row r="108" spans="1:6" ht="20.25" customHeight="1" x14ac:dyDescent="0.3">
      <c r="A108" s="235">
        <v>4</v>
      </c>
      <c r="B108" s="236" t="s">
        <v>435</v>
      </c>
      <c r="C108" s="237">
        <v>78878</v>
      </c>
      <c r="D108" s="237">
        <v>52895</v>
      </c>
      <c r="E108" s="237">
        <f t="shared" si="14"/>
        <v>-25983</v>
      </c>
      <c r="F108" s="238">
        <f t="shared" si="15"/>
        <v>-0.32940743933669719</v>
      </c>
    </row>
    <row r="109" spans="1:6" ht="20.25" customHeight="1" x14ac:dyDescent="0.3">
      <c r="A109" s="235">
        <v>5</v>
      </c>
      <c r="B109" s="236" t="s">
        <v>371</v>
      </c>
      <c r="C109" s="239">
        <v>21</v>
      </c>
      <c r="D109" s="239">
        <v>18</v>
      </c>
      <c r="E109" s="239">
        <f t="shared" si="14"/>
        <v>-3</v>
      </c>
      <c r="F109" s="238">
        <f t="shared" si="15"/>
        <v>-0.14285714285714285</v>
      </c>
    </row>
    <row r="110" spans="1:6" ht="20.25" customHeight="1" x14ac:dyDescent="0.3">
      <c r="A110" s="235">
        <v>6</v>
      </c>
      <c r="B110" s="236" t="s">
        <v>370</v>
      </c>
      <c r="C110" s="239">
        <v>109</v>
      </c>
      <c r="D110" s="239">
        <v>81</v>
      </c>
      <c r="E110" s="239">
        <f t="shared" si="14"/>
        <v>-28</v>
      </c>
      <c r="F110" s="238">
        <f t="shared" si="15"/>
        <v>-0.25688073394495414</v>
      </c>
    </row>
    <row r="111" spans="1:6" ht="20.25" customHeight="1" x14ac:dyDescent="0.3">
      <c r="A111" s="235">
        <v>7</v>
      </c>
      <c r="B111" s="236" t="s">
        <v>436</v>
      </c>
      <c r="C111" s="239">
        <v>275</v>
      </c>
      <c r="D111" s="239">
        <v>128</v>
      </c>
      <c r="E111" s="239">
        <f t="shared" si="14"/>
        <v>-147</v>
      </c>
      <c r="F111" s="238">
        <f t="shared" si="15"/>
        <v>-0.53454545454545455</v>
      </c>
    </row>
    <row r="112" spans="1:6" ht="20.25" customHeight="1" x14ac:dyDescent="0.3">
      <c r="A112" s="235">
        <v>8</v>
      </c>
      <c r="B112" s="236" t="s">
        <v>437</v>
      </c>
      <c r="C112" s="239">
        <v>97</v>
      </c>
      <c r="D112" s="239">
        <v>79</v>
      </c>
      <c r="E112" s="239">
        <f t="shared" si="14"/>
        <v>-18</v>
      </c>
      <c r="F112" s="238">
        <f t="shared" si="15"/>
        <v>-0.18556701030927836</v>
      </c>
    </row>
    <row r="113" spans="1:6" ht="20.25" customHeight="1" x14ac:dyDescent="0.3">
      <c r="A113" s="235">
        <v>9</v>
      </c>
      <c r="B113" s="236" t="s">
        <v>438</v>
      </c>
      <c r="C113" s="239">
        <v>20</v>
      </c>
      <c r="D113" s="239">
        <v>17</v>
      </c>
      <c r="E113" s="239">
        <f t="shared" si="14"/>
        <v>-3</v>
      </c>
      <c r="F113" s="238">
        <f t="shared" si="15"/>
        <v>-0.15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920144</v>
      </c>
      <c r="D114" s="243">
        <f>+D105+D107</f>
        <v>687182</v>
      </c>
      <c r="E114" s="243">
        <f t="shared" si="14"/>
        <v>-232962</v>
      </c>
      <c r="F114" s="244">
        <f t="shared" si="15"/>
        <v>-0.25317993705333081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204405</v>
      </c>
      <c r="D115" s="243">
        <f>+D106+D108</f>
        <v>185699</v>
      </c>
      <c r="E115" s="243">
        <f t="shared" si="14"/>
        <v>-18706</v>
      </c>
      <c r="F115" s="244">
        <f t="shared" si="15"/>
        <v>-9.1514395440424653E-2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478002</v>
      </c>
      <c r="D118" s="237">
        <v>1151529</v>
      </c>
      <c r="E118" s="237">
        <f t="shared" ref="E118:E128" si="16">D118-C118</f>
        <v>673527</v>
      </c>
      <c r="F118" s="238">
        <f t="shared" ref="F118:F128" si="17">IF(C118=0,0,E118/C118)</f>
        <v>1.4090464056635745</v>
      </c>
    </row>
    <row r="119" spans="1:6" ht="20.25" customHeight="1" x14ac:dyDescent="0.3">
      <c r="A119" s="235">
        <v>2</v>
      </c>
      <c r="B119" s="236" t="s">
        <v>433</v>
      </c>
      <c r="C119" s="237">
        <v>198690</v>
      </c>
      <c r="D119" s="237">
        <v>574680</v>
      </c>
      <c r="E119" s="237">
        <f t="shared" si="16"/>
        <v>375990</v>
      </c>
      <c r="F119" s="238">
        <f t="shared" si="17"/>
        <v>1.8923448588253058</v>
      </c>
    </row>
    <row r="120" spans="1:6" ht="20.25" customHeight="1" x14ac:dyDescent="0.3">
      <c r="A120" s="235">
        <v>3</v>
      </c>
      <c r="B120" s="236" t="s">
        <v>434</v>
      </c>
      <c r="C120" s="237">
        <v>381495</v>
      </c>
      <c r="D120" s="237">
        <v>1130645</v>
      </c>
      <c r="E120" s="237">
        <f t="shared" si="16"/>
        <v>749150</v>
      </c>
      <c r="F120" s="238">
        <f t="shared" si="17"/>
        <v>1.9637216739406806</v>
      </c>
    </row>
    <row r="121" spans="1:6" ht="20.25" customHeight="1" x14ac:dyDescent="0.3">
      <c r="A121" s="235">
        <v>4</v>
      </c>
      <c r="B121" s="236" t="s">
        <v>435</v>
      </c>
      <c r="C121" s="237">
        <v>95576</v>
      </c>
      <c r="D121" s="237">
        <v>385412</v>
      </c>
      <c r="E121" s="237">
        <f t="shared" si="16"/>
        <v>289836</v>
      </c>
      <c r="F121" s="238">
        <f t="shared" si="17"/>
        <v>3.0325186239223236</v>
      </c>
    </row>
    <row r="122" spans="1:6" ht="20.25" customHeight="1" x14ac:dyDescent="0.3">
      <c r="A122" s="235">
        <v>5</v>
      </c>
      <c r="B122" s="236" t="s">
        <v>371</v>
      </c>
      <c r="C122" s="239">
        <v>17</v>
      </c>
      <c r="D122" s="239">
        <v>51</v>
      </c>
      <c r="E122" s="239">
        <f t="shared" si="16"/>
        <v>34</v>
      </c>
      <c r="F122" s="238">
        <f t="shared" si="17"/>
        <v>2</v>
      </c>
    </row>
    <row r="123" spans="1:6" ht="20.25" customHeight="1" x14ac:dyDescent="0.3">
      <c r="A123" s="235">
        <v>6</v>
      </c>
      <c r="B123" s="236" t="s">
        <v>370</v>
      </c>
      <c r="C123" s="239">
        <v>112</v>
      </c>
      <c r="D123" s="239">
        <v>232</v>
      </c>
      <c r="E123" s="239">
        <f t="shared" si="16"/>
        <v>120</v>
      </c>
      <c r="F123" s="238">
        <f t="shared" si="17"/>
        <v>1.0714285714285714</v>
      </c>
    </row>
    <row r="124" spans="1:6" ht="20.25" customHeight="1" x14ac:dyDescent="0.3">
      <c r="A124" s="235">
        <v>7</v>
      </c>
      <c r="B124" s="236" t="s">
        <v>436</v>
      </c>
      <c r="C124" s="239">
        <v>260</v>
      </c>
      <c r="D124" s="239">
        <v>657</v>
      </c>
      <c r="E124" s="239">
        <f t="shared" si="16"/>
        <v>397</v>
      </c>
      <c r="F124" s="238">
        <f t="shared" si="17"/>
        <v>1.5269230769230768</v>
      </c>
    </row>
    <row r="125" spans="1:6" ht="20.25" customHeight="1" x14ac:dyDescent="0.3">
      <c r="A125" s="235">
        <v>8</v>
      </c>
      <c r="B125" s="236" t="s">
        <v>437</v>
      </c>
      <c r="C125" s="239">
        <v>34</v>
      </c>
      <c r="D125" s="239">
        <v>80</v>
      </c>
      <c r="E125" s="239">
        <f t="shared" si="16"/>
        <v>46</v>
      </c>
      <c r="F125" s="238">
        <f t="shared" si="17"/>
        <v>1.3529411764705883</v>
      </c>
    </row>
    <row r="126" spans="1:6" ht="20.25" customHeight="1" x14ac:dyDescent="0.3">
      <c r="A126" s="235">
        <v>9</v>
      </c>
      <c r="B126" s="236" t="s">
        <v>438</v>
      </c>
      <c r="C126" s="239">
        <v>15</v>
      </c>
      <c r="D126" s="239">
        <v>41</v>
      </c>
      <c r="E126" s="239">
        <f t="shared" si="16"/>
        <v>26</v>
      </c>
      <c r="F126" s="238">
        <f t="shared" si="17"/>
        <v>1.7333333333333334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859497</v>
      </c>
      <c r="D127" s="243">
        <f>+D118+D120</f>
        <v>2282174</v>
      </c>
      <c r="E127" s="243">
        <f t="shared" si="16"/>
        <v>1422677</v>
      </c>
      <c r="F127" s="244">
        <f t="shared" si="17"/>
        <v>1.6552437064934491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294266</v>
      </c>
      <c r="D128" s="243">
        <f>+D119+D121</f>
        <v>960092</v>
      </c>
      <c r="E128" s="243">
        <f t="shared" si="16"/>
        <v>665826</v>
      </c>
      <c r="F128" s="244">
        <f t="shared" si="17"/>
        <v>2.2626671107093581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27088</v>
      </c>
      <c r="D131" s="237">
        <v>9283</v>
      </c>
      <c r="E131" s="237">
        <f t="shared" ref="E131:E141" si="18">D131-C131</f>
        <v>-17805</v>
      </c>
      <c r="F131" s="238">
        <f t="shared" ref="F131:F141" si="19">IF(C131=0,0,E131/C131)</f>
        <v>-0.65730212640283525</v>
      </c>
    </row>
    <row r="132" spans="1:6" ht="20.25" customHeight="1" x14ac:dyDescent="0.3">
      <c r="A132" s="235">
        <v>2</v>
      </c>
      <c r="B132" s="236" t="s">
        <v>433</v>
      </c>
      <c r="C132" s="237">
        <v>14002</v>
      </c>
      <c r="D132" s="237">
        <v>7063</v>
      </c>
      <c r="E132" s="237">
        <f t="shared" si="18"/>
        <v>-6939</v>
      </c>
      <c r="F132" s="238">
        <f t="shared" si="19"/>
        <v>-0.49557206113412372</v>
      </c>
    </row>
    <row r="133" spans="1:6" ht="20.25" customHeight="1" x14ac:dyDescent="0.3">
      <c r="A133" s="235">
        <v>3</v>
      </c>
      <c r="B133" s="236" t="s">
        <v>434</v>
      </c>
      <c r="C133" s="237">
        <v>18255</v>
      </c>
      <c r="D133" s="237">
        <v>12448</v>
      </c>
      <c r="E133" s="237">
        <f t="shared" si="18"/>
        <v>-5807</v>
      </c>
      <c r="F133" s="238">
        <f t="shared" si="19"/>
        <v>-0.31810462886880309</v>
      </c>
    </row>
    <row r="134" spans="1:6" ht="20.25" customHeight="1" x14ac:dyDescent="0.3">
      <c r="A134" s="235">
        <v>4</v>
      </c>
      <c r="B134" s="236" t="s">
        <v>435</v>
      </c>
      <c r="C134" s="237">
        <v>8628</v>
      </c>
      <c r="D134" s="237">
        <v>1515</v>
      </c>
      <c r="E134" s="237">
        <f t="shared" si="18"/>
        <v>-7113</v>
      </c>
      <c r="F134" s="238">
        <f t="shared" si="19"/>
        <v>-0.82440890125173849</v>
      </c>
    </row>
    <row r="135" spans="1:6" ht="20.25" customHeight="1" x14ac:dyDescent="0.3">
      <c r="A135" s="235">
        <v>5</v>
      </c>
      <c r="B135" s="236" t="s">
        <v>371</v>
      </c>
      <c r="C135" s="239">
        <v>1</v>
      </c>
      <c r="D135" s="239">
        <v>1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370</v>
      </c>
      <c r="C136" s="239">
        <v>3</v>
      </c>
      <c r="D136" s="239">
        <v>2</v>
      </c>
      <c r="E136" s="239">
        <f t="shared" si="18"/>
        <v>-1</v>
      </c>
      <c r="F136" s="238">
        <f t="shared" si="19"/>
        <v>-0.33333333333333331</v>
      </c>
    </row>
    <row r="137" spans="1:6" ht="20.25" customHeight="1" x14ac:dyDescent="0.3">
      <c r="A137" s="235">
        <v>7</v>
      </c>
      <c r="B137" s="236" t="s">
        <v>436</v>
      </c>
      <c r="C137" s="239">
        <v>10</v>
      </c>
      <c r="D137" s="239">
        <v>4</v>
      </c>
      <c r="E137" s="239">
        <f t="shared" si="18"/>
        <v>-6</v>
      </c>
      <c r="F137" s="238">
        <f t="shared" si="19"/>
        <v>-0.6</v>
      </c>
    </row>
    <row r="138" spans="1:6" ht="20.25" customHeight="1" x14ac:dyDescent="0.3">
      <c r="A138" s="235">
        <v>8</v>
      </c>
      <c r="B138" s="236" t="s">
        <v>437</v>
      </c>
      <c r="C138" s="239">
        <v>6</v>
      </c>
      <c r="D138" s="239">
        <v>4</v>
      </c>
      <c r="E138" s="239">
        <f t="shared" si="18"/>
        <v>-2</v>
      </c>
      <c r="F138" s="238">
        <f t="shared" si="19"/>
        <v>-0.33333333333333331</v>
      </c>
    </row>
    <row r="139" spans="1:6" ht="20.25" customHeight="1" x14ac:dyDescent="0.3">
      <c r="A139" s="235">
        <v>9</v>
      </c>
      <c r="B139" s="236" t="s">
        <v>438</v>
      </c>
      <c r="C139" s="239">
        <v>1</v>
      </c>
      <c r="D139" s="239">
        <v>1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45343</v>
      </c>
      <c r="D140" s="243">
        <f>+D131+D133</f>
        <v>21731</v>
      </c>
      <c r="E140" s="243">
        <f t="shared" si="18"/>
        <v>-23612</v>
      </c>
      <c r="F140" s="244">
        <f t="shared" si="19"/>
        <v>-0.52074190062413162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22630</v>
      </c>
      <c r="D141" s="243">
        <f>+D132+D134</f>
        <v>8578</v>
      </c>
      <c r="E141" s="243">
        <f t="shared" si="18"/>
        <v>-14052</v>
      </c>
      <c r="F141" s="244">
        <f t="shared" si="19"/>
        <v>-0.62094564737074676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869270</v>
      </c>
      <c r="D183" s="237">
        <v>721940</v>
      </c>
      <c r="E183" s="237">
        <f t="shared" ref="E183:E193" si="26">D183-C183</f>
        <v>-147330</v>
      </c>
      <c r="F183" s="238">
        <f t="shared" ref="F183:F193" si="27">IF(C183=0,0,E183/C183)</f>
        <v>-0.1694870408503687</v>
      </c>
    </row>
    <row r="184" spans="1:6" ht="20.25" customHeight="1" x14ac:dyDescent="0.3">
      <c r="A184" s="235">
        <v>2</v>
      </c>
      <c r="B184" s="236" t="s">
        <v>433</v>
      </c>
      <c r="C184" s="237">
        <v>317237</v>
      </c>
      <c r="D184" s="237">
        <v>265285</v>
      </c>
      <c r="E184" s="237">
        <f t="shared" si="26"/>
        <v>-51952</v>
      </c>
      <c r="F184" s="238">
        <f t="shared" si="27"/>
        <v>-0.16376399978564921</v>
      </c>
    </row>
    <row r="185" spans="1:6" ht="20.25" customHeight="1" x14ac:dyDescent="0.3">
      <c r="A185" s="235">
        <v>3</v>
      </c>
      <c r="B185" s="236" t="s">
        <v>434</v>
      </c>
      <c r="C185" s="237">
        <v>809421</v>
      </c>
      <c r="D185" s="237">
        <v>469595</v>
      </c>
      <c r="E185" s="237">
        <f t="shared" si="26"/>
        <v>-339826</v>
      </c>
      <c r="F185" s="238">
        <f t="shared" si="27"/>
        <v>-0.4198383782975732</v>
      </c>
    </row>
    <row r="186" spans="1:6" ht="20.25" customHeight="1" x14ac:dyDescent="0.3">
      <c r="A186" s="235">
        <v>4</v>
      </c>
      <c r="B186" s="236" t="s">
        <v>435</v>
      </c>
      <c r="C186" s="237">
        <v>156233</v>
      </c>
      <c r="D186" s="237">
        <v>98398</v>
      </c>
      <c r="E186" s="237">
        <f t="shared" si="26"/>
        <v>-57835</v>
      </c>
      <c r="F186" s="238">
        <f t="shared" si="27"/>
        <v>-0.37018427604923415</v>
      </c>
    </row>
    <row r="187" spans="1:6" ht="20.25" customHeight="1" x14ac:dyDescent="0.3">
      <c r="A187" s="235">
        <v>5</v>
      </c>
      <c r="B187" s="236" t="s">
        <v>371</v>
      </c>
      <c r="C187" s="239">
        <v>46</v>
      </c>
      <c r="D187" s="239">
        <v>38</v>
      </c>
      <c r="E187" s="239">
        <f t="shared" si="26"/>
        <v>-8</v>
      </c>
      <c r="F187" s="238">
        <f t="shared" si="27"/>
        <v>-0.17391304347826086</v>
      </c>
    </row>
    <row r="188" spans="1:6" ht="20.25" customHeight="1" x14ac:dyDescent="0.3">
      <c r="A188" s="235">
        <v>6</v>
      </c>
      <c r="B188" s="236" t="s">
        <v>370</v>
      </c>
      <c r="C188" s="239">
        <v>213</v>
      </c>
      <c r="D188" s="239">
        <v>193</v>
      </c>
      <c r="E188" s="239">
        <f t="shared" si="26"/>
        <v>-20</v>
      </c>
      <c r="F188" s="238">
        <f t="shared" si="27"/>
        <v>-9.3896713615023469E-2</v>
      </c>
    </row>
    <row r="189" spans="1:6" ht="20.25" customHeight="1" x14ac:dyDescent="0.3">
      <c r="A189" s="235">
        <v>7</v>
      </c>
      <c r="B189" s="236" t="s">
        <v>436</v>
      </c>
      <c r="C189" s="239">
        <v>412</v>
      </c>
      <c r="D189" s="239">
        <v>271</v>
      </c>
      <c r="E189" s="239">
        <f t="shared" si="26"/>
        <v>-141</v>
      </c>
      <c r="F189" s="238">
        <f t="shared" si="27"/>
        <v>-0.34223300970873788</v>
      </c>
    </row>
    <row r="190" spans="1:6" ht="20.25" customHeight="1" x14ac:dyDescent="0.3">
      <c r="A190" s="235">
        <v>8</v>
      </c>
      <c r="B190" s="236" t="s">
        <v>437</v>
      </c>
      <c r="C190" s="239">
        <v>112</v>
      </c>
      <c r="D190" s="239">
        <v>54</v>
      </c>
      <c r="E190" s="239">
        <f t="shared" si="26"/>
        <v>-58</v>
      </c>
      <c r="F190" s="238">
        <f t="shared" si="27"/>
        <v>-0.5178571428571429</v>
      </c>
    </row>
    <row r="191" spans="1:6" ht="20.25" customHeight="1" x14ac:dyDescent="0.3">
      <c r="A191" s="235">
        <v>9</v>
      </c>
      <c r="B191" s="236" t="s">
        <v>438</v>
      </c>
      <c r="C191" s="239">
        <v>46</v>
      </c>
      <c r="D191" s="239">
        <v>38</v>
      </c>
      <c r="E191" s="239">
        <f t="shared" si="26"/>
        <v>-8</v>
      </c>
      <c r="F191" s="238">
        <f t="shared" si="27"/>
        <v>-0.17391304347826086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1678691</v>
      </c>
      <c r="D192" s="243">
        <f>+D183+D185</f>
        <v>1191535</v>
      </c>
      <c r="E192" s="243">
        <f t="shared" si="26"/>
        <v>-487156</v>
      </c>
      <c r="F192" s="244">
        <f t="shared" si="27"/>
        <v>-0.29019992363097197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473470</v>
      </c>
      <c r="D193" s="243">
        <f>+D184+D186</f>
        <v>363683</v>
      </c>
      <c r="E193" s="243">
        <f t="shared" si="26"/>
        <v>-109787</v>
      </c>
      <c r="F193" s="244">
        <f t="shared" si="27"/>
        <v>-0.23187741567575559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457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13301503</v>
      </c>
      <c r="D198" s="243">
        <f t="shared" si="28"/>
        <v>13381601</v>
      </c>
      <c r="E198" s="243">
        <f t="shared" ref="E198:E208" si="29">D198-C198</f>
        <v>80098</v>
      </c>
      <c r="F198" s="251">
        <f t="shared" ref="F198:F208" si="30">IF(C198=0,0,E198/C198)</f>
        <v>6.0217255147782924E-3</v>
      </c>
    </row>
    <row r="199" spans="1:9" ht="20.25" customHeight="1" x14ac:dyDescent="0.3">
      <c r="A199" s="249"/>
      <c r="B199" s="250" t="s">
        <v>459</v>
      </c>
      <c r="C199" s="243">
        <f t="shared" si="28"/>
        <v>4630546</v>
      </c>
      <c r="D199" s="243">
        <f t="shared" si="28"/>
        <v>4882292</v>
      </c>
      <c r="E199" s="243">
        <f t="shared" si="29"/>
        <v>251746</v>
      </c>
      <c r="F199" s="251">
        <f t="shared" si="30"/>
        <v>5.4366374937210429E-2</v>
      </c>
    </row>
    <row r="200" spans="1:9" ht="20.25" customHeight="1" x14ac:dyDescent="0.3">
      <c r="A200" s="249"/>
      <c r="B200" s="250" t="s">
        <v>460</v>
      </c>
      <c r="C200" s="243">
        <f t="shared" si="28"/>
        <v>14044609</v>
      </c>
      <c r="D200" s="243">
        <f t="shared" si="28"/>
        <v>17730402</v>
      </c>
      <c r="E200" s="243">
        <f t="shared" si="29"/>
        <v>3685793</v>
      </c>
      <c r="F200" s="251">
        <f t="shared" si="30"/>
        <v>0.26243471783372541</v>
      </c>
    </row>
    <row r="201" spans="1:9" ht="20.25" customHeight="1" x14ac:dyDescent="0.3">
      <c r="A201" s="249"/>
      <c r="B201" s="250" t="s">
        <v>461</v>
      </c>
      <c r="C201" s="243">
        <f t="shared" si="28"/>
        <v>2756321</v>
      </c>
      <c r="D201" s="243">
        <f t="shared" si="28"/>
        <v>3563811</v>
      </c>
      <c r="E201" s="243">
        <f t="shared" si="29"/>
        <v>807490</v>
      </c>
      <c r="F201" s="251">
        <f t="shared" si="30"/>
        <v>0.29295934689754932</v>
      </c>
    </row>
    <row r="202" spans="1:9" ht="20.25" customHeight="1" x14ac:dyDescent="0.3">
      <c r="A202" s="249"/>
      <c r="B202" s="250" t="s">
        <v>462</v>
      </c>
      <c r="C202" s="252">
        <f t="shared" si="28"/>
        <v>567</v>
      </c>
      <c r="D202" s="252">
        <f t="shared" si="28"/>
        <v>574</v>
      </c>
      <c r="E202" s="252">
        <f t="shared" si="29"/>
        <v>7</v>
      </c>
      <c r="F202" s="251">
        <f t="shared" si="30"/>
        <v>1.2345679012345678E-2</v>
      </c>
    </row>
    <row r="203" spans="1:9" ht="20.25" customHeight="1" x14ac:dyDescent="0.3">
      <c r="A203" s="249"/>
      <c r="B203" s="250" t="s">
        <v>463</v>
      </c>
      <c r="C203" s="252">
        <f t="shared" si="28"/>
        <v>2895</v>
      </c>
      <c r="D203" s="252">
        <f t="shared" si="28"/>
        <v>2732</v>
      </c>
      <c r="E203" s="252">
        <f t="shared" si="29"/>
        <v>-163</v>
      </c>
      <c r="F203" s="251">
        <f t="shared" si="30"/>
        <v>-5.6303972366148529E-2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6430</v>
      </c>
      <c r="D204" s="252">
        <f t="shared" si="28"/>
        <v>6810</v>
      </c>
      <c r="E204" s="252">
        <f t="shared" si="29"/>
        <v>380</v>
      </c>
      <c r="F204" s="251">
        <f t="shared" si="30"/>
        <v>5.909797822706065E-2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915</v>
      </c>
      <c r="D205" s="252">
        <f t="shared" si="28"/>
        <v>1098</v>
      </c>
      <c r="E205" s="252">
        <f t="shared" si="29"/>
        <v>183</v>
      </c>
      <c r="F205" s="251">
        <f t="shared" si="30"/>
        <v>0.2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484</v>
      </c>
      <c r="D206" s="252">
        <f t="shared" si="28"/>
        <v>514</v>
      </c>
      <c r="E206" s="252">
        <f t="shared" si="29"/>
        <v>30</v>
      </c>
      <c r="F206" s="251">
        <f t="shared" si="30"/>
        <v>6.1983471074380167E-2</v>
      </c>
    </row>
    <row r="207" spans="1:9" ht="20.25" customHeight="1" x14ac:dyDescent="0.3">
      <c r="A207" s="249"/>
      <c r="B207" s="242" t="s">
        <v>467</v>
      </c>
      <c r="C207" s="243">
        <f>+C198+C200</f>
        <v>27346112</v>
      </c>
      <c r="D207" s="243">
        <f>+D198+D200</f>
        <v>31112003</v>
      </c>
      <c r="E207" s="243">
        <f t="shared" si="29"/>
        <v>3765891</v>
      </c>
      <c r="F207" s="251">
        <f t="shared" si="30"/>
        <v>0.13771211790546312</v>
      </c>
    </row>
    <row r="208" spans="1:9" ht="20.25" customHeight="1" x14ac:dyDescent="0.3">
      <c r="A208" s="249"/>
      <c r="B208" s="242" t="s">
        <v>468</v>
      </c>
      <c r="C208" s="243">
        <f>+C199+C201</f>
        <v>7386867</v>
      </c>
      <c r="D208" s="243">
        <f>+D199+D201</f>
        <v>8446103</v>
      </c>
      <c r="E208" s="243">
        <f t="shared" si="29"/>
        <v>1059236</v>
      </c>
      <c r="F208" s="251">
        <f t="shared" si="30"/>
        <v>0.14339448645819669</v>
      </c>
    </row>
  </sheetData>
  <mergeCells count="12">
    <mergeCell ref="G195:I196"/>
    <mergeCell ref="A10:A11"/>
    <mergeCell ref="B10:B11"/>
    <mergeCell ref="C10:F11"/>
    <mergeCell ref="A195:A196"/>
    <mergeCell ref="B195:B196"/>
    <mergeCell ref="C195:F196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35" sqref="B3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5" width="22.85546875" style="211" customWidth="1"/>
    <col min="6" max="6" width="18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469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1355456</v>
      </c>
      <c r="D14" s="237">
        <v>6077</v>
      </c>
      <c r="E14" s="237">
        <f t="shared" ref="E14:E24" si="0">D14-C14</f>
        <v>-1349379</v>
      </c>
      <c r="F14" s="238">
        <f t="shared" ref="F14:F24" si="1">IF(C14=0,0,E14/C14)</f>
        <v>-0.99551663794324563</v>
      </c>
    </row>
    <row r="15" spans="1:7" ht="20.25" customHeight="1" x14ac:dyDescent="0.3">
      <c r="A15" s="235">
        <v>2</v>
      </c>
      <c r="B15" s="236" t="s">
        <v>433</v>
      </c>
      <c r="C15" s="237">
        <v>276563</v>
      </c>
      <c r="D15" s="237">
        <v>0</v>
      </c>
      <c r="E15" s="237">
        <f t="shared" si="0"/>
        <v>-276563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434</v>
      </c>
      <c r="C16" s="237">
        <v>3222670</v>
      </c>
      <c r="D16" s="237">
        <v>60292</v>
      </c>
      <c r="E16" s="237">
        <f t="shared" si="0"/>
        <v>-3162378</v>
      </c>
      <c r="F16" s="238">
        <f t="shared" si="1"/>
        <v>-0.98129128952080102</v>
      </c>
    </row>
    <row r="17" spans="1:6" ht="20.25" customHeight="1" x14ac:dyDescent="0.3">
      <c r="A17" s="235">
        <v>4</v>
      </c>
      <c r="B17" s="236" t="s">
        <v>435</v>
      </c>
      <c r="C17" s="237">
        <v>820594</v>
      </c>
      <c r="D17" s="237">
        <v>15598</v>
      </c>
      <c r="E17" s="237">
        <f t="shared" si="0"/>
        <v>-804996</v>
      </c>
      <c r="F17" s="238">
        <f t="shared" si="1"/>
        <v>-0.98099181812199454</v>
      </c>
    </row>
    <row r="18" spans="1:6" ht="20.25" customHeight="1" x14ac:dyDescent="0.3">
      <c r="A18" s="235">
        <v>5</v>
      </c>
      <c r="B18" s="236" t="s">
        <v>371</v>
      </c>
      <c r="C18" s="239">
        <v>112</v>
      </c>
      <c r="D18" s="239">
        <v>1</v>
      </c>
      <c r="E18" s="239">
        <f t="shared" si="0"/>
        <v>-111</v>
      </c>
      <c r="F18" s="238">
        <f t="shared" si="1"/>
        <v>-0.9910714285714286</v>
      </c>
    </row>
    <row r="19" spans="1:6" ht="20.25" customHeight="1" x14ac:dyDescent="0.3">
      <c r="A19" s="235">
        <v>6</v>
      </c>
      <c r="B19" s="236" t="s">
        <v>370</v>
      </c>
      <c r="C19" s="239">
        <v>321</v>
      </c>
      <c r="D19" s="239">
        <v>1</v>
      </c>
      <c r="E19" s="239">
        <f t="shared" si="0"/>
        <v>-320</v>
      </c>
      <c r="F19" s="238">
        <f t="shared" si="1"/>
        <v>-0.99688473520249221</v>
      </c>
    </row>
    <row r="20" spans="1:6" ht="20.25" customHeight="1" x14ac:dyDescent="0.3">
      <c r="A20" s="235">
        <v>7</v>
      </c>
      <c r="B20" s="236" t="s">
        <v>436</v>
      </c>
      <c r="C20" s="239">
        <v>1423</v>
      </c>
      <c r="D20" s="239">
        <v>1</v>
      </c>
      <c r="E20" s="239">
        <f t="shared" si="0"/>
        <v>-1422</v>
      </c>
      <c r="F20" s="238">
        <f t="shared" si="1"/>
        <v>-0.99929725931131408</v>
      </c>
    </row>
    <row r="21" spans="1:6" ht="20.25" customHeight="1" x14ac:dyDescent="0.3">
      <c r="A21" s="235">
        <v>8</v>
      </c>
      <c r="B21" s="236" t="s">
        <v>437</v>
      </c>
      <c r="C21" s="239">
        <v>1531</v>
      </c>
      <c r="D21" s="239">
        <v>45</v>
      </c>
      <c r="E21" s="239">
        <f t="shared" si="0"/>
        <v>-1486</v>
      </c>
      <c r="F21" s="238">
        <f t="shared" si="1"/>
        <v>-0.97060744611365124</v>
      </c>
    </row>
    <row r="22" spans="1:6" ht="20.25" customHeight="1" x14ac:dyDescent="0.3">
      <c r="A22" s="235">
        <v>9</v>
      </c>
      <c r="B22" s="236" t="s">
        <v>438</v>
      </c>
      <c r="C22" s="239">
        <v>42</v>
      </c>
      <c r="D22" s="239">
        <v>1</v>
      </c>
      <c r="E22" s="239">
        <f t="shared" si="0"/>
        <v>-41</v>
      </c>
      <c r="F22" s="238">
        <f t="shared" si="1"/>
        <v>-0.97619047619047616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4578126</v>
      </c>
      <c r="D23" s="243">
        <f>+D14+D16</f>
        <v>66369</v>
      </c>
      <c r="E23" s="243">
        <f t="shared" si="0"/>
        <v>-4511757</v>
      </c>
      <c r="F23" s="244">
        <f t="shared" si="1"/>
        <v>-0.98550302023142222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1097157</v>
      </c>
      <c r="D24" s="243">
        <f>+D15+D17</f>
        <v>15598</v>
      </c>
      <c r="E24" s="243">
        <f t="shared" si="0"/>
        <v>-1081559</v>
      </c>
      <c r="F24" s="244">
        <f t="shared" si="1"/>
        <v>-0.98578325617938001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3849665</v>
      </c>
      <c r="D26" s="237">
        <v>6034128</v>
      </c>
      <c r="E26" s="237">
        <f t="shared" ref="E26:E36" si="2">D26-C26</f>
        <v>2184463</v>
      </c>
      <c r="F26" s="238">
        <f t="shared" ref="F26:F36" si="3">IF(C26=0,0,E26/C26)</f>
        <v>0.5674423618678508</v>
      </c>
    </row>
    <row r="27" spans="1:6" ht="20.25" customHeight="1" x14ac:dyDescent="0.3">
      <c r="A27" s="235">
        <v>2</v>
      </c>
      <c r="B27" s="236" t="s">
        <v>433</v>
      </c>
      <c r="C27" s="237">
        <v>934795</v>
      </c>
      <c r="D27" s="237">
        <v>1225843</v>
      </c>
      <c r="E27" s="237">
        <f t="shared" si="2"/>
        <v>291048</v>
      </c>
      <c r="F27" s="238">
        <f t="shared" si="3"/>
        <v>0.31134954722693209</v>
      </c>
    </row>
    <row r="28" spans="1:6" ht="20.25" customHeight="1" x14ac:dyDescent="0.3">
      <c r="A28" s="235">
        <v>3</v>
      </c>
      <c r="B28" s="236" t="s">
        <v>434</v>
      </c>
      <c r="C28" s="237">
        <v>10182839</v>
      </c>
      <c r="D28" s="237">
        <v>16393071</v>
      </c>
      <c r="E28" s="237">
        <f t="shared" si="2"/>
        <v>6210232</v>
      </c>
      <c r="F28" s="238">
        <f t="shared" si="3"/>
        <v>0.60987235485113733</v>
      </c>
    </row>
    <row r="29" spans="1:6" ht="20.25" customHeight="1" x14ac:dyDescent="0.3">
      <c r="A29" s="235">
        <v>4</v>
      </c>
      <c r="B29" s="236" t="s">
        <v>435</v>
      </c>
      <c r="C29" s="237">
        <v>2461682</v>
      </c>
      <c r="D29" s="237">
        <v>4091545</v>
      </c>
      <c r="E29" s="237">
        <f t="shared" si="2"/>
        <v>1629863</v>
      </c>
      <c r="F29" s="238">
        <f t="shared" si="3"/>
        <v>0.66209323543820853</v>
      </c>
    </row>
    <row r="30" spans="1:6" ht="20.25" customHeight="1" x14ac:dyDescent="0.3">
      <c r="A30" s="235">
        <v>5</v>
      </c>
      <c r="B30" s="236" t="s">
        <v>371</v>
      </c>
      <c r="C30" s="239">
        <v>393</v>
      </c>
      <c r="D30" s="239">
        <v>530</v>
      </c>
      <c r="E30" s="239">
        <f t="shared" si="2"/>
        <v>137</v>
      </c>
      <c r="F30" s="238">
        <f t="shared" si="3"/>
        <v>0.34860050890585242</v>
      </c>
    </row>
    <row r="31" spans="1:6" ht="20.25" customHeight="1" x14ac:dyDescent="0.3">
      <c r="A31" s="235">
        <v>6</v>
      </c>
      <c r="B31" s="236" t="s">
        <v>370</v>
      </c>
      <c r="C31" s="239">
        <v>987</v>
      </c>
      <c r="D31" s="239">
        <v>1351</v>
      </c>
      <c r="E31" s="239">
        <f t="shared" si="2"/>
        <v>364</v>
      </c>
      <c r="F31" s="238">
        <f t="shared" si="3"/>
        <v>0.36879432624113473</v>
      </c>
    </row>
    <row r="32" spans="1:6" ht="20.25" customHeight="1" x14ac:dyDescent="0.3">
      <c r="A32" s="235">
        <v>7</v>
      </c>
      <c r="B32" s="236" t="s">
        <v>436</v>
      </c>
      <c r="C32" s="239">
        <v>4647</v>
      </c>
      <c r="D32" s="239">
        <v>12740</v>
      </c>
      <c r="E32" s="239">
        <f t="shared" si="2"/>
        <v>8093</v>
      </c>
      <c r="F32" s="238">
        <f t="shared" si="3"/>
        <v>1.7415536905530449</v>
      </c>
    </row>
    <row r="33" spans="1:6" ht="20.25" customHeight="1" x14ac:dyDescent="0.3">
      <c r="A33" s="235">
        <v>8</v>
      </c>
      <c r="B33" s="236" t="s">
        <v>437</v>
      </c>
      <c r="C33" s="239">
        <v>4432</v>
      </c>
      <c r="D33" s="239">
        <v>6287</v>
      </c>
      <c r="E33" s="239">
        <f t="shared" si="2"/>
        <v>1855</v>
      </c>
      <c r="F33" s="238">
        <f t="shared" si="3"/>
        <v>0.41854693140794225</v>
      </c>
    </row>
    <row r="34" spans="1:6" ht="20.25" customHeight="1" x14ac:dyDescent="0.3">
      <c r="A34" s="235">
        <v>9</v>
      </c>
      <c r="B34" s="236" t="s">
        <v>438</v>
      </c>
      <c r="C34" s="239">
        <v>107</v>
      </c>
      <c r="D34" s="239">
        <v>162</v>
      </c>
      <c r="E34" s="239">
        <f t="shared" si="2"/>
        <v>55</v>
      </c>
      <c r="F34" s="238">
        <f t="shared" si="3"/>
        <v>0.51401869158878499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14032504</v>
      </c>
      <c r="D35" s="243">
        <f>+D26+D28</f>
        <v>22427199</v>
      </c>
      <c r="E35" s="243">
        <f t="shared" si="2"/>
        <v>8394695</v>
      </c>
      <c r="F35" s="244">
        <f t="shared" si="3"/>
        <v>0.59823214730599761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3396477</v>
      </c>
      <c r="D36" s="243">
        <f>+D27+D29</f>
        <v>5317388</v>
      </c>
      <c r="E36" s="243">
        <f t="shared" si="2"/>
        <v>1920911</v>
      </c>
      <c r="F36" s="244">
        <f t="shared" si="3"/>
        <v>0.56555984333178178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7217</v>
      </c>
      <c r="D40" s="237">
        <v>3809</v>
      </c>
      <c r="E40" s="237">
        <f t="shared" si="4"/>
        <v>-3408</v>
      </c>
      <c r="F40" s="238">
        <f t="shared" si="5"/>
        <v>-0.47221837328529859</v>
      </c>
    </row>
    <row r="41" spans="1:6" ht="20.25" customHeight="1" x14ac:dyDescent="0.3">
      <c r="A41" s="235">
        <v>4</v>
      </c>
      <c r="B41" s="236" t="s">
        <v>435</v>
      </c>
      <c r="C41" s="237">
        <v>1458</v>
      </c>
      <c r="D41" s="237">
        <v>719</v>
      </c>
      <c r="E41" s="237">
        <f t="shared" si="4"/>
        <v>-739</v>
      </c>
      <c r="F41" s="238">
        <f t="shared" si="5"/>
        <v>-0.50685871056241427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11</v>
      </c>
      <c r="D44" s="239">
        <v>11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2</v>
      </c>
      <c r="D45" s="239">
        <v>0</v>
      </c>
      <c r="E45" s="239">
        <f t="shared" si="4"/>
        <v>-2</v>
      </c>
      <c r="F45" s="238">
        <f t="shared" si="5"/>
        <v>-1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7217</v>
      </c>
      <c r="D47" s="243">
        <f>+D38+D40</f>
        <v>3809</v>
      </c>
      <c r="E47" s="243">
        <f t="shared" si="4"/>
        <v>-3408</v>
      </c>
      <c r="F47" s="244">
        <f t="shared" si="5"/>
        <v>-0.47221837328529859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1458</v>
      </c>
      <c r="D48" s="243">
        <f>+D39+D41</f>
        <v>719</v>
      </c>
      <c r="E48" s="243">
        <f t="shared" si="4"/>
        <v>-739</v>
      </c>
      <c r="F48" s="244">
        <f t="shared" si="5"/>
        <v>-0.50685871056241427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889478</v>
      </c>
      <c r="D50" s="237">
        <v>986611</v>
      </c>
      <c r="E50" s="237">
        <f t="shared" ref="E50:E60" si="6">D50-C50</f>
        <v>97133</v>
      </c>
      <c r="F50" s="238">
        <f t="shared" ref="F50:F60" si="7">IF(C50=0,0,E50/C50)</f>
        <v>0.10920225120801189</v>
      </c>
    </row>
    <row r="51" spans="1:6" ht="20.25" customHeight="1" x14ac:dyDescent="0.3">
      <c r="A51" s="235">
        <v>2</v>
      </c>
      <c r="B51" s="236" t="s">
        <v>433</v>
      </c>
      <c r="C51" s="237">
        <v>252527</v>
      </c>
      <c r="D51" s="237">
        <v>285967</v>
      </c>
      <c r="E51" s="237">
        <f t="shared" si="6"/>
        <v>33440</v>
      </c>
      <c r="F51" s="238">
        <f t="shared" si="7"/>
        <v>0.1324214836433332</v>
      </c>
    </row>
    <row r="52" spans="1:6" ht="20.25" customHeight="1" x14ac:dyDescent="0.3">
      <c r="A52" s="235">
        <v>3</v>
      </c>
      <c r="B52" s="236" t="s">
        <v>434</v>
      </c>
      <c r="C52" s="237">
        <v>727698</v>
      </c>
      <c r="D52" s="237">
        <v>826331</v>
      </c>
      <c r="E52" s="237">
        <f t="shared" si="6"/>
        <v>98633</v>
      </c>
      <c r="F52" s="238">
        <f t="shared" si="7"/>
        <v>0.13554111733164032</v>
      </c>
    </row>
    <row r="53" spans="1:6" ht="20.25" customHeight="1" x14ac:dyDescent="0.3">
      <c r="A53" s="235">
        <v>4</v>
      </c>
      <c r="B53" s="236" t="s">
        <v>435</v>
      </c>
      <c r="C53" s="237">
        <v>285984</v>
      </c>
      <c r="D53" s="237">
        <v>317573</v>
      </c>
      <c r="E53" s="237">
        <f t="shared" si="6"/>
        <v>31589</v>
      </c>
      <c r="F53" s="238">
        <f t="shared" si="7"/>
        <v>0.11045722837641267</v>
      </c>
    </row>
    <row r="54" spans="1:6" ht="20.25" customHeight="1" x14ac:dyDescent="0.3">
      <c r="A54" s="235">
        <v>5</v>
      </c>
      <c r="B54" s="236" t="s">
        <v>371</v>
      </c>
      <c r="C54" s="239">
        <v>97</v>
      </c>
      <c r="D54" s="239">
        <v>110</v>
      </c>
      <c r="E54" s="239">
        <f t="shared" si="6"/>
        <v>13</v>
      </c>
      <c r="F54" s="238">
        <f t="shared" si="7"/>
        <v>0.13402061855670103</v>
      </c>
    </row>
    <row r="55" spans="1:6" ht="20.25" customHeight="1" x14ac:dyDescent="0.3">
      <c r="A55" s="235">
        <v>6</v>
      </c>
      <c r="B55" s="236" t="s">
        <v>370</v>
      </c>
      <c r="C55" s="239">
        <v>382</v>
      </c>
      <c r="D55" s="239">
        <v>410</v>
      </c>
      <c r="E55" s="239">
        <f t="shared" si="6"/>
        <v>28</v>
      </c>
      <c r="F55" s="238">
        <f t="shared" si="7"/>
        <v>7.3298429319371722E-2</v>
      </c>
    </row>
    <row r="56" spans="1:6" ht="20.25" customHeight="1" x14ac:dyDescent="0.3">
      <c r="A56" s="235">
        <v>7</v>
      </c>
      <c r="B56" s="236" t="s">
        <v>436</v>
      </c>
      <c r="C56" s="239">
        <v>1219</v>
      </c>
      <c r="D56" s="239">
        <v>1445</v>
      </c>
      <c r="E56" s="239">
        <f t="shared" si="6"/>
        <v>226</v>
      </c>
      <c r="F56" s="238">
        <f t="shared" si="7"/>
        <v>0.18539786710418377</v>
      </c>
    </row>
    <row r="57" spans="1:6" ht="20.25" customHeight="1" x14ac:dyDescent="0.3">
      <c r="A57" s="235">
        <v>8</v>
      </c>
      <c r="B57" s="236" t="s">
        <v>437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438</v>
      </c>
      <c r="C58" s="239">
        <v>91</v>
      </c>
      <c r="D58" s="239">
        <v>98</v>
      </c>
      <c r="E58" s="239">
        <f t="shared" si="6"/>
        <v>7</v>
      </c>
      <c r="F58" s="238">
        <f t="shared" si="7"/>
        <v>7.6923076923076927E-2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1617176</v>
      </c>
      <c r="D59" s="243">
        <f>+D50+D52</f>
        <v>1812942</v>
      </c>
      <c r="E59" s="243">
        <f t="shared" si="6"/>
        <v>195766</v>
      </c>
      <c r="F59" s="244">
        <f t="shared" si="7"/>
        <v>0.12105423281077632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538511</v>
      </c>
      <c r="D60" s="243">
        <f>+D51+D53</f>
        <v>603540</v>
      </c>
      <c r="E60" s="243">
        <f t="shared" si="6"/>
        <v>65029</v>
      </c>
      <c r="F60" s="244">
        <f t="shared" si="7"/>
        <v>0.1207570504595078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268960</v>
      </c>
      <c r="D86" s="237">
        <v>327982</v>
      </c>
      <c r="E86" s="237">
        <f t="shared" ref="E86:E96" si="12">D86-C86</f>
        <v>59022</v>
      </c>
      <c r="F86" s="238">
        <f t="shared" ref="F86:F96" si="13">IF(C86=0,0,E86/C86)</f>
        <v>0.21944527067221892</v>
      </c>
    </row>
    <row r="87" spans="1:6" ht="20.25" customHeight="1" x14ac:dyDescent="0.3">
      <c r="A87" s="235">
        <v>2</v>
      </c>
      <c r="B87" s="236" t="s">
        <v>433</v>
      </c>
      <c r="C87" s="237">
        <v>72467</v>
      </c>
      <c r="D87" s="237">
        <v>91536</v>
      </c>
      <c r="E87" s="237">
        <f t="shared" si="12"/>
        <v>19069</v>
      </c>
      <c r="F87" s="238">
        <f t="shared" si="13"/>
        <v>0.26314046393530849</v>
      </c>
    </row>
    <row r="88" spans="1:6" ht="20.25" customHeight="1" x14ac:dyDescent="0.3">
      <c r="A88" s="235">
        <v>3</v>
      </c>
      <c r="B88" s="236" t="s">
        <v>434</v>
      </c>
      <c r="C88" s="237">
        <v>664267</v>
      </c>
      <c r="D88" s="237">
        <v>983554</v>
      </c>
      <c r="E88" s="237">
        <f t="shared" si="12"/>
        <v>319287</v>
      </c>
      <c r="F88" s="238">
        <f t="shared" si="13"/>
        <v>0.48066063796635994</v>
      </c>
    </row>
    <row r="89" spans="1:6" ht="20.25" customHeight="1" x14ac:dyDescent="0.3">
      <c r="A89" s="235">
        <v>4</v>
      </c>
      <c r="B89" s="236" t="s">
        <v>435</v>
      </c>
      <c r="C89" s="237">
        <v>164451</v>
      </c>
      <c r="D89" s="237">
        <v>236151</v>
      </c>
      <c r="E89" s="237">
        <f t="shared" si="12"/>
        <v>71700</v>
      </c>
      <c r="F89" s="238">
        <f t="shared" si="13"/>
        <v>0.43599613258660636</v>
      </c>
    </row>
    <row r="90" spans="1:6" ht="20.25" customHeight="1" x14ac:dyDescent="0.3">
      <c r="A90" s="235">
        <v>5</v>
      </c>
      <c r="B90" s="236" t="s">
        <v>371</v>
      </c>
      <c r="C90" s="239">
        <v>28</v>
      </c>
      <c r="D90" s="239">
        <v>31</v>
      </c>
      <c r="E90" s="239">
        <f t="shared" si="12"/>
        <v>3</v>
      </c>
      <c r="F90" s="238">
        <f t="shared" si="13"/>
        <v>0.10714285714285714</v>
      </c>
    </row>
    <row r="91" spans="1:6" ht="20.25" customHeight="1" x14ac:dyDescent="0.3">
      <c r="A91" s="235">
        <v>6</v>
      </c>
      <c r="B91" s="236" t="s">
        <v>370</v>
      </c>
      <c r="C91" s="239">
        <v>73</v>
      </c>
      <c r="D91" s="239">
        <v>83</v>
      </c>
      <c r="E91" s="239">
        <f t="shared" si="12"/>
        <v>10</v>
      </c>
      <c r="F91" s="238">
        <f t="shared" si="13"/>
        <v>0.13698630136986301</v>
      </c>
    </row>
    <row r="92" spans="1:6" ht="20.25" customHeight="1" x14ac:dyDescent="0.3">
      <c r="A92" s="235">
        <v>7</v>
      </c>
      <c r="B92" s="236" t="s">
        <v>436</v>
      </c>
      <c r="C92" s="239">
        <v>137</v>
      </c>
      <c r="D92" s="239">
        <v>322</v>
      </c>
      <c r="E92" s="239">
        <f t="shared" si="12"/>
        <v>185</v>
      </c>
      <c r="F92" s="238">
        <f t="shared" si="13"/>
        <v>1.3503649635036497</v>
      </c>
    </row>
    <row r="93" spans="1:6" ht="20.25" customHeight="1" x14ac:dyDescent="0.3">
      <c r="A93" s="235">
        <v>8</v>
      </c>
      <c r="B93" s="236" t="s">
        <v>437</v>
      </c>
      <c r="C93" s="239">
        <v>436</v>
      </c>
      <c r="D93" s="239">
        <v>480</v>
      </c>
      <c r="E93" s="239">
        <f t="shared" si="12"/>
        <v>44</v>
      </c>
      <c r="F93" s="238">
        <f t="shared" si="13"/>
        <v>0.10091743119266056</v>
      </c>
    </row>
    <row r="94" spans="1:6" ht="20.25" customHeight="1" x14ac:dyDescent="0.3">
      <c r="A94" s="235">
        <v>9</v>
      </c>
      <c r="B94" s="236" t="s">
        <v>438</v>
      </c>
      <c r="C94" s="239">
        <v>17</v>
      </c>
      <c r="D94" s="239">
        <v>10</v>
      </c>
      <c r="E94" s="239">
        <f t="shared" si="12"/>
        <v>-7</v>
      </c>
      <c r="F94" s="238">
        <f t="shared" si="13"/>
        <v>-0.41176470588235292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933227</v>
      </c>
      <c r="D95" s="243">
        <f>+D86+D88</f>
        <v>1311536</v>
      </c>
      <c r="E95" s="243">
        <f t="shared" si="12"/>
        <v>378309</v>
      </c>
      <c r="F95" s="244">
        <f t="shared" si="13"/>
        <v>0.40537725548017794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236918</v>
      </c>
      <c r="D96" s="243">
        <f>+D87+D89</f>
        <v>327687</v>
      </c>
      <c r="E96" s="243">
        <f t="shared" si="12"/>
        <v>90769</v>
      </c>
      <c r="F96" s="244">
        <f t="shared" si="13"/>
        <v>0.38312411889345682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537956</v>
      </c>
      <c r="D98" s="237">
        <v>1160713</v>
      </c>
      <c r="E98" s="237">
        <f t="shared" ref="E98:E108" si="14">D98-C98</f>
        <v>622757</v>
      </c>
      <c r="F98" s="238">
        <f t="shared" ref="F98:F108" si="15">IF(C98=0,0,E98/C98)</f>
        <v>1.1576355687082216</v>
      </c>
    </row>
    <row r="99" spans="1:7" ht="20.25" customHeight="1" x14ac:dyDescent="0.3">
      <c r="A99" s="235">
        <v>2</v>
      </c>
      <c r="B99" s="236" t="s">
        <v>433</v>
      </c>
      <c r="C99" s="237">
        <v>132974</v>
      </c>
      <c r="D99" s="237">
        <v>278024</v>
      </c>
      <c r="E99" s="237">
        <f t="shared" si="14"/>
        <v>145050</v>
      </c>
      <c r="F99" s="238">
        <f t="shared" si="15"/>
        <v>1.0908147457397688</v>
      </c>
    </row>
    <row r="100" spans="1:7" ht="20.25" customHeight="1" x14ac:dyDescent="0.3">
      <c r="A100" s="235">
        <v>3</v>
      </c>
      <c r="B100" s="236" t="s">
        <v>434</v>
      </c>
      <c r="C100" s="237">
        <v>1817019</v>
      </c>
      <c r="D100" s="237">
        <v>2462931</v>
      </c>
      <c r="E100" s="237">
        <f t="shared" si="14"/>
        <v>645912</v>
      </c>
      <c r="F100" s="238">
        <f t="shared" si="15"/>
        <v>0.35547894656027262</v>
      </c>
    </row>
    <row r="101" spans="1:7" ht="20.25" customHeight="1" x14ac:dyDescent="0.3">
      <c r="A101" s="235">
        <v>4</v>
      </c>
      <c r="B101" s="236" t="s">
        <v>435</v>
      </c>
      <c r="C101" s="237">
        <v>452680</v>
      </c>
      <c r="D101" s="237">
        <v>653070</v>
      </c>
      <c r="E101" s="237">
        <f t="shared" si="14"/>
        <v>200390</v>
      </c>
      <c r="F101" s="238">
        <f t="shared" si="15"/>
        <v>0.44267473712114519</v>
      </c>
    </row>
    <row r="102" spans="1:7" ht="20.25" customHeight="1" x14ac:dyDescent="0.3">
      <c r="A102" s="235">
        <v>5</v>
      </c>
      <c r="B102" s="236" t="s">
        <v>371</v>
      </c>
      <c r="C102" s="239">
        <v>57</v>
      </c>
      <c r="D102" s="239">
        <v>104</v>
      </c>
      <c r="E102" s="239">
        <f t="shared" si="14"/>
        <v>47</v>
      </c>
      <c r="F102" s="238">
        <f t="shared" si="15"/>
        <v>0.82456140350877194</v>
      </c>
    </row>
    <row r="103" spans="1:7" ht="20.25" customHeight="1" x14ac:dyDescent="0.3">
      <c r="A103" s="235">
        <v>6</v>
      </c>
      <c r="B103" s="236" t="s">
        <v>370</v>
      </c>
      <c r="C103" s="239">
        <v>143</v>
      </c>
      <c r="D103" s="239">
        <v>267</v>
      </c>
      <c r="E103" s="239">
        <f t="shared" si="14"/>
        <v>124</v>
      </c>
      <c r="F103" s="238">
        <f t="shared" si="15"/>
        <v>0.86713286713286708</v>
      </c>
    </row>
    <row r="104" spans="1:7" ht="20.25" customHeight="1" x14ac:dyDescent="0.3">
      <c r="A104" s="235">
        <v>7</v>
      </c>
      <c r="B104" s="236" t="s">
        <v>436</v>
      </c>
      <c r="C104" s="239">
        <v>465</v>
      </c>
      <c r="D104" s="239">
        <v>612</v>
      </c>
      <c r="E104" s="239">
        <f t="shared" si="14"/>
        <v>147</v>
      </c>
      <c r="F104" s="238">
        <f t="shared" si="15"/>
        <v>0.31612903225806449</v>
      </c>
    </row>
    <row r="105" spans="1:7" ht="20.25" customHeight="1" x14ac:dyDescent="0.3">
      <c r="A105" s="235">
        <v>8</v>
      </c>
      <c r="B105" s="236" t="s">
        <v>437</v>
      </c>
      <c r="C105" s="239">
        <v>1208</v>
      </c>
      <c r="D105" s="239">
        <v>1220</v>
      </c>
      <c r="E105" s="239">
        <f t="shared" si="14"/>
        <v>12</v>
      </c>
      <c r="F105" s="238">
        <f t="shared" si="15"/>
        <v>9.9337748344370865E-3</v>
      </c>
    </row>
    <row r="106" spans="1:7" ht="20.25" customHeight="1" x14ac:dyDescent="0.3">
      <c r="A106" s="235">
        <v>9</v>
      </c>
      <c r="B106" s="236" t="s">
        <v>438</v>
      </c>
      <c r="C106" s="239">
        <v>21</v>
      </c>
      <c r="D106" s="239">
        <v>52</v>
      </c>
      <c r="E106" s="239">
        <f t="shared" si="14"/>
        <v>31</v>
      </c>
      <c r="F106" s="238">
        <f t="shared" si="15"/>
        <v>1.4761904761904763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2354975</v>
      </c>
      <c r="D107" s="243">
        <f>+D98+D100</f>
        <v>3623644</v>
      </c>
      <c r="E107" s="243">
        <f t="shared" si="14"/>
        <v>1268669</v>
      </c>
      <c r="F107" s="244">
        <f t="shared" si="15"/>
        <v>0.53871867004957585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585654</v>
      </c>
      <c r="D108" s="243">
        <f>+D99+D101</f>
        <v>931094</v>
      </c>
      <c r="E108" s="243">
        <f t="shared" si="14"/>
        <v>345440</v>
      </c>
      <c r="F108" s="244">
        <f t="shared" si="15"/>
        <v>0.58983631973827555</v>
      </c>
    </row>
    <row r="109" spans="1:7" s="240" customFormat="1" ht="20.25" customHeight="1" x14ac:dyDescent="0.3">
      <c r="A109" s="688" t="s">
        <v>44</v>
      </c>
      <c r="B109" s="689" t="s">
        <v>476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6901515</v>
      </c>
      <c r="D112" s="243">
        <f t="shared" si="16"/>
        <v>8515511</v>
      </c>
      <c r="E112" s="243">
        <f t="shared" ref="E112:E122" si="17">D112-C112</f>
        <v>1613996</v>
      </c>
      <c r="F112" s="244">
        <f t="shared" ref="F112:F122" si="18">IF(C112=0,0,E112/C112)</f>
        <v>0.23386111600134174</v>
      </c>
    </row>
    <row r="113" spans="1:6" ht="20.25" customHeight="1" x14ac:dyDescent="0.3">
      <c r="A113" s="249"/>
      <c r="B113" s="250" t="s">
        <v>459</v>
      </c>
      <c r="C113" s="243">
        <f t="shared" si="16"/>
        <v>1669326</v>
      </c>
      <c r="D113" s="243">
        <f t="shared" si="16"/>
        <v>1881370</v>
      </c>
      <c r="E113" s="243">
        <f t="shared" si="17"/>
        <v>212044</v>
      </c>
      <c r="F113" s="244">
        <f t="shared" si="18"/>
        <v>0.12702372095085082</v>
      </c>
    </row>
    <row r="114" spans="1:6" ht="20.25" customHeight="1" x14ac:dyDescent="0.3">
      <c r="A114" s="249"/>
      <c r="B114" s="250" t="s">
        <v>460</v>
      </c>
      <c r="C114" s="243">
        <f t="shared" si="16"/>
        <v>16621710</v>
      </c>
      <c r="D114" s="243">
        <f t="shared" si="16"/>
        <v>20729988</v>
      </c>
      <c r="E114" s="243">
        <f t="shared" si="17"/>
        <v>4108278</v>
      </c>
      <c r="F114" s="244">
        <f t="shared" si="18"/>
        <v>0.24716337849715825</v>
      </c>
    </row>
    <row r="115" spans="1:6" ht="20.25" customHeight="1" x14ac:dyDescent="0.3">
      <c r="A115" s="249"/>
      <c r="B115" s="250" t="s">
        <v>461</v>
      </c>
      <c r="C115" s="243">
        <f t="shared" si="16"/>
        <v>4186849</v>
      </c>
      <c r="D115" s="243">
        <f t="shared" si="16"/>
        <v>5314656</v>
      </c>
      <c r="E115" s="243">
        <f t="shared" si="17"/>
        <v>1127807</v>
      </c>
      <c r="F115" s="244">
        <f t="shared" si="18"/>
        <v>0.26936892159234788</v>
      </c>
    </row>
    <row r="116" spans="1:6" ht="20.25" customHeight="1" x14ac:dyDescent="0.3">
      <c r="A116" s="249"/>
      <c r="B116" s="250" t="s">
        <v>462</v>
      </c>
      <c r="C116" s="252">
        <f t="shared" si="16"/>
        <v>687</v>
      </c>
      <c r="D116" s="252">
        <f t="shared" si="16"/>
        <v>776</v>
      </c>
      <c r="E116" s="252">
        <f t="shared" si="17"/>
        <v>89</v>
      </c>
      <c r="F116" s="244">
        <f t="shared" si="18"/>
        <v>0.12954876273653565</v>
      </c>
    </row>
    <row r="117" spans="1:6" ht="20.25" customHeight="1" x14ac:dyDescent="0.3">
      <c r="A117" s="249"/>
      <c r="B117" s="250" t="s">
        <v>463</v>
      </c>
      <c r="C117" s="252">
        <f t="shared" si="16"/>
        <v>1906</v>
      </c>
      <c r="D117" s="252">
        <f t="shared" si="16"/>
        <v>2112</v>
      </c>
      <c r="E117" s="252">
        <f t="shared" si="17"/>
        <v>206</v>
      </c>
      <c r="F117" s="244">
        <f t="shared" si="18"/>
        <v>0.1080797481636936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7902</v>
      </c>
      <c r="D118" s="252">
        <f t="shared" si="16"/>
        <v>15131</v>
      </c>
      <c r="E118" s="252">
        <f t="shared" si="17"/>
        <v>7229</v>
      </c>
      <c r="F118" s="244">
        <f t="shared" si="18"/>
        <v>0.91483168818020755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7609</v>
      </c>
      <c r="D119" s="252">
        <f t="shared" si="16"/>
        <v>8032</v>
      </c>
      <c r="E119" s="252">
        <f t="shared" si="17"/>
        <v>423</v>
      </c>
      <c r="F119" s="244">
        <f t="shared" si="18"/>
        <v>5.5592062031804439E-2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278</v>
      </c>
      <c r="D120" s="252">
        <f t="shared" si="16"/>
        <v>323</v>
      </c>
      <c r="E120" s="252">
        <f t="shared" si="17"/>
        <v>45</v>
      </c>
      <c r="F120" s="244">
        <f t="shared" si="18"/>
        <v>0.16187050359712229</v>
      </c>
    </row>
    <row r="121" spans="1:6" ht="39.950000000000003" customHeight="1" x14ac:dyDescent="0.3">
      <c r="A121" s="249"/>
      <c r="B121" s="242" t="s">
        <v>439</v>
      </c>
      <c r="C121" s="243">
        <f>+C112+C114</f>
        <v>23523225</v>
      </c>
      <c r="D121" s="243">
        <f>+D112+D114</f>
        <v>29245499</v>
      </c>
      <c r="E121" s="243">
        <f t="shared" si="17"/>
        <v>5722274</v>
      </c>
      <c r="F121" s="244">
        <f t="shared" si="18"/>
        <v>0.2432606073359414</v>
      </c>
    </row>
    <row r="122" spans="1:6" ht="39.950000000000003" customHeight="1" x14ac:dyDescent="0.3">
      <c r="A122" s="249"/>
      <c r="B122" s="242" t="s">
        <v>468</v>
      </c>
      <c r="C122" s="243">
        <f>+C113+C115</f>
        <v>5856175</v>
      </c>
      <c r="D122" s="243">
        <f>+D113+D115</f>
        <v>7196026</v>
      </c>
      <c r="E122" s="243">
        <f t="shared" si="17"/>
        <v>1339851</v>
      </c>
      <c r="F122" s="244">
        <f t="shared" si="18"/>
        <v>0.22879285540476504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35" sqref="B35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8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9448477</v>
      </c>
      <c r="D13" s="23">
        <v>11995841</v>
      </c>
      <c r="E13" s="23">
        <f t="shared" ref="E13:E22" si="0">D13-C13</f>
        <v>2547364</v>
      </c>
      <c r="F13" s="24">
        <f t="shared" ref="F13:F22" si="1">IF(C13=0,0,E13/C13)</f>
        <v>0.26960577879376751</v>
      </c>
    </row>
    <row r="14" spans="1:8" ht="24" customHeight="1" x14ac:dyDescent="0.2">
      <c r="A14" s="21">
        <v>2</v>
      </c>
      <c r="B14" s="22" t="s">
        <v>17</v>
      </c>
      <c r="C14" s="23">
        <v>1329434</v>
      </c>
      <c r="D14" s="23">
        <v>96165</v>
      </c>
      <c r="E14" s="23">
        <f t="shared" si="0"/>
        <v>-1233269</v>
      </c>
      <c r="F14" s="24">
        <f t="shared" si="1"/>
        <v>-0.92766470543103308</v>
      </c>
    </row>
    <row r="15" spans="1:8" ht="35.1" customHeight="1" x14ac:dyDescent="0.2">
      <c r="A15" s="21">
        <v>3</v>
      </c>
      <c r="B15" s="22" t="s">
        <v>18</v>
      </c>
      <c r="C15" s="23">
        <v>19948367</v>
      </c>
      <c r="D15" s="23">
        <v>18907341</v>
      </c>
      <c r="E15" s="23">
        <f t="shared" si="0"/>
        <v>-1041026</v>
      </c>
      <c r="F15" s="24">
        <f t="shared" si="1"/>
        <v>-5.2186026054162726E-2</v>
      </c>
    </row>
    <row r="16" spans="1:8" ht="35.1" customHeight="1" x14ac:dyDescent="0.2">
      <c r="A16" s="21">
        <v>4</v>
      </c>
      <c r="B16" s="22" t="s">
        <v>19</v>
      </c>
      <c r="C16" s="23">
        <v>881487</v>
      </c>
      <c r="D16" s="23">
        <v>650669</v>
      </c>
      <c r="E16" s="23">
        <f t="shared" si="0"/>
        <v>-230818</v>
      </c>
      <c r="F16" s="24">
        <f t="shared" si="1"/>
        <v>-0.26185071362368362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1680523</v>
      </c>
      <c r="D19" s="23">
        <v>1474469</v>
      </c>
      <c r="E19" s="23">
        <f t="shared" si="0"/>
        <v>-206054</v>
      </c>
      <c r="F19" s="24">
        <f t="shared" si="1"/>
        <v>-0.12261301987536023</v>
      </c>
    </row>
    <row r="20" spans="1:11" ht="24" customHeight="1" x14ac:dyDescent="0.2">
      <c r="A20" s="21">
        <v>8</v>
      </c>
      <c r="B20" s="22" t="s">
        <v>23</v>
      </c>
      <c r="C20" s="23">
        <v>1370429</v>
      </c>
      <c r="D20" s="23">
        <v>1016410</v>
      </c>
      <c r="E20" s="23">
        <f t="shared" si="0"/>
        <v>-354019</v>
      </c>
      <c r="F20" s="24">
        <f t="shared" si="1"/>
        <v>-0.25832713697681531</v>
      </c>
    </row>
    <row r="21" spans="1:11" ht="24" customHeight="1" x14ac:dyDescent="0.2">
      <c r="A21" s="21">
        <v>9</v>
      </c>
      <c r="B21" s="22" t="s">
        <v>24</v>
      </c>
      <c r="C21" s="23">
        <v>2020583</v>
      </c>
      <c r="D21" s="23">
        <v>1902570</v>
      </c>
      <c r="E21" s="23">
        <f t="shared" si="0"/>
        <v>-118013</v>
      </c>
      <c r="F21" s="24">
        <f t="shared" si="1"/>
        <v>-5.8405420613753554E-2</v>
      </c>
    </row>
    <row r="22" spans="1:11" ht="24" customHeight="1" x14ac:dyDescent="0.25">
      <c r="A22" s="25"/>
      <c r="B22" s="26" t="s">
        <v>25</v>
      </c>
      <c r="C22" s="27">
        <f>SUM(C13:C21)</f>
        <v>36679300</v>
      </c>
      <c r="D22" s="27">
        <f>SUM(D13:D21)</f>
        <v>36043465</v>
      </c>
      <c r="E22" s="27">
        <f t="shared" si="0"/>
        <v>-635835</v>
      </c>
      <c r="F22" s="28">
        <f t="shared" si="1"/>
        <v>-1.7334981856251347E-2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5803094</v>
      </c>
      <c r="D26" s="23">
        <v>6444079</v>
      </c>
      <c r="E26" s="23">
        <f>D26-C26</f>
        <v>640985</v>
      </c>
      <c r="F26" s="24">
        <f>IF(C26=0,0,E26/C26)</f>
        <v>0.11045573275221804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15884754</v>
      </c>
      <c r="D28" s="23">
        <v>15632088</v>
      </c>
      <c r="E28" s="23">
        <f>D28-C28</f>
        <v>-252666</v>
      </c>
      <c r="F28" s="24">
        <f>IF(C28=0,0,E28/C28)</f>
        <v>-1.5906195336736092E-2</v>
      </c>
    </row>
    <row r="29" spans="1:11" ht="35.1" customHeight="1" x14ac:dyDescent="0.25">
      <c r="A29" s="25"/>
      <c r="B29" s="26" t="s">
        <v>32</v>
      </c>
      <c r="C29" s="27">
        <f>SUM(C25:C28)</f>
        <v>21687848</v>
      </c>
      <c r="D29" s="27">
        <f>SUM(D25:D28)</f>
        <v>22076167</v>
      </c>
      <c r="E29" s="27">
        <f>D29-C29</f>
        <v>388319</v>
      </c>
      <c r="F29" s="28">
        <f>IF(C29=0,0,E29/C29)</f>
        <v>1.790491154309086E-2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1605640</v>
      </c>
      <c r="E31" s="23">
        <f>D31-C31</f>
        <v>1605640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5552518</v>
      </c>
      <c r="D32" s="23">
        <v>6220475</v>
      </c>
      <c r="E32" s="23">
        <f>D32-C32</f>
        <v>667957</v>
      </c>
      <c r="F32" s="24">
        <f>IF(C32=0,0,E32/C32)</f>
        <v>0.12029803415315359</v>
      </c>
    </row>
    <row r="33" spans="1:8" ht="24" customHeight="1" x14ac:dyDescent="0.2">
      <c r="A33" s="21">
        <v>7</v>
      </c>
      <c r="B33" s="22" t="s">
        <v>35</v>
      </c>
      <c r="C33" s="23">
        <v>3079683</v>
      </c>
      <c r="D33" s="23">
        <v>3071595</v>
      </c>
      <c r="E33" s="23">
        <f>D33-C33</f>
        <v>-8088</v>
      </c>
      <c r="F33" s="24">
        <f>IF(C33=0,0,E33/C33)</f>
        <v>-2.6262443244970341E-3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136207416</v>
      </c>
      <c r="D36" s="23">
        <v>141773363</v>
      </c>
      <c r="E36" s="23">
        <f>D36-C36</f>
        <v>5565947</v>
      </c>
      <c r="F36" s="24">
        <f>IF(C36=0,0,E36/C36)</f>
        <v>4.0863758842616907E-2</v>
      </c>
    </row>
    <row r="37" spans="1:8" ht="24" customHeight="1" x14ac:dyDescent="0.2">
      <c r="A37" s="21">
        <v>2</v>
      </c>
      <c r="B37" s="22" t="s">
        <v>39</v>
      </c>
      <c r="C37" s="23">
        <v>97781638</v>
      </c>
      <c r="D37" s="23">
        <v>102951387</v>
      </c>
      <c r="E37" s="23">
        <f>D37-C37</f>
        <v>5169749</v>
      </c>
      <c r="F37" s="23">
        <f>IF(C37=0,0,E37/C37)</f>
        <v>5.2870345657330876E-2</v>
      </c>
    </row>
    <row r="38" spans="1:8" ht="24" customHeight="1" x14ac:dyDescent="0.25">
      <c r="A38" s="25"/>
      <c r="B38" s="26" t="s">
        <v>40</v>
      </c>
      <c r="C38" s="27">
        <f>C36-C37</f>
        <v>38425778</v>
      </c>
      <c r="D38" s="27">
        <f>D36-D37</f>
        <v>38821976</v>
      </c>
      <c r="E38" s="27">
        <f>D38-C38</f>
        <v>396198</v>
      </c>
      <c r="F38" s="28">
        <f>IF(C38=0,0,E38/C38)</f>
        <v>1.03107346323606E-2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807258</v>
      </c>
      <c r="D40" s="23">
        <v>2656646</v>
      </c>
      <c r="E40" s="23">
        <f>D40-C40</f>
        <v>1849388</v>
      </c>
      <c r="F40" s="24">
        <f>IF(C40=0,0,E40/C40)</f>
        <v>2.290950352923105</v>
      </c>
    </row>
    <row r="41" spans="1:8" ht="24" customHeight="1" x14ac:dyDescent="0.25">
      <c r="A41" s="25"/>
      <c r="B41" s="26" t="s">
        <v>42</v>
      </c>
      <c r="C41" s="27">
        <f>+C38+C40</f>
        <v>39233036</v>
      </c>
      <c r="D41" s="27">
        <f>+D38+D40</f>
        <v>41478622</v>
      </c>
      <c r="E41" s="27">
        <f>D41-C41</f>
        <v>2245586</v>
      </c>
      <c r="F41" s="28">
        <f>IF(C41=0,0,E41/C41)</f>
        <v>5.7237120267725393E-2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106232385</v>
      </c>
      <c r="D43" s="27">
        <f>D22+D29+D31+D32+D33+D41</f>
        <v>110495964</v>
      </c>
      <c r="E43" s="27">
        <f>D43-C43</f>
        <v>4263579</v>
      </c>
      <c r="F43" s="28">
        <f>IF(C43=0,0,E43/C43)</f>
        <v>4.0134456173604685E-2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8832722</v>
      </c>
      <c r="D49" s="23">
        <v>10417635</v>
      </c>
      <c r="E49" s="23">
        <f t="shared" ref="E49:E56" si="2">D49-C49</f>
        <v>1584913</v>
      </c>
      <c r="F49" s="24">
        <f t="shared" ref="F49:F56" si="3">IF(C49=0,0,E49/C49)</f>
        <v>0.17943653156976977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6367472</v>
      </c>
      <c r="D50" s="23">
        <v>7522197</v>
      </c>
      <c r="E50" s="23">
        <f t="shared" si="2"/>
        <v>1154725</v>
      </c>
      <c r="F50" s="24">
        <f t="shared" si="3"/>
        <v>0.18134747981616567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971897</v>
      </c>
      <c r="D51" s="23">
        <v>327508</v>
      </c>
      <c r="E51" s="23">
        <f t="shared" si="2"/>
        <v>-644389</v>
      </c>
      <c r="F51" s="24">
        <f t="shared" si="3"/>
        <v>-0.66302190458453936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1339455</v>
      </c>
      <c r="D53" s="23">
        <v>1197973</v>
      </c>
      <c r="E53" s="23">
        <f t="shared" si="2"/>
        <v>-141482</v>
      </c>
      <c r="F53" s="24">
        <f t="shared" si="3"/>
        <v>-0.10562654213840704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6738</v>
      </c>
      <c r="D54" s="23">
        <v>7083</v>
      </c>
      <c r="E54" s="23">
        <f t="shared" si="2"/>
        <v>345</v>
      </c>
      <c r="F54" s="24">
        <f t="shared" si="3"/>
        <v>5.120213713268032E-2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7929831</v>
      </c>
      <c r="D55" s="23">
        <v>4904173</v>
      </c>
      <c r="E55" s="23">
        <f t="shared" si="2"/>
        <v>-3025658</v>
      </c>
      <c r="F55" s="24">
        <f t="shared" si="3"/>
        <v>-0.3815539070126463</v>
      </c>
    </row>
    <row r="56" spans="1:6" ht="24" customHeight="1" x14ac:dyDescent="0.25">
      <c r="A56" s="25"/>
      <c r="B56" s="26" t="s">
        <v>54</v>
      </c>
      <c r="C56" s="27">
        <f>SUM(C49:C55)</f>
        <v>25448115</v>
      </c>
      <c r="D56" s="27">
        <f>SUM(D49:D55)</f>
        <v>24376569</v>
      </c>
      <c r="E56" s="27">
        <f t="shared" si="2"/>
        <v>-1071546</v>
      </c>
      <c r="F56" s="28">
        <f t="shared" si="3"/>
        <v>-4.2107087302929905E-2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32787601</v>
      </c>
      <c r="D59" s="23">
        <v>32333981</v>
      </c>
      <c r="E59" s="23">
        <f>D59-C59</f>
        <v>-453620</v>
      </c>
      <c r="F59" s="24">
        <f>IF(C59=0,0,E59/C59)</f>
        <v>-1.3835107972675403E-2</v>
      </c>
    </row>
    <row r="60" spans="1:6" ht="24" customHeight="1" x14ac:dyDescent="0.2">
      <c r="A60" s="21">
        <v>2</v>
      </c>
      <c r="B60" s="22" t="s">
        <v>57</v>
      </c>
      <c r="C60" s="23">
        <v>312489</v>
      </c>
      <c r="D60" s="23">
        <v>305407</v>
      </c>
      <c r="E60" s="23">
        <f>D60-C60</f>
        <v>-7082</v>
      </c>
      <c r="F60" s="24">
        <f>IF(C60=0,0,E60/C60)</f>
        <v>-2.2663197744560607E-2</v>
      </c>
    </row>
    <row r="61" spans="1:6" ht="24" customHeight="1" x14ac:dyDescent="0.25">
      <c r="A61" s="25"/>
      <c r="B61" s="26" t="s">
        <v>58</v>
      </c>
      <c r="C61" s="27">
        <f>SUM(C59:C60)</f>
        <v>33100090</v>
      </c>
      <c r="D61" s="27">
        <f>SUM(D59:D60)</f>
        <v>32639388</v>
      </c>
      <c r="E61" s="27">
        <f>D61-C61</f>
        <v>-460702</v>
      </c>
      <c r="F61" s="28">
        <f>IF(C61=0,0,E61/C61)</f>
        <v>-1.3918451581249477E-2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21959738</v>
      </c>
      <c r="D63" s="23">
        <v>25355098</v>
      </c>
      <c r="E63" s="23">
        <f>D63-C63</f>
        <v>3395360</v>
      </c>
      <c r="F63" s="24">
        <f>IF(C63=0,0,E63/C63)</f>
        <v>0.15461750955316497</v>
      </c>
    </row>
    <row r="64" spans="1:6" ht="24" customHeight="1" x14ac:dyDescent="0.2">
      <c r="A64" s="21">
        <v>4</v>
      </c>
      <c r="B64" s="22" t="s">
        <v>60</v>
      </c>
      <c r="C64" s="23">
        <v>17013627</v>
      </c>
      <c r="D64" s="23">
        <v>16796133</v>
      </c>
      <c r="E64" s="23">
        <f>D64-C64</f>
        <v>-217494</v>
      </c>
      <c r="F64" s="24">
        <f>IF(C64=0,0,E64/C64)</f>
        <v>-1.2783517588577674E-2</v>
      </c>
    </row>
    <row r="65" spans="1:6" ht="24" customHeight="1" x14ac:dyDescent="0.25">
      <c r="A65" s="25"/>
      <c r="B65" s="26" t="s">
        <v>61</v>
      </c>
      <c r="C65" s="27">
        <f>SUM(C61:C64)</f>
        <v>72073455</v>
      </c>
      <c r="D65" s="27">
        <f>SUM(D61:D64)</f>
        <v>74790619</v>
      </c>
      <c r="E65" s="27">
        <f>D65-C65</f>
        <v>2717164</v>
      </c>
      <c r="F65" s="28">
        <f>IF(C65=0,0,E65/C65)</f>
        <v>3.7699927109086137E-2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1045617</v>
      </c>
      <c r="D70" s="23">
        <v>2731601</v>
      </c>
      <c r="E70" s="23">
        <f>D70-C70</f>
        <v>1685984</v>
      </c>
      <c r="F70" s="24">
        <f>IF(C70=0,0,E70/C70)</f>
        <v>1.6124297902578095</v>
      </c>
    </row>
    <row r="71" spans="1:6" ht="24" customHeight="1" x14ac:dyDescent="0.2">
      <c r="A71" s="21">
        <v>2</v>
      </c>
      <c r="B71" s="22" t="s">
        <v>65</v>
      </c>
      <c r="C71" s="23">
        <v>1110279</v>
      </c>
      <c r="D71" s="23">
        <v>1933084</v>
      </c>
      <c r="E71" s="23">
        <f>D71-C71</f>
        <v>822805</v>
      </c>
      <c r="F71" s="24">
        <f>IF(C71=0,0,E71/C71)</f>
        <v>0.74107949443338117</v>
      </c>
    </row>
    <row r="72" spans="1:6" ht="24" customHeight="1" x14ac:dyDescent="0.2">
      <c r="A72" s="21">
        <v>3</v>
      </c>
      <c r="B72" s="22" t="s">
        <v>66</v>
      </c>
      <c r="C72" s="23">
        <v>6554919</v>
      </c>
      <c r="D72" s="23">
        <v>6664091</v>
      </c>
      <c r="E72" s="23">
        <f>D72-C72</f>
        <v>109172</v>
      </c>
      <c r="F72" s="24">
        <f>IF(C72=0,0,E72/C72)</f>
        <v>1.6654973158325832E-2</v>
      </c>
    </row>
    <row r="73" spans="1:6" ht="24" customHeight="1" x14ac:dyDescent="0.25">
      <c r="A73" s="21"/>
      <c r="B73" s="26" t="s">
        <v>67</v>
      </c>
      <c r="C73" s="27">
        <f>SUM(C70:C72)</f>
        <v>8710815</v>
      </c>
      <c r="D73" s="27">
        <f>SUM(D70:D72)</f>
        <v>11328776</v>
      </c>
      <c r="E73" s="27">
        <f>D73-C73</f>
        <v>2617961</v>
      </c>
      <c r="F73" s="28">
        <f>IF(C73=0,0,E73/C73)</f>
        <v>0.30054145335424987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106232385</v>
      </c>
      <c r="D75" s="27">
        <f>D56+D65+D67+D73</f>
        <v>110495964</v>
      </c>
      <c r="E75" s="27">
        <f>D75-C75</f>
        <v>4263579</v>
      </c>
      <c r="F75" s="28">
        <f>IF(C75=0,0,E75/C75)</f>
        <v>4.0134456173604685E-2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FILING&amp;RBRISTOL HOSPITAL &amp;AMP;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35" sqref="B35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5" width="18.7109375" style="56" customWidth="1"/>
    <col min="6" max="6" width="18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477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479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396364698</v>
      </c>
      <c r="D12" s="51">
        <v>403084252</v>
      </c>
      <c r="E12" s="51">
        <f t="shared" ref="E12:E19" si="0">D12-C12</f>
        <v>6719554</v>
      </c>
      <c r="F12" s="70">
        <f t="shared" ref="F12:F19" si="1">IF(C12=0,0,E12/C12)</f>
        <v>1.6952957803522652E-2</v>
      </c>
    </row>
    <row r="13" spans="1:8" ht="23.1" customHeight="1" x14ac:dyDescent="0.2">
      <c r="A13" s="25">
        <v>2</v>
      </c>
      <c r="B13" s="48" t="s">
        <v>72</v>
      </c>
      <c r="C13" s="51">
        <v>244638266</v>
      </c>
      <c r="D13" s="51">
        <v>248519495</v>
      </c>
      <c r="E13" s="51">
        <f t="shared" si="0"/>
        <v>3881229</v>
      </c>
      <c r="F13" s="70">
        <f t="shared" si="1"/>
        <v>1.5865175401463972E-2</v>
      </c>
    </row>
    <row r="14" spans="1:8" ht="23.1" customHeight="1" x14ac:dyDescent="0.2">
      <c r="A14" s="25">
        <v>3</v>
      </c>
      <c r="B14" s="48" t="s">
        <v>73</v>
      </c>
      <c r="C14" s="51">
        <v>558883</v>
      </c>
      <c r="D14" s="51">
        <v>259103</v>
      </c>
      <c r="E14" s="51">
        <f t="shared" si="0"/>
        <v>-299780</v>
      </c>
      <c r="F14" s="70">
        <f t="shared" si="1"/>
        <v>-0.53639133772184877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151167549</v>
      </c>
      <c r="D16" s="27">
        <f>D12-D13-D14-D15</f>
        <v>154305654</v>
      </c>
      <c r="E16" s="27">
        <f t="shared" si="0"/>
        <v>3138105</v>
      </c>
      <c r="F16" s="28">
        <f t="shared" si="1"/>
        <v>2.0759118082942524E-2</v>
      </c>
    </row>
    <row r="17" spans="1:7" ht="23.1" customHeight="1" x14ac:dyDescent="0.2">
      <c r="A17" s="25">
        <v>5</v>
      </c>
      <c r="B17" s="48" t="s">
        <v>76</v>
      </c>
      <c r="C17" s="51">
        <v>6200797</v>
      </c>
      <c r="D17" s="51">
        <v>7156743</v>
      </c>
      <c r="E17" s="51">
        <f t="shared" si="0"/>
        <v>955946</v>
      </c>
      <c r="F17" s="70">
        <f t="shared" si="1"/>
        <v>0.15416502104487537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157368346</v>
      </c>
      <c r="D19" s="27">
        <f>SUM(D16:D18)</f>
        <v>161462397</v>
      </c>
      <c r="E19" s="27">
        <f t="shared" si="0"/>
        <v>4094051</v>
      </c>
      <c r="F19" s="28">
        <f t="shared" si="1"/>
        <v>2.6015721103149932E-2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70157791</v>
      </c>
      <c r="D22" s="51">
        <v>72107323</v>
      </c>
      <c r="E22" s="51">
        <f t="shared" ref="E22:E31" si="2">D22-C22</f>
        <v>1949532</v>
      </c>
      <c r="F22" s="70">
        <f t="shared" ref="F22:F31" si="3">IF(C22=0,0,E22/C22)</f>
        <v>2.7787819032101511E-2</v>
      </c>
    </row>
    <row r="23" spans="1:7" ht="23.1" customHeight="1" x14ac:dyDescent="0.2">
      <c r="A23" s="25">
        <v>2</v>
      </c>
      <c r="B23" s="48" t="s">
        <v>81</v>
      </c>
      <c r="C23" s="51">
        <v>17072257</v>
      </c>
      <c r="D23" s="51">
        <v>18836459</v>
      </c>
      <c r="E23" s="51">
        <f t="shared" si="2"/>
        <v>1764202</v>
      </c>
      <c r="F23" s="70">
        <f t="shared" si="3"/>
        <v>0.10333736189655533</v>
      </c>
    </row>
    <row r="24" spans="1:7" ht="23.1" customHeight="1" x14ac:dyDescent="0.2">
      <c r="A24" s="25">
        <v>3</v>
      </c>
      <c r="B24" s="48" t="s">
        <v>82</v>
      </c>
      <c r="C24" s="51">
        <v>4436306</v>
      </c>
      <c r="D24" s="51">
        <v>5204980</v>
      </c>
      <c r="E24" s="51">
        <f t="shared" si="2"/>
        <v>768674</v>
      </c>
      <c r="F24" s="70">
        <f t="shared" si="3"/>
        <v>0.17326893140373995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18260102</v>
      </c>
      <c r="D25" s="51">
        <v>19350570</v>
      </c>
      <c r="E25" s="51">
        <f t="shared" si="2"/>
        <v>1090468</v>
      </c>
      <c r="F25" s="70">
        <f t="shared" si="3"/>
        <v>5.9718614934352501E-2</v>
      </c>
    </row>
    <row r="26" spans="1:7" ht="23.1" customHeight="1" x14ac:dyDescent="0.2">
      <c r="A26" s="25">
        <v>5</v>
      </c>
      <c r="B26" s="48" t="s">
        <v>84</v>
      </c>
      <c r="C26" s="51">
        <v>5945345</v>
      </c>
      <c r="D26" s="51">
        <v>5850296</v>
      </c>
      <c r="E26" s="51">
        <f t="shared" si="2"/>
        <v>-95049</v>
      </c>
      <c r="F26" s="70">
        <f t="shared" si="3"/>
        <v>-1.598712942646726E-2</v>
      </c>
    </row>
    <row r="27" spans="1:7" ht="23.1" customHeight="1" x14ac:dyDescent="0.2">
      <c r="A27" s="25">
        <v>6</v>
      </c>
      <c r="B27" s="48" t="s">
        <v>85</v>
      </c>
      <c r="C27" s="51">
        <v>10609543</v>
      </c>
      <c r="D27" s="51">
        <v>12199961</v>
      </c>
      <c r="E27" s="51">
        <f t="shared" si="2"/>
        <v>1590418</v>
      </c>
      <c r="F27" s="70">
        <f t="shared" si="3"/>
        <v>0.1499044775067126</v>
      </c>
    </row>
    <row r="28" spans="1:7" ht="23.1" customHeight="1" x14ac:dyDescent="0.2">
      <c r="A28" s="25">
        <v>7</v>
      </c>
      <c r="B28" s="48" t="s">
        <v>86</v>
      </c>
      <c r="C28" s="51">
        <v>2235998</v>
      </c>
      <c r="D28" s="51">
        <v>2012629</v>
      </c>
      <c r="E28" s="51">
        <f t="shared" si="2"/>
        <v>-223369</v>
      </c>
      <c r="F28" s="70">
        <f t="shared" si="3"/>
        <v>-9.989677987189613E-2</v>
      </c>
    </row>
    <row r="29" spans="1:7" ht="23.1" customHeight="1" x14ac:dyDescent="0.2">
      <c r="A29" s="25">
        <v>8</v>
      </c>
      <c r="B29" s="48" t="s">
        <v>87</v>
      </c>
      <c r="C29" s="51">
        <v>1935697</v>
      </c>
      <c r="D29" s="51">
        <v>1777579</v>
      </c>
      <c r="E29" s="51">
        <f t="shared" si="2"/>
        <v>-158118</v>
      </c>
      <c r="F29" s="70">
        <f t="shared" si="3"/>
        <v>-8.1685305086488233E-2</v>
      </c>
    </row>
    <row r="30" spans="1:7" ht="23.1" customHeight="1" x14ac:dyDescent="0.2">
      <c r="A30" s="25">
        <v>9</v>
      </c>
      <c r="B30" s="48" t="s">
        <v>88</v>
      </c>
      <c r="C30" s="51">
        <v>27098401</v>
      </c>
      <c r="D30" s="51">
        <v>23198574</v>
      </c>
      <c r="E30" s="51">
        <f t="shared" si="2"/>
        <v>-3899827</v>
      </c>
      <c r="F30" s="70">
        <f t="shared" si="3"/>
        <v>-0.14391354678085988</v>
      </c>
    </row>
    <row r="31" spans="1:7" ht="23.1" customHeight="1" x14ac:dyDescent="0.25">
      <c r="A31" s="29"/>
      <c r="B31" s="71" t="s">
        <v>89</v>
      </c>
      <c r="C31" s="27">
        <f>SUM(C22:C30)</f>
        <v>157751440</v>
      </c>
      <c r="D31" s="27">
        <f>SUM(D22:D30)</f>
        <v>160538371</v>
      </c>
      <c r="E31" s="27">
        <f t="shared" si="2"/>
        <v>2786931</v>
      </c>
      <c r="F31" s="28">
        <f t="shared" si="3"/>
        <v>1.7666596260547607E-2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-383094</v>
      </c>
      <c r="D33" s="27">
        <f>+D19-D31</f>
        <v>924026</v>
      </c>
      <c r="E33" s="27">
        <f>D33-C33</f>
        <v>1307120</v>
      </c>
      <c r="F33" s="28">
        <f>IF(C33=0,0,E33/C33)</f>
        <v>-3.412008540984719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311763</v>
      </c>
      <c r="D36" s="51">
        <v>294112</v>
      </c>
      <c r="E36" s="51">
        <f>D36-C36</f>
        <v>-17651</v>
      </c>
      <c r="F36" s="70">
        <f>IF(C36=0,0,E36/C36)</f>
        <v>-5.6616724883966345E-2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79102</v>
      </c>
      <c r="D38" s="51">
        <v>352260</v>
      </c>
      <c r="E38" s="51">
        <f>D38-C38</f>
        <v>273158</v>
      </c>
      <c r="F38" s="70">
        <f>IF(C38=0,0,E38/C38)</f>
        <v>3.4532375919698617</v>
      </c>
    </row>
    <row r="39" spans="1:6" ht="23.1" customHeight="1" x14ac:dyDescent="0.25">
      <c r="A39" s="20"/>
      <c r="B39" s="71" t="s">
        <v>95</v>
      </c>
      <c r="C39" s="27">
        <f>SUM(C36:C38)</f>
        <v>390865</v>
      </c>
      <c r="D39" s="27">
        <f>SUM(D36:D38)</f>
        <v>646372</v>
      </c>
      <c r="E39" s="27">
        <f>D39-C39</f>
        <v>255507</v>
      </c>
      <c r="F39" s="28">
        <f>IF(C39=0,0,E39/C39)</f>
        <v>0.6536962890000384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7771</v>
      </c>
      <c r="D41" s="27">
        <f>D33+D39</f>
        <v>1570398</v>
      </c>
      <c r="E41" s="27">
        <f>D41-C41</f>
        <v>1562627</v>
      </c>
      <c r="F41" s="28">
        <f>IF(C41=0,0,E41/C41)</f>
        <v>201.08441642002316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7771</v>
      </c>
      <c r="D48" s="27">
        <f>D41+D46</f>
        <v>1570398</v>
      </c>
      <c r="E48" s="27">
        <f>D48-C48</f>
        <v>1562627</v>
      </c>
      <c r="F48" s="28">
        <f>IF(C48=0,0,E48/C48)</f>
        <v>201.08441642002316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FILING&amp;R&amp;8BRISTOL HOSPITAL &amp;AMP; HEALTH CARE GROUP,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2011-08-05T18:00:22Z</cp:lastPrinted>
  <dcterms:created xsi:type="dcterms:W3CDTF">2006-08-03T13:49:12Z</dcterms:created>
  <dcterms:modified xsi:type="dcterms:W3CDTF">2011-08-05T18:03:01Z</dcterms:modified>
</cp:coreProperties>
</file>